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helen\AppData\Local\Dynamita\Sumo24\Process code\Model base\Focus models\"/>
    </mc:Choice>
  </mc:AlternateContent>
  <xr:revisionPtr revIDLastSave="0" documentId="8_{E9D21A77-D240-475A-B71D-73081E4DA28F}" xr6:coauthVersionLast="47" xr6:coauthVersionMax="47" xr10:uidLastSave="{00000000-0000-0000-0000-000000000000}"/>
  <bookViews>
    <workbookView xWindow="-120" yWindow="-120" windowWidth="29040" windowHeight="15720" tabRatio="791" xr2:uid="{00000000-000D-0000-FFFF-FFFF00000000}"/>
  </bookViews>
  <sheets>
    <sheet name="Help" sheetId="29" r:id="rId1"/>
    <sheet name="Parameters" sheetId="9" r:id="rId2"/>
    <sheet name="PU parameters" sheetId="37" r:id="rId3"/>
    <sheet name="Model" sheetId="1" r:id="rId4"/>
    <sheet name="pH" sheetId="4" r:id="rId5"/>
    <sheet name="Species" sheetId="20" r:id="rId6"/>
    <sheet name="Tableau" sheetId="17" state="hidden" r:id="rId7"/>
    <sheet name="Components" sheetId="2" r:id="rId8"/>
    <sheet name="Algebraic model" sheetId="13" state="hidden" r:id="rId9"/>
    <sheet name="Expert knowledge" sheetId="14" state="hidden" r:id="rId10"/>
    <sheet name="Calculated variables" sheetId="5" r:id="rId11"/>
    <sheet name="systemcode_constants" sheetId="36" state="hidden" r:id="rId12"/>
    <sheet name="Functions" sheetId="3" state="hidden" r:id="rId13"/>
    <sheet name="Code" sheetId="10" state="hidden" r:id="rId14"/>
    <sheet name="Alert" sheetId="15" state="veryHidden" r:id="rId15"/>
    <sheet name="Security" sheetId="16" state="veryHidden" r:id="rId16"/>
    <sheet name="systemcode_functions" sheetId="34" state="hidden" r:id="rId17"/>
    <sheet name="other parameters" sheetId="27" state="hidden" r:id="rId18"/>
  </sheets>
  <functionGroups builtInGroupCount="19"/>
  <definedNames>
    <definedName name="µ_ALGAE">Parameters!$D$191</definedName>
    <definedName name="µ_ALGAE_T">'Calculated variables'!$E$561</definedName>
    <definedName name="µ_AMETO">Parameters!$D$168</definedName>
    <definedName name="µ_AMETO_T">'Calculated variables'!$E$557</definedName>
    <definedName name="µ_AMX">Parameters!$D$156</definedName>
    <definedName name="µ_AMX_T">'Calculated variables'!$E$555</definedName>
    <definedName name="µ_AOB">Parameters!$D$104</definedName>
    <definedName name="µ_AOB_T">'Calculated variables'!$E$551</definedName>
    <definedName name="µ_CASTO">Parameters!$D$54</definedName>
    <definedName name="µ_CASTO_T">'Calculated variables'!$E$542</definedName>
    <definedName name="µ_FERM_OHO">Parameters!$D$8</definedName>
    <definedName name="µ_FERM_OHO_T">'Calculated variables'!$E$538</definedName>
    <definedName name="µ_FERM_PAO">Parameters!$D$56</definedName>
    <definedName name="µ_FERM_PAO_T">'Calculated variables'!$E$544</definedName>
    <definedName name="µ_HMETO">Parameters!$D$181</definedName>
    <definedName name="µ_HMETO_T">'Calculated variables'!$E$559</definedName>
    <definedName name="µ_MEOLO">Parameters!$D$44</definedName>
    <definedName name="µ_MEOLO_T">'Calculated variables'!$E$540</definedName>
    <definedName name="µ_NOB">Parameters!$D$131</definedName>
    <definedName name="µ_NOB_T">'Calculated variables'!$E$553</definedName>
    <definedName name="µ_OHO">Parameters!$D$7</definedName>
    <definedName name="µ_OHO_T">'Calculated variables'!$E$537</definedName>
    <definedName name="µ_PAO_lim">Parameters!$D$57</definedName>
    <definedName name="µ_PAO_lim_T">'Calculated variables'!$E$543</definedName>
    <definedName name="A_AR">'Calculated variables'!$E$147</definedName>
    <definedName name="A_Davies">'Calculated variables'!$E$578</definedName>
    <definedName name="A_H2O">systemcode_constants!$D$37</definedName>
    <definedName name="A_MAc">systemcode_constants!$D$166</definedName>
    <definedName name="A_MAg">systemcode_constants!$D$124</definedName>
    <definedName name="A_MAl">systemcode_constants!$D$90</definedName>
    <definedName name="A_MAm">systemcode_constants!$D$172</definedName>
    <definedName name="A_MAr">systemcode_constants!$D$95</definedName>
    <definedName name="A_MAs">systemcode_constants!$D$110</definedName>
    <definedName name="A_MAt">systemcode_constants!$D$162</definedName>
    <definedName name="A_MAu">systemcode_constants!$D$156</definedName>
    <definedName name="A_MB">systemcode_constants!$D$82</definedName>
    <definedName name="A_MBa">systemcode_constants!$D$133</definedName>
    <definedName name="A_MBe">systemcode_constants!$D$81</definedName>
    <definedName name="A_MBh">systemcode_constants!$D$184</definedName>
    <definedName name="A_MBi">systemcode_constants!$D$160</definedName>
    <definedName name="A_MBk">systemcode_constants!$D$174</definedName>
    <definedName name="A_MBr">systemcode_constants!$D$112</definedName>
    <definedName name="A_MC">systemcode_constants!$D$83</definedName>
    <definedName name="A_MCa">systemcode_constants!$D$97</definedName>
    <definedName name="A_MCd">systemcode_constants!$D$125</definedName>
    <definedName name="A_MCe">systemcode_constants!$D$135</definedName>
    <definedName name="A_MCf">systemcode_constants!$D$175</definedName>
    <definedName name="A_MCl">systemcode_constants!$D$94</definedName>
    <definedName name="A_MCm">systemcode_constants!$D$173</definedName>
    <definedName name="A_MCn">systemcode_constants!$D$189</definedName>
    <definedName name="A_MCo">systemcode_constants!$D$104</definedName>
    <definedName name="A_MCr">systemcode_constants!$D$101</definedName>
    <definedName name="A_MCs">systemcode_constants!$D$132</definedName>
    <definedName name="A_MCu">systemcode_constants!$D$106</definedName>
    <definedName name="A_MDb">systemcode_constants!$D$182</definedName>
    <definedName name="A_MDs">systemcode_constants!$D$187</definedName>
    <definedName name="A_MDy">systemcode_constants!$D$143</definedName>
    <definedName name="A_MEr">systemcode_constants!$D$145</definedName>
    <definedName name="A_MEs">systemcode_constants!$D$176</definedName>
    <definedName name="A_MEu">systemcode_constants!$D$140</definedName>
    <definedName name="A_MF">systemcode_constants!$D$86</definedName>
    <definedName name="A_MFe">systemcode_constants!$D$103</definedName>
    <definedName name="A_MFl">systemcode_constants!$D$191</definedName>
    <definedName name="A_MFm">systemcode_constants!$D$177</definedName>
    <definedName name="A_MFr">systemcode_constants!$D$164</definedName>
    <definedName name="A_MGa">systemcode_constants!$D$108</definedName>
    <definedName name="A_MGd">systemcode_constants!$D$141</definedName>
    <definedName name="A_MGe">systemcode_constants!$D$109</definedName>
    <definedName name="A_MH">systemcode_constants!$D$78</definedName>
    <definedName name="A_MHe">systemcode_constants!$D$79</definedName>
    <definedName name="A_MHf">systemcode_constants!$D$149</definedName>
    <definedName name="A_MHg">systemcode_constants!$D$157</definedName>
    <definedName name="A_MHo">systemcode_constants!$D$144</definedName>
    <definedName name="A_MHs">systemcode_constants!$D$185</definedName>
    <definedName name="A_MI">systemcode_constants!$D$130</definedName>
    <definedName name="A_MIn">systemcode_constants!$D$126</definedName>
    <definedName name="A_MIr">systemcode_constants!$D$154</definedName>
    <definedName name="A_MK">systemcode_constants!$D$96</definedName>
    <definedName name="A_MKr">systemcode_constants!$D$113</definedName>
    <definedName name="A_MLa">systemcode_constants!$D$134</definedName>
    <definedName name="A_MLi">systemcode_constants!$D$80</definedName>
    <definedName name="A_MLr">systemcode_constants!$D$180</definedName>
    <definedName name="A_MLu">systemcode_constants!$D$148</definedName>
    <definedName name="A_MLv">systemcode_constants!$D$193</definedName>
    <definedName name="A_MMd">systemcode_constants!$D$178</definedName>
    <definedName name="A_MMg">systemcode_constants!$D$89</definedName>
    <definedName name="A_MMn">systemcode_constants!$D$102</definedName>
    <definedName name="A_MMo">systemcode_constants!$D$119</definedName>
    <definedName name="A_MMt">systemcode_constants!$D$186</definedName>
    <definedName name="A_MN">systemcode_constants!$D$84</definedName>
    <definedName name="A_MNa">systemcode_constants!$D$88</definedName>
    <definedName name="A_MNb">systemcode_constants!$D$118</definedName>
    <definedName name="A_MNd">systemcode_constants!$D$137</definedName>
    <definedName name="A_MNe">systemcode_constants!$D$87</definedName>
    <definedName name="A_MNi">systemcode_constants!$D$105</definedName>
    <definedName name="A_MNo">systemcode_constants!$D$179</definedName>
    <definedName name="A_MNp">systemcode_constants!$D$170</definedName>
    <definedName name="A_MO">systemcode_constants!$D$85</definedName>
    <definedName name="A_MOs">systemcode_constants!$D$153</definedName>
    <definedName name="A_MP">systemcode_constants!$D$92</definedName>
    <definedName name="A_MPa">systemcode_constants!$D$168</definedName>
    <definedName name="A_MPb">systemcode_constants!$D$159</definedName>
    <definedName name="A_MPd">systemcode_constants!$D$123</definedName>
    <definedName name="A_MPm">systemcode_constants!$D$138</definedName>
    <definedName name="A_MPo">systemcode_constants!$D$161</definedName>
    <definedName name="A_MPr">systemcode_constants!$D$136</definedName>
    <definedName name="A_MPt">systemcode_constants!$D$155</definedName>
    <definedName name="A_MPu">systemcode_constants!$D$171</definedName>
    <definedName name="A_MRa">systemcode_constants!$D$165</definedName>
    <definedName name="A_MRb">systemcode_constants!$D$114</definedName>
    <definedName name="A_MRe">systemcode_constants!$D$152</definedName>
    <definedName name="A_MRf">systemcode_constants!$D$181</definedName>
    <definedName name="A_MRg">systemcode_constants!$D$188</definedName>
    <definedName name="A_MRh">systemcode_constants!$D$122</definedName>
    <definedName name="A_MRn">systemcode_constants!$D$163</definedName>
    <definedName name="A_MRu">systemcode_constants!$D$121</definedName>
    <definedName name="A_MS">systemcode_constants!$D$93</definedName>
    <definedName name="A_MSb">systemcode_constants!$D$128</definedName>
    <definedName name="A_MSc">systemcode_constants!$D$98</definedName>
    <definedName name="A_MSe">systemcode_constants!$D$111</definedName>
    <definedName name="A_MSg">systemcode_constants!$D$183</definedName>
    <definedName name="A_MSi">systemcode_constants!$D$91</definedName>
    <definedName name="A_MSm">systemcode_constants!$D$139</definedName>
    <definedName name="A_MSn">systemcode_constants!$D$127</definedName>
    <definedName name="A_MSr">systemcode_constants!$D$115</definedName>
    <definedName name="A_MTa">systemcode_constants!$D$150</definedName>
    <definedName name="A_MTb">systemcode_constants!$D$142</definedName>
    <definedName name="A_MTc">systemcode_constants!$D$120</definedName>
    <definedName name="A_MTe">systemcode_constants!$D$129</definedName>
    <definedName name="A_MTh">systemcode_constants!$D$167</definedName>
    <definedName name="A_MTi">systemcode_constants!$D$99</definedName>
    <definedName name="A_MTl">systemcode_constants!$D$158</definedName>
    <definedName name="A_MTm">systemcode_constants!$D$146</definedName>
    <definedName name="A_MU">systemcode_constants!$D$169</definedName>
    <definedName name="A_MUuo">systemcode_constants!$D$195</definedName>
    <definedName name="A_MUup">systemcode_constants!$D$192</definedName>
    <definedName name="A_MUus">systemcode_constants!$D$194</definedName>
    <definedName name="A_MUut">systemcode_constants!$D$190</definedName>
    <definedName name="A_MV">systemcode_constants!$D$100</definedName>
    <definedName name="A_MW">systemcode_constants!$D$151</definedName>
    <definedName name="A_MXe">systemcode_constants!$D$131</definedName>
    <definedName name="A_MY">systemcode_constants!$D$116</definedName>
    <definedName name="A_MYb">systemcode_constants!$D$147</definedName>
    <definedName name="A_MZn">systemcode_constants!$D$107</definedName>
    <definedName name="A_MZr">systemcode_constants!$D$117</definedName>
    <definedName name="a_NH2OH_NO2_pH">Parameters!$D$147</definedName>
    <definedName name="A_SFHAO_H">Parameters!$D$441</definedName>
    <definedName name="A_SFHAO_L">Parameters!$D$442</definedName>
    <definedName name="A_SFHFO_H">Parameters!$D$434</definedName>
    <definedName name="A_SFHFO_L">Parameters!$D$435</definedName>
    <definedName name="A_UR">'Calculated variables'!$E$138</definedName>
    <definedName name="actferm_PAO_ORP">'Calculated variables'!$E$75</definedName>
    <definedName name="actGAO">'Calculated variables'!$E$70</definedName>
    <definedName name="actPAO">'Calculated variables'!$E$69</definedName>
    <definedName name="actsto_GAO_ORP">'Calculated variables'!$E$73</definedName>
    <definedName name="actsto_PAO_ORP">'Calculated variables'!$E$74</definedName>
    <definedName name="b_ALGAE">Parameters!$D$192</definedName>
    <definedName name="b_ALGAE_T">'Calculated variables'!$E$562</definedName>
    <definedName name="b_AMETO">Parameters!$D$169</definedName>
    <definedName name="b_AMETO_T">'Calculated variables'!$E$558</definedName>
    <definedName name="b_AMX">Parameters!$D$157</definedName>
    <definedName name="b_AMX_T">'Calculated variables'!$E$556</definedName>
    <definedName name="b_AOB">Parameters!$D$107</definedName>
    <definedName name="b_AOB_T">'Calculated variables'!$E$552</definedName>
    <definedName name="b_CASTO">Parameters!$D$58</definedName>
    <definedName name="b_CASTO_T">'Calculated variables'!$E$550</definedName>
    <definedName name="B_ellinhpH">'Calculated variables'!$E$367</definedName>
    <definedName name="B_ellinhpH_AMETO">'Calculated variables'!$E$373</definedName>
    <definedName name="B_ellinhpH_AOB">'Calculated variables'!$E$369</definedName>
    <definedName name="B_ellinhpH_FLOC_HAO">'Calculated variables'!$E$379</definedName>
    <definedName name="B_ellinhpH_FLOC_HFO">'Calculated variables'!$E$377</definedName>
    <definedName name="B_ellinhpH_HMETO">'Calculated variables'!$E$375</definedName>
    <definedName name="B_ellinhpH_NOB">'Calculated variables'!$E$371</definedName>
    <definedName name="B_H2O">systemcode_constants!$D$38</definedName>
    <definedName name="b_HMETO">Parameters!$D$182</definedName>
    <definedName name="b_HMETO_T">'Calculated variables'!$E$560</definedName>
    <definedName name="b_MEOLO">Parameters!$D$45</definedName>
    <definedName name="b_MEOLO_T">'Calculated variables'!$E$541</definedName>
    <definedName name="b_NOB">Parameters!$D$132</definedName>
    <definedName name="b_NOB_T">'Calculated variables'!$E$554</definedName>
    <definedName name="b_OHO">Parameters!$D$9</definedName>
    <definedName name="b_OHO_T">'Calculated variables'!$E$539</definedName>
    <definedName name="b_PP_ana">Parameters!$D$60</definedName>
    <definedName name="b_PP_ana_T">'Calculated variables'!$E$549</definedName>
    <definedName name="b_STC">Parameters!$D$59</definedName>
    <definedName name="b_STC_T">'Calculated variables'!$E$548</definedName>
    <definedName name="C_B">Components!$E$7</definedName>
    <definedName name="c_cm_m">systemcode_constants!$D$389</definedName>
    <definedName name="c_cm2_m2">systemcode_constants!$D$390</definedName>
    <definedName name="c_cm3_m3">systemcode_constants!$D$391</definedName>
    <definedName name="c_d_mon">systemcode_constants!$D$375</definedName>
    <definedName name="c_d_w">systemcode_constants!$D$374</definedName>
    <definedName name="c_d_y">systemcode_constants!$D$376</definedName>
    <definedName name="c_ft_m">systemcode_constants!$D$397</definedName>
    <definedName name="c_ft2_m2">systemcode_constants!$D$396</definedName>
    <definedName name="c_ft3_m3">systemcode_constants!$D$395</definedName>
    <definedName name="c_g_kg">systemcode_constants!$D$378</definedName>
    <definedName name="c_G_m3">systemcode_constants!$D$393</definedName>
    <definedName name="c_g_ton">systemcode_constants!$D$379</definedName>
    <definedName name="c_h_d">systemcode_constants!$D$369</definedName>
    <definedName name="C_H2O">systemcode_constants!$D$39</definedName>
    <definedName name="c_hargebalance">pH!$Z$20</definedName>
    <definedName name="c_hargebalanceerror">'Calculated variables'!$E$675</definedName>
    <definedName name="c_kJ_MJ">systemcode_constants!$D$381</definedName>
    <definedName name="c_L_m3">systemcode_constants!$D$380</definedName>
    <definedName name="c_lbs_g">systemcode_constants!$D$394</definedName>
    <definedName name="c_mg_g">systemcode_constants!$D$377</definedName>
    <definedName name="c_MG_m3">systemcode_constants!$D$392</definedName>
    <definedName name="c_micron_m">systemcode_constants!$D$387</definedName>
    <definedName name="c_min_d">systemcode_constants!$D$367</definedName>
    <definedName name="c_min_h">systemcode_constants!$D$368</definedName>
    <definedName name="c_mm_m">systemcode_constants!$D$388</definedName>
    <definedName name="c_mmol_mol">systemcode_constants!$D$363</definedName>
    <definedName name="c_ms_d">systemcode_constants!$D$370</definedName>
    <definedName name="c_ms_h">systemcode_constants!$D$371</definedName>
    <definedName name="c_ms_min">systemcode_constants!$D$372</definedName>
    <definedName name="c_ms_s">systemcode_constants!$D$373</definedName>
    <definedName name="c_oeffdamp_ALPHA">Parameters!$D$462</definedName>
    <definedName name="c_oefflead_TSS_α_mech">Parameters!$D$467</definedName>
    <definedName name="c_oefflin_TSS_α_mech">Parameters!$D$468</definedName>
    <definedName name="c_onstTSS_α_mech">Parameters!$D$469</definedName>
    <definedName name="c_orrh_diff_α">'Calculated variables'!$E$792</definedName>
    <definedName name="c_orrTSS_α">'Calculated variables'!$E$793</definedName>
    <definedName name="C_OUR">'Calculated variables'!$E$127</definedName>
    <definedName name="c_p_water">systemcode_constants!$D$66</definedName>
    <definedName name="c_Pa_bar">systemcode_constants!$D$385</definedName>
    <definedName name="c_Pa_Hgmm">systemcode_constants!$D$384</definedName>
    <definedName name="c_Pa_mbar">systemcode_constants!$D$386</definedName>
    <definedName name="c_Pa_MPa">systemcode_constants!$D$383</definedName>
    <definedName name="c_percent_fraction">systemcode_constants!$D$362</definedName>
    <definedName name="c_percent_Vconc">systemcode_constants!$D$361</definedName>
    <definedName name="c_ppm_Vconc">systemcode_constants!$D$360</definedName>
    <definedName name="c_s_d">systemcode_constants!$D$364</definedName>
    <definedName name="c_s_h">systemcode_constants!$D$365</definedName>
    <definedName name="c_s_min">systemcode_constants!$D$366</definedName>
    <definedName name="C_U">Components!$E$11</definedName>
    <definedName name="c_W_kW">systemcode_constants!$D$382</definedName>
    <definedName name="conc_Acm_I">Species!$D$19</definedName>
    <definedName name="conc_Acm_Ieq">'Calculated variables'!$E$627</definedName>
    <definedName name="conc_ANm_I">Species!$D$24</definedName>
    <definedName name="conc_Ca2p_I">Species!$D$20</definedName>
    <definedName name="conc_CATp_I">Species!$D$22</definedName>
    <definedName name="conc_CO32m_I">Species!$D$13</definedName>
    <definedName name="conc_Fe2p_I">Species!$D$25</definedName>
    <definedName name="conc_H2CO3_I">Species!$D$11</definedName>
    <definedName name="conc_H2PO4m_I">Species!$D$15</definedName>
    <definedName name="conc_H2PO4m_Ieq">'Calculated variables'!$E$626</definedName>
    <definedName name="conc_H3PO4_I">Species!$D$14</definedName>
    <definedName name="conc_HAc_I">Species!$D$18</definedName>
    <definedName name="conc_HCO3m_I">Species!$D$12</definedName>
    <definedName name="conc_HNO2_I">Species!$D$8</definedName>
    <definedName name="conc_Hp_I">Species!$D$4</definedName>
    <definedName name="conc_Hp_Ieq">systemcode_constants!$D$352</definedName>
    <definedName name="conc_HPO42m_I">Species!$D$16</definedName>
    <definedName name="conc_HPO42m_Ieq">'Calculated variables'!$E$625</definedName>
    <definedName name="conc_Kp_I">Species!$D$23</definedName>
    <definedName name="conc_Mg2p_I">Species!$D$21</definedName>
    <definedName name="conc_NH3_I">Species!$D$6</definedName>
    <definedName name="conc_NH4p_I">Species!$D$7</definedName>
    <definedName name="conc_NO2m_I">Species!$D$9</definedName>
    <definedName name="conc_NO2m_Ieq">'Calculated variables'!$E$628</definedName>
    <definedName name="conc_NO3m_I">Species!$D$10</definedName>
    <definedName name="conc_OHm_I">Species!$D$5</definedName>
    <definedName name="conc_PO43m_I">Species!$D$17</definedName>
    <definedName name="d_ampALPHA">'Calculated variables'!$E$791</definedName>
    <definedName name="D_CB">systemcode_constants!$D$479</definedName>
    <definedName name="D_CU">systemcode_constants!$D$480</definedName>
    <definedName name="D_GCH4_25">systemcode_constants!$D$30</definedName>
    <definedName name="D_GCO2_25">systemcode_constants!$D$28</definedName>
    <definedName name="D_GH2_25">systemcode_constants!$D$29</definedName>
    <definedName name="D_GH2S_25">systemcode_constants!$D$33</definedName>
    <definedName name="D_GN2_25">systemcode_constants!$D$26</definedName>
    <definedName name="D_GN2O_25">systemcode_constants!$D$32</definedName>
    <definedName name="D_GNH3_25">systemcode_constants!$D$27</definedName>
    <definedName name="D_GNO_25">systemcode_constants!$D$31</definedName>
    <definedName name="D_GO2_25">systemcode_constants!$D$25</definedName>
    <definedName name="d_HCaCO3">systemcode_constants!$D$451</definedName>
    <definedName name="d_HCaH2PO4p">systemcode_constants!$D$455</definedName>
    <definedName name="d_HCaHCO3p">systemcode_constants!$D$452</definedName>
    <definedName name="d_HCaHPO4">systemcode_constants!$D$454</definedName>
    <definedName name="d_HCaOHp">systemcode_constants!$D$450</definedName>
    <definedName name="d_HCaPO4m">systemcode_constants!$D$453</definedName>
    <definedName name="d_Hdiss_But">systemcode_constants!$D$444</definedName>
    <definedName name="d_Hdiss_CO2_1">systemcode_constants!$D$437</definedName>
    <definedName name="d_Hdiss_CO2_2">systemcode_constants!$D$438</definedName>
    <definedName name="d_Hdiss_H2O">systemcode_constants!$D$434</definedName>
    <definedName name="d_Hdiss_NO2">systemcode_constants!$D$436</definedName>
    <definedName name="d_Hdiss_PO4_1">systemcode_constants!$D$439</definedName>
    <definedName name="d_Hdiss_PO4_2">systemcode_constants!$D$440</definedName>
    <definedName name="d_Hdiss_PO4_3">systemcode_constants!$D$441</definedName>
    <definedName name="d_Hdiss_Prop">systemcode_constants!$D$443</definedName>
    <definedName name="d_Hdiss_S_1">systemcode_constants!$D$446</definedName>
    <definedName name="d_Hdiss_S_2">systemcode_constants!$D$447</definedName>
    <definedName name="d_Hdiss_SO4_1">systemcode_constants!$D$448</definedName>
    <definedName name="d_Hdiss_SO4_2">systemcode_constants!$D$449</definedName>
    <definedName name="d_Hdiss_Val">systemcode_constants!$D$445</definedName>
    <definedName name="d_Hdiss_VFA">systemcode_constants!$D$442</definedName>
    <definedName name="d_Hion_amm">systemcode_constants!$D$435</definedName>
    <definedName name="d_HMgCO3">systemcode_constants!$D$457</definedName>
    <definedName name="d_HMgH2PO4p">systemcode_constants!$D$461</definedName>
    <definedName name="d_HMgHCO3p">systemcode_constants!$D$458</definedName>
    <definedName name="d_HMgHPO4">systemcode_constants!$D$459</definedName>
    <definedName name="d_HMgOHp">systemcode_constants!$D$456</definedName>
    <definedName name="d_HMgPO4m">systemcode_constants!$D$460</definedName>
    <definedName name="d_HNaHPO4m">systemcode_constants!$D$462</definedName>
    <definedName name="D_NBS">systemcode_constants!$D$489</definedName>
    <definedName name="D_NH3">systemcode_constants!$D$484</definedName>
    <definedName name="D_NO3">systemcode_constants!$D$485</definedName>
    <definedName name="D_NUS">systemcode_constants!$D$488</definedName>
    <definedName name="D_PO4">systemcode_constants!$D$486</definedName>
    <definedName name="D_SA">systemcode_constants!$D$467</definedName>
    <definedName name="D_SALK">systemcode_constants!$D$515</definedName>
    <definedName name="D_SALPHA">systemcode_constants!$D$473</definedName>
    <definedName name="D_SAN">systemcode_constants!$D$511</definedName>
    <definedName name="D_SB">systemcode_constants!$D$469</definedName>
    <definedName name="D_SB_mono">systemcode_constants!$D$470</definedName>
    <definedName name="D_SB_poly">systemcode_constants!$D$471</definedName>
    <definedName name="D_SBSA">systemcode_constants!$D$468</definedName>
    <definedName name="D_SBSC">systemcode_constants!$D$475</definedName>
    <definedName name="D_SCa">systemcode_constants!$D$508</definedName>
    <definedName name="D_SCAT">systemcode_constants!$D$510</definedName>
    <definedName name="D_SCH4">systemcode_constants!$D$504</definedName>
    <definedName name="D_SCO2">systemcode_constants!$D$506</definedName>
    <definedName name="D_SF">systemcode_constants!$D$474</definedName>
    <definedName name="D_SFe2">systemcode_constants!$D$514</definedName>
    <definedName name="D_SH2">systemcode_constants!$D$505</definedName>
    <definedName name="D_SH2S">systemcode_constants!$D$512</definedName>
    <definedName name="D_SHCO">systemcode_constants!$D$516</definedName>
    <definedName name="D_SI">systemcode_constants!$D$478</definedName>
    <definedName name="D_SK">systemcode_constants!$D$507</definedName>
    <definedName name="D_SMEOL">systemcode_constants!$D$476</definedName>
    <definedName name="D_SMg">systemcode_constants!$D$509</definedName>
    <definedName name="D_SMM_index">systemcode_constants!$D$517</definedName>
    <definedName name="D_SN_B">systemcode_constants!$D$497</definedName>
    <definedName name="D_SN2">systemcode_constants!$D$487</definedName>
    <definedName name="D_SN2O">systemcode_constants!$D$496</definedName>
    <definedName name="D_SND">systemcode_constants!$D$498</definedName>
    <definedName name="D_SNH">systemcode_constants!$D$483</definedName>
    <definedName name="D_SNH2OH">systemcode_constants!$D$492</definedName>
    <definedName name="D_SNH4">systemcode_constants!$D$482</definedName>
    <definedName name="D_SNHx">systemcode_constants!$D$481</definedName>
    <definedName name="D_SNO">systemcode_constants!$D$495</definedName>
    <definedName name="D_SNO2">systemcode_constants!$D$494</definedName>
    <definedName name="D_SNO3">systemcode_constants!$D$493</definedName>
    <definedName name="D_SNOx">systemcode_constants!$D$491</definedName>
    <definedName name="D_SO">systemcode_constants!$D$503</definedName>
    <definedName name="D_SO2">systemcode_constants!$D$502</definedName>
    <definedName name="D_SP_B">systemcode_constants!$D$501</definedName>
    <definedName name="D_SPO">systemcode_constants!$D$500</definedName>
    <definedName name="D_SPO4">systemcode_constants!$D$499</definedName>
    <definedName name="D_SS">systemcode_constants!$D$472</definedName>
    <definedName name="D_SSO4">systemcode_constants!$D$513</definedName>
    <definedName name="D_SU">systemcode_constants!$D$477</definedName>
    <definedName name="D_SUS">systemcode_constants!$D$490</definedName>
    <definedName name="D_SVFA">systemcode_constants!$D$466</definedName>
    <definedName name="E_EQFe2">systemcode_constants!$D$337</definedName>
    <definedName name="E_EQH2S">systemcode_constants!$D$339</definedName>
    <definedName name="E_EQN2">systemcode_constants!$D$324</definedName>
    <definedName name="E_EQN2_N2O">systemcode_constants!$D$335</definedName>
    <definedName name="E_EQN2_NO2">systemcode_constants!$D$332</definedName>
    <definedName name="E_EQN2_NO3">systemcode_constants!$D$336</definedName>
    <definedName name="E_EQN2O">systemcode_constants!$D$325</definedName>
    <definedName name="E_EQN2O_NO">systemcode_constants!$D$334</definedName>
    <definedName name="E_EQNH2OH">systemcode_constants!$D$329</definedName>
    <definedName name="E_EQNH2OH_NO">systemcode_constants!$D$330</definedName>
    <definedName name="E_EQNO">systemcode_constants!$D$326</definedName>
    <definedName name="E_EQNO_NO2">systemcode_constants!$D$333</definedName>
    <definedName name="E_EQNO2">systemcode_constants!$D$327</definedName>
    <definedName name="E_EQNO2_NO3">systemcode_constants!$D$331</definedName>
    <definedName name="E_EQNO3">systemcode_constants!$D$328</definedName>
    <definedName name="E_EQS">systemcode_constants!$D$338</definedName>
    <definedName name="e_rrorNHx_NOx">'Calculated variables'!$E$56</definedName>
    <definedName name="F__">systemcode_constants!$D$64</definedName>
    <definedName name="f_Ar_air">systemcode_constants!$D$48</definedName>
    <definedName name="f_bw_floc">'Calculated variables'!$E$60</definedName>
    <definedName name="f_C_BOD5_BODult">Parameters!$D$429</definedName>
    <definedName name="f_CO2_air">systemcode_constants!$D$49</definedName>
    <definedName name="f_di">'Calculated variables'!$E$588</definedName>
    <definedName name="f_di_IS_an">systemcode_constants!$D$346</definedName>
    <definedName name="f_di_IS_cat">systemcode_constants!$D$345</definedName>
    <definedName name="f_di_ISlim">'Calculated variables'!$E$585</definedName>
    <definedName name="f_E">Parameters!$D$381</definedName>
    <definedName name="f_H2O_HAO_TSS">Parameters!$D$443</definedName>
    <definedName name="f_H2O_HAO_VSS">Parameters!$D$444</definedName>
    <definedName name="f_H2O_HFO_TSS">Parameters!$D$436</definedName>
    <definedName name="f_H2O_HFO_VSS">Parameters!$D$437</definedName>
    <definedName name="f_kL_GCH4">Parameters!$D$455</definedName>
    <definedName name="f_kL_GCO2">Parameters!$D$454</definedName>
    <definedName name="f_kL_GH2">Parameters!$D$456</definedName>
    <definedName name="f_kL_GN2">Parameters!$D$451</definedName>
    <definedName name="f_kL_GN2O">Parameters!$D$452</definedName>
    <definedName name="f_kL_GNH3">Parameters!$D$457</definedName>
    <definedName name="f_kL_GNO">Parameters!$D$453</definedName>
    <definedName name="f_KS">'other parameters'!$D$8</definedName>
    <definedName name="f_KS_biofilm">Parameters!$D$307</definedName>
    <definedName name="f_mono">'Calculated variables'!$E$587</definedName>
    <definedName name="f_mono_IS_an">systemcode_constants!$D$344</definedName>
    <definedName name="f_mono_IS_cat">systemcode_constants!$D$343</definedName>
    <definedName name="f_mono_ISlim">'Calculated variables'!$E$584</definedName>
    <definedName name="f_N2_air">systemcode_constants!$D$47</definedName>
    <definedName name="f_Na">Parameters!$D$420</definedName>
    <definedName name="f_O2_air">systemcode_constants!$D$46</definedName>
    <definedName name="f_O2_max_ALPHA">Parameters!$D$461</definedName>
    <definedName name="f_P_VFA">Parameters!$D$368</definedName>
    <definedName name="f_S_BOD5_BODult">Parameters!$D$428</definedName>
    <definedName name="f_TOC_1">Parameters!$D$491</definedName>
    <definedName name="f_TOC_2">Parameters!$D$492</definedName>
    <definedName name="f_tri">'Calculated variables'!$E$589</definedName>
    <definedName name="f_tri_IS_an">systemcode_constants!$D$348</definedName>
    <definedName name="f_tri_IS_cat">systemcode_constants!$D$347</definedName>
    <definedName name="f_tri_ISlim">'Calculated variables'!$E$586</definedName>
    <definedName name="f_VFA_DM">Parameters!$D$423</definedName>
    <definedName name="f_X_BOD5_BODult">Parameters!$D$430</definedName>
    <definedName name="G_CH4">Components!$E$82</definedName>
    <definedName name="G_CH4_atm">Components!$E$90</definedName>
    <definedName name="G_CO2">Components!$E$81</definedName>
    <definedName name="G_CO2_atm">Components!$E$89</definedName>
    <definedName name="g_grav">systemcode_constants!$D$65</definedName>
    <definedName name="G_H2">Components!$E$83</definedName>
    <definedName name="G_H2_atm">Components!$E$91</definedName>
    <definedName name="G_N2">Components!$E$88</definedName>
    <definedName name="G_N2_atm">Components!$E$96</definedName>
    <definedName name="G_N2O">Components!$E$87</definedName>
    <definedName name="G_N2O_atm">Components!$E$95</definedName>
    <definedName name="G_NH3">Components!$E$85</definedName>
    <definedName name="G_NH3_atm">Components!$E$93</definedName>
    <definedName name="G_NO">Components!$E$86</definedName>
    <definedName name="G_NO_atm">Components!$E$94</definedName>
    <definedName name="G_O2">Components!$E$84</definedName>
    <definedName name="G_O2_atm">Components!$E$92</definedName>
    <definedName name="H_Acm">systemcode_constants!$D$417</definedName>
    <definedName name="H_Ca2p">systemcode_constants!$D$424</definedName>
    <definedName name="H_CO32m">systemcode_constants!$D$411</definedName>
    <definedName name="h_diff">'other parameters'!$D$12</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H2S_25">systemcode_constants!$D$20</definedName>
    <definedName name="H_enryGH2S_dt">systemcode_constants!$D$21</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H3_25">systemcode_constants!$D$18</definedName>
    <definedName name="H_enryGNH3_dt">systemcode_constants!$D$19</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systemcode_constants!$D$409</definedName>
    <definedName name="H_H2O">systemcode_constants!$D$430</definedName>
    <definedName name="H_H2PO4m">systemcode_constants!$D$413</definedName>
    <definedName name="H_H2S">systemcode_constants!$D$418</definedName>
    <definedName name="H_H2SO4">systemcode_constants!$D$421</definedName>
    <definedName name="H_H3Op">systemcode_constants!$D$402</definedName>
    <definedName name="H_H3PO4">systemcode_constants!$D$412</definedName>
    <definedName name="H_HAc">systemcode_constants!$D$416</definedName>
    <definedName name="H_HCO3m">systemcode_constants!$D$410</definedName>
    <definedName name="H_HNO2">systemcode_constants!$D$406</definedName>
    <definedName name="H_Hp">systemcode_constants!$D$401</definedName>
    <definedName name="H_HPO42m">systemcode_constants!$D$414</definedName>
    <definedName name="H_HSm">systemcode_constants!$D$419</definedName>
    <definedName name="H_HSO4m">systemcode_constants!$D$422</definedName>
    <definedName name="H_Mg2p">systemcode_constants!$D$425</definedName>
    <definedName name="H_Nap">systemcode_constants!$D$426</definedName>
    <definedName name="H_NH3">systemcode_constants!$D$404</definedName>
    <definedName name="H_NH4p">systemcode_constants!$D$405</definedName>
    <definedName name="H_NO2m">systemcode_constants!$D$407</definedName>
    <definedName name="H_NO3m">systemcode_constants!$D$408</definedName>
    <definedName name="H_OHm">systemcode_constants!$D$403</definedName>
    <definedName name="H_PO43m">systemcode_constants!$D$415</definedName>
    <definedName name="H_S2m">systemcode_constants!$D$420</definedName>
    <definedName name="H_satSNO_KNO_OHO">'Calculated variables'!$E$416</definedName>
    <definedName name="H_satSVFA_AMETO">'Calculated variables'!$E$491</definedName>
    <definedName name="H_SO42m">systemcode_constants!$D$423</definedName>
    <definedName name="H_STP">systemcode_constants!$D$70</definedName>
    <definedName name="i_Ca_INORG">Parameters!$D$421</definedName>
    <definedName name="i_Ca_PP">Parameters!$D$417</definedName>
    <definedName name="i_CIT_ALGAE">Parameters!$D$409</definedName>
    <definedName name="i_CIT_BIO">Parameters!$D$408</definedName>
    <definedName name="i_CIT_CH4">Parameters!$D$413</definedName>
    <definedName name="i_CIT_MEOL">Parameters!$D$412</definedName>
    <definedName name="i_CIT_PHA">Parameters!$D$415</definedName>
    <definedName name="i_CIT_SB">Parameters!$D$410</definedName>
    <definedName name="i_CIT_STC">'Calculated variables'!$E$78</definedName>
    <definedName name="i_CIT_VFA">Parameters!$D$414</definedName>
    <definedName name="i_CIT_XBe">Parameters!$D$411</definedName>
    <definedName name="i_CV_BIO">Parameters!$D$400</definedName>
    <definedName name="i_CV_CB">Parameters!$D$405</definedName>
    <definedName name="i_CV_CU">Parameters!$D$406</definedName>
    <definedName name="i_CV_PHA">Parameters!$D$407</definedName>
    <definedName name="i_CV_SB">Parameters!$D$403</definedName>
    <definedName name="i_CV_SU">Parameters!$D$404</definedName>
    <definedName name="i_CV_VFA">Parameters!$D$402</definedName>
    <definedName name="i_CV_XB">Parameters!$D$398</definedName>
    <definedName name="i_CV_XBe">'Calculated variables'!$E$61</definedName>
    <definedName name="i_CV_XE">Parameters!$D$401</definedName>
    <definedName name="i_CV_XU">Parameters!$D$399</definedName>
    <definedName name="i_INORG">Parameters!$D$416</definedName>
    <definedName name="i_iw_BIO">Parameters!$D$496</definedName>
    <definedName name="i_K_PP">Parameters!$D$419</definedName>
    <definedName name="i_Mg_INORG">Parameters!$D$422</definedName>
    <definedName name="i_Mg_PP">Parameters!$D$418</definedName>
    <definedName name="i_N_ALGAE">Parameters!$D$383</definedName>
    <definedName name="i_N_BIO">Parameters!$D$382</definedName>
    <definedName name="i_N_CB">Parameters!$D$385</definedName>
    <definedName name="i_N_CU">Parameters!$D$386</definedName>
    <definedName name="i_N_SU">Parameters!$D$387</definedName>
    <definedName name="i_N_XE">Parameters!$D$384</definedName>
    <definedName name="i_N_XSTR">Parameters!$D$388</definedName>
    <definedName name="i_P_ALGAE">Parameters!$D$390</definedName>
    <definedName name="i_P_BIO">Parameters!$D$389</definedName>
    <definedName name="i_P_CB">Parameters!$D$391</definedName>
    <definedName name="i_P_CU">Parameters!$D$392</definedName>
    <definedName name="i_P_SU">Parameters!$D$393</definedName>
    <definedName name="i_P_XACP">Parameters!$D$395</definedName>
    <definedName name="i_P_XBSH">Parameters!$D$396</definedName>
    <definedName name="i_P_XSTR">Parameters!$D$394</definedName>
    <definedName name="i_P_XVivi">Parameters!$D$397</definedName>
    <definedName name="I_S">'Calculated variables'!$E$633</definedName>
    <definedName name="I_Scalc">pH!$Z$21</definedName>
    <definedName name="I_Serror">'Calculated variables'!$E$676</definedName>
    <definedName name="I_Sinput_AS">Parameters!$D$483</definedName>
    <definedName name="I_Sinput_DIG">Parameters!$D$484</definedName>
    <definedName name="I_Sinput_sidestream">Parameters!$D$485</definedName>
    <definedName name="I_Slim">Parameters!$D$486</definedName>
    <definedName name="i_TSS_PP">Parameters!$D$369</definedName>
    <definedName name="i_vw_BIO">Parameters!$D$503</definedName>
    <definedName name="i_vw_CB">Parameters!$D$505</definedName>
    <definedName name="i_vw_CU">Parameters!$D$506</definedName>
    <definedName name="i_vw_EPS">Parameters!$D$508</definedName>
    <definedName name="i_vw_PHA">Parameters!$D$507</definedName>
    <definedName name="i_vw_XB">Parameters!$D$500</definedName>
    <definedName name="i_vw_XBe">Parameters!$D$501</definedName>
    <definedName name="i_vw_XE">Parameters!$D$504</definedName>
    <definedName name="i_vw_XU">Parameters!$D$502</definedName>
    <definedName name="i_wh_BIO">Parameters!$D$515</definedName>
    <definedName name="i_wh_EPS">Parameters!$D$518</definedName>
    <definedName name="i_wh_PHA">Parameters!$D$517</definedName>
    <definedName name="i_wh_XB">Parameters!$D$512</definedName>
    <definedName name="i_wh_XBe">Parameters!$D$513</definedName>
    <definedName name="i_wh_XE">Parameters!$D$516</definedName>
    <definedName name="i_wh_XU">Parameters!$D$514</definedName>
    <definedName name="J_photosynt_solar">'other parameters'!$D$90</definedName>
    <definedName name="J_photosynt_solar_opt">'other parameters'!$D$91</definedName>
    <definedName name="K_Ac">'Calculated variables'!$E$611</definedName>
    <definedName name="K_Ac_param">systemcode_constants!$D$301</definedName>
    <definedName name="K_Ac_T">'Calculated variables'!$E$599</definedName>
    <definedName name="K_ACP_DISS">Parameters!$D$212</definedName>
    <definedName name="K_AN">'Calculated variables'!$E$331</definedName>
    <definedName name="K_AN_AS">Parameters!$D$255</definedName>
    <definedName name="K_BSH_DISS">Parameters!$D$213</definedName>
    <definedName name="K_But_param">systemcode_constants!$D$303</definedName>
    <definedName name="K_C1">'Calculated variables'!$E$606</definedName>
    <definedName name="K_C1_param">systemcode_constants!$D$296</definedName>
    <definedName name="K_C1_T">'Calculated variables'!$E$594</definedName>
    <definedName name="K_C2">'Calculated variables'!$E$607</definedName>
    <definedName name="K_C2_param">systemcode_constants!$D$297</definedName>
    <definedName name="K_C2_T">'Calculated variables'!$E$595</definedName>
    <definedName name="K_Ca_BIO">'Calculated variables'!$E$335</definedName>
    <definedName name="K_Ca_BIO_AS">Parameters!$D$257</definedName>
    <definedName name="K_Ca_PAO">'Calculated variables'!$E$294</definedName>
    <definedName name="K_Ca_PAO_AS">Parameters!$D$87</definedName>
    <definedName name="K_CaCO3_DISS">Parameters!$D$214</definedName>
    <definedName name="K_CAT">'Calculated variables'!$E$329</definedName>
    <definedName name="K_CAT_AS">Parameters!$D$254</definedName>
    <definedName name="K_CB_FLOC">Parameters!$D$282</definedName>
    <definedName name="K_CB_FLOC_HAO">Parameters!$D$286</definedName>
    <definedName name="K_CB_FLOC_HFO">Parameters!$D$284</definedName>
    <definedName name="K_CO2_ALGAE">Parameters!$D$193</definedName>
    <definedName name="K_CO2_AMX_pH">'Calculated variables'!$E$205</definedName>
    <definedName name="K_CO2_AMX_pH_AS">Parameters!$D$160</definedName>
    <definedName name="K_CO2_AOB_pH">'Calculated variables'!$E$162</definedName>
    <definedName name="K_CO2_AOB_pH_AS">Parameters!$D$108</definedName>
    <definedName name="K_CO2_AOB_pH_sidestream">Parameters!$D$110</definedName>
    <definedName name="K_CO2_BIO">'Calculated variables'!$E$327</definedName>
    <definedName name="K_CO2_BIO_AS">Parameters!$D$253</definedName>
    <definedName name="K_CO2_NOB_pH">'Calculated variables'!$E$188</definedName>
    <definedName name="K_CO2_NOB_pH_AS">Parameters!$D$134</definedName>
    <definedName name="K_CU_FLOC">Parameters!$D$283</definedName>
    <definedName name="K_CU_FLOC_HAO">Parameters!$D$287</definedName>
    <definedName name="K_CU_FLOC_HFO">Parameters!$D$285</definedName>
    <definedName name="K_H2_HMETO">'Calculated variables'!$E$314</definedName>
    <definedName name="K_H2_HMETO_AS">Parameters!$D$183</definedName>
    <definedName name="K_H2S_param">systemcode_constants!$D$309</definedName>
    <definedName name="K_HNO2_AOB">'Calculated variables'!$E$172</definedName>
    <definedName name="K_HNO2_AOB_AS">Parameters!$D$120</definedName>
    <definedName name="K_HYD">'Calculated variables'!$E$337</definedName>
    <definedName name="K_HYD_AS">Parameters!$D$279</definedName>
    <definedName name="K_iHNO2_AMX_pH">'Calculated variables'!$E$210</definedName>
    <definedName name="K_iHNO2_AMX_pH_AS">Parameters!$D$164</definedName>
    <definedName name="K_iNH2OH_NOB">'Calculated variables'!$E$196</definedName>
    <definedName name="K_iNH2OH_NOB_AS">Parameters!$D$140</definedName>
    <definedName name="K_iNH3_AMETO_pH">'Calculated variables'!$E$305</definedName>
    <definedName name="K_iNH3_AMETO_pH_AS">Parameters!$D$172</definedName>
    <definedName name="K_iNH3_NOB_pH">'Calculated variables'!$E$194</definedName>
    <definedName name="K_iNH3_NOB_pH_AS">Parameters!$D$139</definedName>
    <definedName name="K_iNHx_ALGAE">Parameters!$D$197</definedName>
    <definedName name="K_iNHx_ASSIM">'Calculated variables'!$E$339</definedName>
    <definedName name="K_iNHx_ASSIM_AS">Parameters!$D$297</definedName>
    <definedName name="K_iNO_OHO_N2O">'Calculated variables'!$E$259</definedName>
    <definedName name="K_iNO_OHO_N2O_AS">Parameters!$D$36</definedName>
    <definedName name="K_iNO_OHO_NO">'Calculated variables'!$E$257</definedName>
    <definedName name="K_iNO_OHO_NO_AS">Parameters!$D$35</definedName>
    <definedName name="K_iNO_OHO_NO2">'Calculated variables'!$E$255</definedName>
    <definedName name="K_iNO_OHO_NO2_AS">Parameters!$D$34</definedName>
    <definedName name="K_iO2_AMETO">'Calculated variables'!$E$307</definedName>
    <definedName name="K_iO2_AMETO_AS">Parameters!$D$174</definedName>
    <definedName name="K_iO2_AMX">'Calculated variables'!$E$206</definedName>
    <definedName name="K_iO2_AMX_AS">Parameters!$D$162</definedName>
    <definedName name="K_iO2_AOB">'Calculated variables'!$E$178</definedName>
    <definedName name="K_iO2_AOB_AS">Parameters!$D$123</definedName>
    <definedName name="K_iO2_HMETO">'Calculated variables'!$E$316</definedName>
    <definedName name="K_iO2_HMETO_AS">Parameters!$D$184</definedName>
    <definedName name="K_iO2_MEOLO">'Calculated variables'!$E$271</definedName>
    <definedName name="K_iO2_MEOLO_AS">Parameters!$D$48</definedName>
    <definedName name="K_iP_HAO_DESORP">Parameters!$D$247</definedName>
    <definedName name="K_iP_HAO_DISS">Parameters!$D$245</definedName>
    <definedName name="K_iP_HFO_DESORP">Parameters!$D$232</definedName>
    <definedName name="K_iP_HFO_DISS">Parameters!$D$230</definedName>
    <definedName name="K_iPHA_GAO_max">Parameters!$D$94</definedName>
    <definedName name="K_iPHA_PAO_max">Parameters!$D$83</definedName>
    <definedName name="K_iPO4_lim">'Calculated variables'!$E$296</definedName>
    <definedName name="K_iPO4_lim_AS">Parameters!$D$89</definedName>
    <definedName name="K_iPP_PAO_max">Parameters!$D$80</definedName>
    <definedName name="K_iVFA_AMETO">'Calculated variables'!$E$303</definedName>
    <definedName name="K_iVFA_AMETO_AS">Parameters!$D$171</definedName>
    <definedName name="K_K_PAO">'Calculated variables'!$E$292</definedName>
    <definedName name="K_K_PAO_AS">Parameters!$D$86</definedName>
    <definedName name="k_L_GCH4_bub">'Calculated variables'!$E$775</definedName>
    <definedName name="k_L_GCH4_sur">'Calculated variables'!$E$782</definedName>
    <definedName name="k_L_GCO2_bub">'Calculated variables'!$E$774</definedName>
    <definedName name="k_L_GCO2_sur">'Calculated variables'!$E$781</definedName>
    <definedName name="k_L_GH2_bub">'Calculated variables'!$E$776</definedName>
    <definedName name="k_L_GH2_sur">'Calculated variables'!$E$783</definedName>
    <definedName name="k_L_GN2_bub">'Calculated variables'!$E$773</definedName>
    <definedName name="k_L_GN2_sur">'Calculated variables'!$E$780</definedName>
    <definedName name="k_L_GN2O_bub">'Calculated variables'!$E$777</definedName>
    <definedName name="k_L_GN2O_sur">'Calculated variables'!$E$784</definedName>
    <definedName name="k_L_GNH3_bub">'Calculated variables'!$E$779</definedName>
    <definedName name="k_L_GNH3_sur">'Calculated variables'!$E$786</definedName>
    <definedName name="k_L_GNO_bub">'Calculated variables'!$E$778</definedName>
    <definedName name="k_L_GNO_sur">'Calculated variables'!$E$785</definedName>
    <definedName name="k_L_GO2_bub">Parameters!$D$448</definedName>
    <definedName name="k_L_GO2_PondSurface">Parameters!$D$450</definedName>
    <definedName name="k_L_GO2_sur">Parameters!$D$449</definedName>
    <definedName name="k_LaGCH4_bub">'other parameters'!$D$16</definedName>
    <definedName name="k_LaGCH4_sur">'other parameters'!$D$37</definedName>
    <definedName name="k_LaGCO2_bub">'other parameters'!$D$15</definedName>
    <definedName name="k_LaGCO2_sur">'other parameters'!$D$36</definedName>
    <definedName name="k_LaGH2_bub">'other parameters'!$D$17</definedName>
    <definedName name="k_LaGH2_sur">'other parameters'!$D$38</definedName>
    <definedName name="k_LaGH2S_bub">'other parameters'!$D$13</definedName>
    <definedName name="k_LaGH2S_sur">'other parameters'!$D$34</definedName>
    <definedName name="k_LaGN2_bub">'other parameters'!$D$19</definedName>
    <definedName name="k_LaGN2_sur">'other parameters'!$D$40</definedName>
    <definedName name="k_LaGN2O_bub">'other parameters'!$D$20</definedName>
    <definedName name="k_LaGN2O_sur">'other parameters'!$D$41</definedName>
    <definedName name="k_LaGNH3_bub">'other parameters'!$D$18</definedName>
    <definedName name="k_LaGNH3_sur">'other parameters'!$D$39</definedName>
    <definedName name="k_LaGNO_bub">'other parameters'!$D$21</definedName>
    <definedName name="k_LaGNO_sur">'other parameters'!$D$42</definedName>
    <definedName name="k_LaGO2_bub">'other parameters'!$D$14</definedName>
    <definedName name="k_LaGO2_sur">'other parameters'!$D$35</definedName>
    <definedName name="K_MEOL">'Calculated variables'!$E$269</definedName>
    <definedName name="K_MEOL_AS">Parameters!$D$47</definedName>
    <definedName name="K_MEOL_OHO">'Calculated variables'!$E$245</definedName>
    <definedName name="K_MEOL_OHO_AS">Parameters!$D$29</definedName>
    <definedName name="K_Mg_BIO">'Calculated variables'!$E$333</definedName>
    <definedName name="K_Mg_BIO_AS">Parameters!$D$256</definedName>
    <definedName name="K_Mg_PAO">'Calculated variables'!$E$290</definedName>
    <definedName name="K_Mg_PAO_AS">Parameters!$D$85</definedName>
    <definedName name="K_N2O_OHO">'Calculated variables'!$E$253</definedName>
    <definedName name="K_N2O_OHO_AS">Parameters!$D$33</definedName>
    <definedName name="K_NH2OH_AOB">'Calculated variables'!$E$160</definedName>
    <definedName name="K_NH2OH_AOB_AS">Parameters!$D$118</definedName>
    <definedName name="K_NH3">'Calculated variables'!$E$613</definedName>
    <definedName name="K_NH3_param">systemcode_constants!$D$294</definedName>
    <definedName name="K_NH3_T">'Calculated variables'!$E$601</definedName>
    <definedName name="K_NHx_ALGAE">Parameters!$D$196</definedName>
    <definedName name="K_NHx_AMX">'Calculated variables'!$E$201</definedName>
    <definedName name="K_NHx_AMX_AS">Parameters!$D$158</definedName>
    <definedName name="K_NHx_AOB">'Calculated variables'!$E$156</definedName>
    <definedName name="K_NHx_AOB_AS">Parameters!$D$116</definedName>
    <definedName name="K_NHx_BIO">'Calculated variables'!$E$323</definedName>
    <definedName name="K_NHx_BIO_AS">Parameters!$D$251</definedName>
    <definedName name="K_NHx_NH2OH_AOB">'Calculated variables'!$E$158</definedName>
    <definedName name="K_NHx_NH2OH_AOB_AS">Parameters!$D$117</definedName>
    <definedName name="K_NO_N2O_AOB">'Calculated variables'!$E$176</definedName>
    <definedName name="K_NO_N2O_AOB_AS">Parameters!$D$122</definedName>
    <definedName name="K_NO_NO2_AOB">'Calculated variables'!$E$174</definedName>
    <definedName name="K_NO_NO2_AOB_AS">Parameters!$D$121</definedName>
    <definedName name="K_NO_OHO">'Calculated variables'!$E$251</definedName>
    <definedName name="K_NO_OHO_AS">Parameters!$D$32</definedName>
    <definedName name="K_NO2">'Calculated variables'!$E$612</definedName>
    <definedName name="K_NO2_AMX">'Calculated variables'!$E$203</definedName>
    <definedName name="K_NO2_AMX_AS">Parameters!$D$159</definedName>
    <definedName name="K_NO2_ASSIM">'Calculated variables'!$E$341</definedName>
    <definedName name="K_NO2_ASSIM_AS">Parameters!$D$298</definedName>
    <definedName name="K_NO2_CASTO">'Calculated variables'!$E$282</definedName>
    <definedName name="K_NO2_CASTO_AS">Parameters!$D$77</definedName>
    <definedName name="K_NO2_MEOLO">'Calculated variables'!$E$273</definedName>
    <definedName name="K_NO2_MEOLO_AS">Parameters!$D$50</definedName>
    <definedName name="K_NO2_NOB">'Calculated variables'!$E$186</definedName>
    <definedName name="K_NO2_NOB_AS">Parameters!$D$133</definedName>
    <definedName name="K_NO2_OHO">'Calculated variables'!$E$249</definedName>
    <definedName name="K_NO2_OHO_AS">Parameters!$D$31</definedName>
    <definedName name="K_NO2_param">systemcode_constants!$D$295</definedName>
    <definedName name="K_NO2_T">'Calculated variables'!$E$600</definedName>
    <definedName name="K_NO3_ASSIM">'Calculated variables'!$E$343</definedName>
    <definedName name="K_NO3_ASSIM_AS">Parameters!$D$299</definedName>
    <definedName name="K_NO3_CASTO">'Calculated variables'!$E$284</definedName>
    <definedName name="K_NO3_CASTO_AS">Parameters!$D$76</definedName>
    <definedName name="K_NO3_MEOLO">'Calculated variables'!$E$275</definedName>
    <definedName name="K_NO3_MEOLO_AS">Parameters!$D$49</definedName>
    <definedName name="K_NO3_OHO">'Calculated variables'!$E$247</definedName>
    <definedName name="K_NO3_OHO_AS">Parameters!$D$30</definedName>
    <definedName name="K_NOx_aBIO">Parameters!$D$150</definedName>
    <definedName name="K_NOx_ALGAE">Parameters!$D$194</definedName>
    <definedName name="K_NOx_AMETO">'Calculated variables'!$E$309</definedName>
    <definedName name="K_NOx_AMETO_AS">Parameters!$D$175</definedName>
    <definedName name="K_NOx_AMX">'Calculated variables'!$E$208</definedName>
    <definedName name="K_NOx_AMX_AS">Parameters!$D$163</definedName>
    <definedName name="K_NOx_AOB">'Calculated variables'!$E$170</definedName>
    <definedName name="K_NOx_AOB_AS">Parameters!$D$119</definedName>
    <definedName name="K_NOx_HMETO">'Calculated variables'!$E$318</definedName>
    <definedName name="K_NOx_HMETO_AS">Parameters!$D$185</definedName>
    <definedName name="K_NOx_NOB">'Calculated variables'!$E$192</definedName>
    <definedName name="K_NOx_NOB_AS">Parameters!$D$138</definedName>
    <definedName name="K_O2_aBIO">Parameters!$D$149</definedName>
    <definedName name="K_O2_ALGAE">Parameters!$D$195</definedName>
    <definedName name="K_O2_ALPHA">Parameters!$D$460</definedName>
    <definedName name="K_O2_AOB">'Calculated variables'!$E$180</definedName>
    <definedName name="K_O2_AOB_AS">Parameters!$D$125</definedName>
    <definedName name="K_O2_AOB_sidestream">Parameters!$D$124</definedName>
    <definedName name="K_O2_CASTO">'Calculated variables'!$E$280</definedName>
    <definedName name="K_O2_CASTO_AS">Parameters!$D$75</definedName>
    <definedName name="K_O2_NH2OH_AOB">'Calculated variables'!$E$167</definedName>
    <definedName name="K_O2_NH2OH_AOB_AS">Parameters!$D$115</definedName>
    <definedName name="K_O2_NH2OH_AOB_sidestream">Parameters!$D$113</definedName>
    <definedName name="K_O2_NHx_AOB">'Calculated variables'!$E$164</definedName>
    <definedName name="K_O2_NHx_AOB_AS">Parameters!$D$114</definedName>
    <definedName name="K_O2_NHx_AOB_sidestream">Parameters!$D$112</definedName>
    <definedName name="K_O2_NOB">'Calculated variables'!$E$189</definedName>
    <definedName name="K_O2_NOB_AS">Parameters!$D$137</definedName>
    <definedName name="K_O2_NOB_sidestream">Parameters!$D$136</definedName>
    <definedName name="K_O2_OHO">'Calculated variables'!$E$235</definedName>
    <definedName name="K_O2_OHO_AS">Parameters!$D$19</definedName>
    <definedName name="K_O2_OHO_N2O">'Calculated variables'!$E$243</definedName>
    <definedName name="K_O2_OHO_N2O_AS">Parameters!$D$23</definedName>
    <definedName name="K_O2_OHO_NO">'Calculated variables'!$E$241</definedName>
    <definedName name="K_O2_OHO_NO_AS">Parameters!$D$22</definedName>
    <definedName name="K_O2_OHO_NO2">'Calculated variables'!$E$239</definedName>
    <definedName name="K_O2_OHO_NO2_AS">Parameters!$D$21</definedName>
    <definedName name="K_O2_OHO_NO3">'Calculated variables'!$E$237</definedName>
    <definedName name="K_O2_OHO_NO3_AS">Parameters!$D$20</definedName>
    <definedName name="K_OC_PFOA_EQ">Parameters!$D$302</definedName>
    <definedName name="K_OC_PFOS_EQ">Parameters!$D$303</definedName>
    <definedName name="K_ORP_ana">Parameters!$D$478</definedName>
    <definedName name="K_ORP_SNOx">Parameters!$D$477</definedName>
    <definedName name="K_ORP_SO2">Parameters!$D$476</definedName>
    <definedName name="k_ORPswitch">Parameters!$D$99</definedName>
    <definedName name="K_P_HAO_BIND">Parameters!$D$244</definedName>
    <definedName name="K_P_HFO_BIND">Parameters!$D$233</definedName>
    <definedName name="K_P1">'Calculated variables'!$E$608</definedName>
    <definedName name="K_P1_param">systemcode_constants!$D$298</definedName>
    <definedName name="K_P1_T">'Calculated variables'!$E$596</definedName>
    <definedName name="K_P2">'Calculated variables'!$E$609</definedName>
    <definedName name="K_P2_param">systemcode_constants!$D$299</definedName>
    <definedName name="K_P2_T">'Calculated variables'!$E$597</definedName>
    <definedName name="K_P3">'Calculated variables'!$E$610</definedName>
    <definedName name="K_P3_param">systemcode_constants!$D$300</definedName>
    <definedName name="K_P3_T">'Calculated variables'!$E$598</definedName>
    <definedName name="K_PHA">Parameters!$D$73</definedName>
    <definedName name="K_PHA_cle">Parameters!$D$72</definedName>
    <definedName name="K_PHA_GAO">Parameters!$D$93</definedName>
    <definedName name="K_PO4_BIO">'Calculated variables'!$E$325</definedName>
    <definedName name="K_PO4_BIO_AS">Parameters!$D$252</definedName>
    <definedName name="K_PO4_PAO">'Calculated variables'!$E$288</definedName>
    <definedName name="K_PO4_PAO_AS">Parameters!$D$69</definedName>
    <definedName name="K_PP">Parameters!$D$79</definedName>
    <definedName name="K_PP_lim">Parameters!$D$88</definedName>
    <definedName name="K_Prop_param">systemcode_constants!$D$302</definedName>
    <definedName name="K_S1_param">systemcode_constants!$D$305</definedName>
    <definedName name="K_S2_param">systemcode_constants!$D$306</definedName>
    <definedName name="K_SB">'Calculated variables'!$E$215</definedName>
    <definedName name="K_SB_ana">'Calculated variables'!$E$263</definedName>
    <definedName name="K_SB_ana_AS">Parameters!$D$39</definedName>
    <definedName name="K_SB_ana_DIG">Parameters!$D$40</definedName>
    <definedName name="K_SB_AS">Parameters!$D$14</definedName>
    <definedName name="K_SB_N2O">'Calculated variables'!$E$223</definedName>
    <definedName name="K_SB_N2O_AS">Parameters!$D$18</definedName>
    <definedName name="K_SB_NO">'Calculated variables'!$E$221</definedName>
    <definedName name="K_SB_NO_AS">Parameters!$D$17</definedName>
    <definedName name="K_SB_NO2">'Calculated variables'!$E$219</definedName>
    <definedName name="K_SB_NO2_AS">Parameters!$D$16</definedName>
    <definedName name="K_SB_NO3">'Calculated variables'!$E$217</definedName>
    <definedName name="K_SB_NO3_AS">Parameters!$D$15</definedName>
    <definedName name="K_SO41_param">systemcode_constants!$D$307</definedName>
    <definedName name="K_SO42_param">systemcode_constants!$D$308</definedName>
    <definedName name="K_sp_ACP">'Calculated variables'!$E$620</definedName>
    <definedName name="K_sp_ACP_param">systemcode_constants!$D$315</definedName>
    <definedName name="K_sp_BSH">'Calculated variables'!$E$621</definedName>
    <definedName name="K_sp_BSH_param">systemcode_constants!$D$316</definedName>
    <definedName name="K_sp_CaCO3">'Calculated variables'!$E$617</definedName>
    <definedName name="K_sp_CaCO3_param">systemcode_constants!$D$313</definedName>
    <definedName name="K_sp_FeS_param">systemcode_constants!$D$318</definedName>
    <definedName name="K_sp_HDP_param">systemcode_constants!$D$319</definedName>
    <definedName name="K_sp_MKP_param">systemcode_constants!$D$320</definedName>
    <definedName name="K_sp_STR">'Calculated variables'!$E$618</definedName>
    <definedName name="K_sp_STR_param">systemcode_constants!$D$314</definedName>
    <definedName name="K_sp_Vivi">'Calculated variables'!$E$619</definedName>
    <definedName name="K_sp_Vivi_param">systemcode_constants!$D$317</definedName>
    <definedName name="K_STC">Parameters!$D$74</definedName>
    <definedName name="K_STR_DISS">Parameters!$D$211</definedName>
    <definedName name="k_transfer_GCO2_bub">'Calculated variables'!$E$766</definedName>
    <definedName name="k_transfer_GCO2_sur">'Calculated variables'!$E$768</definedName>
    <definedName name="k_transfer_GNH3_bub">'Calculated variables'!$E$767</definedName>
    <definedName name="k_transfer_GNH3_sur">'Calculated variables'!$E$769</definedName>
    <definedName name="K_Val_param">systemcode_constants!$D$304</definedName>
    <definedName name="K_VFA">'Calculated variables'!$E$225</definedName>
    <definedName name="K_VFA_AMETO">'Calculated variables'!$E$301</definedName>
    <definedName name="K_VFA_AMETO_AS">Parameters!$D$170</definedName>
    <definedName name="K_VFA_AS">Parameters!$D$24</definedName>
    <definedName name="K_VFA_CASTO">'Calculated variables'!$E$286</definedName>
    <definedName name="K_VFA_CASTO_AS">Parameters!$D$78</definedName>
    <definedName name="K_VFA_FERM">'Calculated variables'!$E$261</definedName>
    <definedName name="K_VFA_FERM_AS">Parameters!$D$37</definedName>
    <definedName name="K_VFA_N2O">'Calculated variables'!$E$233</definedName>
    <definedName name="K_VFA_N2O_AS">Parameters!$D$28</definedName>
    <definedName name="K_VFA_NO">'Calculated variables'!$E$231</definedName>
    <definedName name="K_VFA_NO_AS">Parameters!$D$27</definedName>
    <definedName name="K_VFA_NO2">'Calculated variables'!$E$229</definedName>
    <definedName name="K_VFA_NO2_AS">Parameters!$D$26</definedName>
    <definedName name="K_VFA_NO3">'Calculated variables'!$E$227</definedName>
    <definedName name="K_VFA_NO3_AS">Parameters!$D$25</definedName>
    <definedName name="K_Vivi_DISS">Parameters!$D$215</definedName>
    <definedName name="K_W">'Calculated variables'!$E$605</definedName>
    <definedName name="K_W_param">systemcode_constants!$D$293</definedName>
    <definedName name="K_W_T">'Calculated variables'!$E$593</definedName>
    <definedName name="K_XB_HYD">Parameters!$D$288</definedName>
    <definedName name="K_XBe_HYD">Parameters!$D$289</definedName>
    <definedName name="K_XEana_HYD">Parameters!$D$290</definedName>
    <definedName name="K_XTSS_lightextinction">'other parameters'!$D$92</definedName>
    <definedName name="K_XU">Parameters!$D$295</definedName>
    <definedName name="L_ightSwitch">'Calculated variables'!$E$99</definedName>
    <definedName name="L_oginhORP_HFO">'Calculated variables'!$E$95</definedName>
    <definedName name="L_oginhORP_PAO">'Calculated variables'!$E$90</definedName>
    <definedName name="L_oginhpHNH3_AMETO">'Calculated variables'!$E$386</definedName>
    <definedName name="L_oginhSPO4_KiP_HAO_DISS">'Calculated variables'!$E$526</definedName>
    <definedName name="L_oginhSPO4_KiP_HFO_DISS">'Calculated variables'!$E$523</definedName>
    <definedName name="L_oginhSVFA_KVFA_FERM">'Calculated variables'!$E$425</definedName>
    <definedName name="L_oginhXHET_HYD_lim">'Calculated variables'!$E$518</definedName>
    <definedName name="L_oginhXPHA_XGAO_max">'Calculated variables'!$E$484</definedName>
    <definedName name="L_oginhXPHA_XPAO_max">'Calculated variables'!$E$482</definedName>
    <definedName name="L_oginhXPP_XPAO_max">'Calculated variables'!$E$483</definedName>
    <definedName name="L_ograngeCO2_AMX_pH_AS">Parameters!$D$161</definedName>
    <definedName name="L_ograngeCO2_AOB_pH_AS">Parameters!$D$109</definedName>
    <definedName name="L_ograngeCO2_AOB_pH_sidestream">Parameters!$D$111</definedName>
    <definedName name="L_ograngeCO2_NOB_pH_AS">Parameters!$D$135</definedName>
    <definedName name="L_ograngeNH3_AMETO">Parameters!$D$173</definedName>
    <definedName name="L_ograngeP_HAO_DISS">Parameters!$D$246</definedName>
    <definedName name="L_ograngeP_HFO_DISS">Parameters!$D$231</definedName>
    <definedName name="L_ograngePHA_GAO_inh">Parameters!$D$95</definedName>
    <definedName name="L_ograngePHA_PAO_inh">Parameters!$D$84</definedName>
    <definedName name="L_ograngePO4_PAO_AS_sat">Parameters!$D$70</definedName>
    <definedName name="L_ograngePP_PAO_AS_sat">Parameters!$D$71</definedName>
    <definedName name="L_ograngePP_PAO_inh">Parameters!$D$81</definedName>
    <definedName name="L_ograngeVFA_FERM_AS">Parameters!$D$38</definedName>
    <definedName name="L_ograngeXHET_HYD_lim">Parameters!$D$281</definedName>
    <definedName name="L_ogsatORP_GAO_Half_15">Parameters!$D$96</definedName>
    <definedName name="L_ogsatORP_GAO_Half_25">Parameters!$D$97</definedName>
    <definedName name="L_ogsatORP_GAO_Half_T">'Calculated variables'!$E$93</definedName>
    <definedName name="L_ogsatORP_GAO_Slope">Parameters!$D$98</definedName>
    <definedName name="L_ogsatORP_GAO_T">'Calculated variables'!$E$94</definedName>
    <definedName name="L_ogsatORP_HFO_Half">Parameters!$D$227</definedName>
    <definedName name="L_ogsatORP_HFO_Slope">Parameters!$D$228</definedName>
    <definedName name="L_ogsatORP_PAO_Half">Parameters!$D$90</definedName>
    <definedName name="L_ogsatORP_PAO_Slope">Parameters!$D$91</definedName>
    <definedName name="L_ogsatpHCO2_AMX">'Calculated variables'!$E$384</definedName>
    <definedName name="L_ogsatpHCO2_AOB">'Calculated variables'!$E$381</definedName>
    <definedName name="L_ogsatpHCO2_NOB">'Calculated variables'!$E$383</definedName>
    <definedName name="L_ogsatSPO4_KPO4_PAO">'Calculated variables'!$E$477</definedName>
    <definedName name="L_ogsatSVFA_KVFA_FERM">'Calculated variables'!$E$424</definedName>
    <definedName name="L_ogsatXHET_HYD_lim">'Calculated variables'!$E$517</definedName>
    <definedName name="L_ogsatXPP_KPO4_PAO">'Calculated variables'!$E$480</definedName>
    <definedName name="L_ogslopeCO2_AMX_pH">'Calculated variables'!$E$351</definedName>
    <definedName name="L_ogslopeCO2_AOB_pH">'Calculated variables'!$E$348</definedName>
    <definedName name="L_ogslopeCO2_NOB_pH">'Calculated variables'!$E$350</definedName>
    <definedName name="L_ogslopeNH3_AMETO_pH">'Calculated variables'!$E$361</definedName>
    <definedName name="L_ogslopeP_HAO_DISS">'Calculated variables'!$E$363</definedName>
    <definedName name="L_ogslopeP_HFO_DISS">'Calculated variables'!$E$362</definedName>
    <definedName name="L_ogslopePHA_GAO_inh">'Calculated variables'!$E$360</definedName>
    <definedName name="L_ogslopePHA_PAO_inh">'Calculated variables'!$E$358</definedName>
    <definedName name="L_ogslopePO4_PAO_sat">'Calculated variables'!$E$354</definedName>
    <definedName name="L_ogslopePP_PAO_inh">'Calculated variables'!$E$359</definedName>
    <definedName name="L_ogslopePP_PAO_sat">'Calculated variables'!$E$356</definedName>
    <definedName name="L_ogslopeVFA_FERM">'Calculated variables'!$E$352</definedName>
    <definedName name="L_ogslopeXHET_HYD_lim">'Calculated variables'!$E$516</definedName>
    <definedName name="M_inhpHHNO2_AMX">'Calculated variables'!$E$385</definedName>
    <definedName name="M_inhpHNH3_NOB">'Calculated variables'!$E$382</definedName>
    <definedName name="M_inhSNH2OH_KNH2OH_NOB">'Calculated variables'!$E$451</definedName>
    <definedName name="M_inhSNHx_KiNHx_ALGAE">'Calculated variables'!$E$502</definedName>
    <definedName name="M_inhSNHx_KiNHx_ASSIM">'Calculated variables'!$E$503</definedName>
    <definedName name="M_inhSNO_KiNO_OHO_N2O">'Calculated variables'!$E$406</definedName>
    <definedName name="M_inhSNO_KiNO_OHO_NO2">'Calculated variables'!$E$405</definedName>
    <definedName name="M_inhSNO2_KNO2_ASSIM">'Calculated variables'!$E$522</definedName>
    <definedName name="M_inhSNO2_KNO2_CASTO">'Calculated variables'!$E$461</definedName>
    <definedName name="M_inhSNO2_KNO2_MEOLO">'Calculated variables'!$E$427</definedName>
    <definedName name="M_inhSNO2_KNO2_OHO">'Calculated variables'!$E$397</definedName>
    <definedName name="M_inhSNO3_KNO3_CASTO">'Calculated variables'!$E$462</definedName>
    <definedName name="M_inhSNO3_KNO3_MEOLO">'Calculated variables'!$E$428</definedName>
    <definedName name="M_inhSNO3_KNO3_OHO">'Calculated variables'!$E$398</definedName>
    <definedName name="M_inhSNOx_KNO3_AMETO">'Calculated variables'!$E$487</definedName>
    <definedName name="M_inhSNOx_KNO3_HMETO">'Calculated variables'!$E$492</definedName>
    <definedName name="M_inhSNOx_KNOx_aBIO">'Calculated variables'!$E$454</definedName>
    <definedName name="M_inhSNOx_KNOx_AMX">'Calculated variables'!$E$455</definedName>
    <definedName name="M_inhSNOx_KNOx_AOB">'Calculated variables'!$E$433</definedName>
    <definedName name="M_inhSNOx_KNOx_NOB">'Calculated variables'!$E$446</definedName>
    <definedName name="M_inhSO2_KiO2_AMETO">'Calculated variables'!$E$488</definedName>
    <definedName name="M_inhSO2_KiO2_AMX">'Calculated variables'!$E$456</definedName>
    <definedName name="M_inhSO2_KiO2_AOB">'Calculated variables'!$E$436</definedName>
    <definedName name="M_inhSO2_KiO2_HMETO">'Calculated variables'!$E$493</definedName>
    <definedName name="M_inhSO2_KiO2_MEOLO">'Calculated variables'!$E$426</definedName>
    <definedName name="M_inhSO2_KO2_aBIO">'Calculated variables'!$E$453</definedName>
    <definedName name="M_inhSO2_KO2_ALGAE">'Calculated variables'!$E$501</definedName>
    <definedName name="M_inhSO2_KO2_AOB">'Calculated variables'!$E$434</definedName>
    <definedName name="M_inhSO2_KO2_CASTO">'Calculated variables'!$E$463</definedName>
    <definedName name="M_inhSO2_KO2_NOB">'Calculated variables'!$E$447</definedName>
    <definedName name="M_inhSO2_KO2_OHO">'Calculated variables'!$E$399</definedName>
    <definedName name="M_inhSO2_KO2_OHO_N2O">'Calculated variables'!$E$403</definedName>
    <definedName name="M_inhSO2_KO2_OHO_NO">'Calculated variables'!$E$402</definedName>
    <definedName name="M_inhSO2_KO2_OHO_NO2">'Calculated variables'!$E$401</definedName>
    <definedName name="M_inhSO2_KO2_OHO_NO3">'Calculated variables'!$E$400</definedName>
    <definedName name="M_inhSPO4_KiP_HAO_DESORP">'Calculated variables'!$E$527</definedName>
    <definedName name="M_inhSPO4_KiP_HFO_DESORP">'Calculated variables'!$E$524</definedName>
    <definedName name="M_inhSPO4_KiPO4_lim">'Calculated variables'!$E$464</definedName>
    <definedName name="M_inhSVFA_KVFA">'Calculated variables'!$E$404</definedName>
    <definedName name="M_MACP">systemcode_constants!$D$212</definedName>
    <definedName name="M_Mair">systemcode_constants!$D$199</definedName>
    <definedName name="M_MAl2SO43">systemcode_constants!$D$213</definedName>
    <definedName name="M_MAlCl3">systemcode_constants!$D$214</definedName>
    <definedName name="M_MAlOH3">systemcode_constants!$D$215</definedName>
    <definedName name="M_MAlPO4">systemcode_constants!$D$216</definedName>
    <definedName name="M_MBSH">systemcode_constants!$D$217</definedName>
    <definedName name="M_MCaCl2">systemcode_constants!$D$218</definedName>
    <definedName name="M_MCaCO3">systemcode_constants!$D$219</definedName>
    <definedName name="M_MCaH2PO4">systemcode_constants!$D$220</definedName>
    <definedName name="M_MCaHCO3">systemcode_constants!$D$221</definedName>
    <definedName name="M_MCaHPO4">systemcode_constants!$D$222</definedName>
    <definedName name="M_MCaOH">systemcode_constants!$D$223</definedName>
    <definedName name="M_MCaOH2">systemcode_constants!$D$224</definedName>
    <definedName name="M_MCaPO4">systemcode_constants!$D$225</definedName>
    <definedName name="M_MCH3COOH">systemcode_constants!$D$226</definedName>
    <definedName name="M_MCH3OH">systemcode_constants!$D$227</definedName>
    <definedName name="M_MCO2">systemcode_constants!$D$228</definedName>
    <definedName name="M_MCO3">systemcode_constants!$D$229</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systemcode_constants!$D$230</definedName>
    <definedName name="M_MFe2SO43">systemcode_constants!$D$231</definedName>
    <definedName name="M_MFeCl2">systemcode_constants!$D$232</definedName>
    <definedName name="M_MFeCl3">systemcode_constants!$D$233</definedName>
    <definedName name="M_MFeOH3">systemcode_constants!$D$234</definedName>
    <definedName name="M_MFeS">systemcode_constants!$D$235</definedName>
    <definedName name="M_MFeSO4">systemcode_constants!$D$236</definedName>
    <definedName name="M_MGCH4">systemcode_constants!$D$201</definedName>
    <definedName name="M_MGCO2">systemcode_constants!$D$202</definedName>
    <definedName name="M_MGH2">systemcode_constants!$D$200</definedName>
    <definedName name="M_MGH2S">systemcode_constants!$D$208</definedName>
    <definedName name="M_MGN2">systemcode_constants!$D$204</definedName>
    <definedName name="M_MGN2O">systemcode_constants!$D$207</definedName>
    <definedName name="M_MGNH3">systemcode_constants!$D$203</definedName>
    <definedName name="M_MGNO">systemcode_constants!$D$206</definedName>
    <definedName name="M_MGO2">systemcode_constants!$D$205</definedName>
    <definedName name="M_MH2CO3">systemcode_constants!$D$237</definedName>
    <definedName name="M_MH2O">systemcode_constants!$D$238</definedName>
    <definedName name="M_MH2S">systemcode_constants!$D$240</definedName>
    <definedName name="M_MH2SO4">systemcode_constants!$D$241</definedName>
    <definedName name="M_MH3PO4">systemcode_constants!$D$239</definedName>
    <definedName name="M_MHAP">systemcode_constants!$D$242</definedName>
    <definedName name="M_MHCl">systemcode_constants!$D$243</definedName>
    <definedName name="M_MHCO3">systemcode_constants!$D$244</definedName>
    <definedName name="M_MHDP">systemcode_constants!$D$245</definedName>
    <definedName name="M_MHNO3">systemcode_constants!$D$246</definedName>
    <definedName name="M_MHSO4">systemcode_constants!$D$247</definedName>
    <definedName name="M_MKNO2">systemcode_constants!$D$263</definedName>
    <definedName name="M_MKNO3">systemcode_constants!$D$264</definedName>
    <definedName name="M_MMgCO3">systemcode_constants!$D$248</definedName>
    <definedName name="M_MMgH2PO4">systemcode_constants!$D$249</definedName>
    <definedName name="M_MMgHCO3">systemcode_constants!$D$250</definedName>
    <definedName name="M_MMgHPO4">systemcode_constants!$D$251</definedName>
    <definedName name="M_MMgOH">systemcode_constants!$D$252</definedName>
    <definedName name="M_MMgOH2">systemcode_constants!$D$253</definedName>
    <definedName name="M_MMgPO4">systemcode_constants!$D$254</definedName>
    <definedName name="M_MMKP">systemcode_constants!$D$255</definedName>
    <definedName name="M_MMMC">systemcode_constants!$D$256</definedName>
    <definedName name="M_MN2">systemcode_constants!$D$257</definedName>
    <definedName name="M_MN2O">systemcode_constants!$D$258</definedName>
    <definedName name="M_MNa2CO3">systemcode_constants!$D$259</definedName>
    <definedName name="M_MNaCl">systemcode_constants!$D$260</definedName>
    <definedName name="M_MNaHCO3">systemcode_constants!$D$261</definedName>
    <definedName name="M_MNaHPO4">systemcode_constants!$D$262</definedName>
    <definedName name="M_MNaOH">systemcode_constants!$D$265</definedName>
    <definedName name="M_MNH3">systemcode_constants!$D$266</definedName>
    <definedName name="M_MNH4">systemcode_constants!$D$267</definedName>
    <definedName name="M_MNH4HCO3">systemcode_constants!$D$268</definedName>
    <definedName name="M_MNO">systemcode_constants!$D$269</definedName>
    <definedName name="M_MNO2">systemcode_constants!$D$270</definedName>
    <definedName name="M_MNO3">systemcode_constants!$D$271</definedName>
    <definedName name="M_MO2">systemcode_constants!$D$272</definedName>
    <definedName name="M_MPO4">systemcode_constants!$D$273</definedName>
    <definedName name="M_MSiO2">systemcode_constants!$D$274</definedName>
    <definedName name="M_MSO4">systemcode_constants!$D$275</definedName>
    <definedName name="M_MSTR">systemcode_constants!$D$276</definedName>
    <definedName name="M_MVivi">systemcode_constants!$D$277</definedName>
    <definedName name="M_RinhXPHA_XGAO_KPHA">'Calculated variables'!$E$485</definedName>
    <definedName name="M_RinhXPHA_XPAO_KPHA_cle">'Calculated variables'!$E$467</definedName>
    <definedName name="M_RinhXPP_XPAO_KPP">'Calculated variables'!$E$469</definedName>
    <definedName name="M_RinhXSTC_XCASTO_KSTC">'Calculated variables'!$E$468</definedName>
    <definedName name="M_RsatXB_XHET_KHYD">'Calculated variables'!$E$510</definedName>
    <definedName name="M_RsatXBe_XHET_KHYD">'Calculated variables'!$E$511</definedName>
    <definedName name="M_RsatXEana_XHET_KHYD">'Calculated variables'!$E$512</definedName>
    <definedName name="M_RsatXPHA_XGAO_KPHA">'Calculated variables'!$E$486</definedName>
    <definedName name="M_RsatXPHA_XPAO_KPHA">'Calculated variables'!$E$466</definedName>
    <definedName name="M_RsatXPP_XPAO_KPP">'Calculated variables'!$E$470</definedName>
    <definedName name="M_RsatXSTC_XCASTO_KSTC">'Calculated variables'!$E$465</definedName>
    <definedName name="M_satCB_KCB_FLOC">'Calculated variables'!$E$504</definedName>
    <definedName name="M_satCB_KCB_FLOC_HAO">'Calculated variables'!$E$508</definedName>
    <definedName name="M_satCB_KCB_FLOC_HFO">'Calculated variables'!$E$506</definedName>
    <definedName name="M_satCU_KCU_FLOC">'Calculated variables'!$E$505</definedName>
    <definedName name="M_satCU_KCU_FLOC_HAO">'Calculated variables'!$E$509</definedName>
    <definedName name="M_satCU_KCU_FLOC_HFO">'Calculated variables'!$E$507</definedName>
    <definedName name="M_satSAN_KAN">'Calculated variables'!$E$390</definedName>
    <definedName name="M_satSB_KSB">'Calculated variables'!$E$407</definedName>
    <definedName name="M_satSB_KSB_ana">'Calculated variables'!$E$412</definedName>
    <definedName name="M_satSB_KSB_N2O">'Calculated variables'!$E$411</definedName>
    <definedName name="M_satSB_KSB_NO">'Calculated variables'!$E$410</definedName>
    <definedName name="M_satSB_KSB_NO2">'Calculated variables'!$E$409</definedName>
    <definedName name="M_satSB_KSB_NO3">'Calculated variables'!$E$408</definedName>
    <definedName name="M_satSCa_KCa">'Calculated variables'!$E$392</definedName>
    <definedName name="M_satSCa_KCa_PAO">'Calculated variables'!$E$471</definedName>
    <definedName name="M_satSCAT_KCAT">'Calculated variables'!$E$391</definedName>
    <definedName name="M_satSCO2_KCO2_ALGAE">'Calculated variables'!$E$497</definedName>
    <definedName name="M_satSCO2_KCO2_BIO">'Calculated variables'!$E$394</definedName>
    <definedName name="M_satSH2_KH2_HMETO">'Calculated variables'!$E$494</definedName>
    <definedName name="M_satSHNO2_KHNO2_AOB">'Calculated variables'!$E$443</definedName>
    <definedName name="M_satSK_KK_PAO">'Calculated variables'!$E$472</definedName>
    <definedName name="M_satSMEOL_KMEOL">'Calculated variables'!$E$429</definedName>
    <definedName name="M_satSMEOL_KMEOL_OHO">'Calculated variables'!$E$413</definedName>
    <definedName name="M_satSMg_KMg">'Calculated variables'!$E$393</definedName>
    <definedName name="M_satSMg_KMg_PAO">'Calculated variables'!$E$473</definedName>
    <definedName name="M_satSN2O_KN2O_OHO">'Calculated variables'!$E$417</definedName>
    <definedName name="M_satSNH2OH_KNH2OH_AOB">'Calculated variables'!$E$439</definedName>
    <definedName name="M_satSNHx_KNHx_ALGAE">'Calculated variables'!$E$499</definedName>
    <definedName name="M_satSNHx_KNHx_AMX">'Calculated variables'!$E$457</definedName>
    <definedName name="M_satSNHx_KNHx_AOB">'Calculated variables'!$E$437</definedName>
    <definedName name="M_satSNHx_KNHx_BIO">'Calculated variables'!$E$395</definedName>
    <definedName name="M_satSNHx_KNHx_NH2OH_AOB">'Calculated variables'!$E$438</definedName>
    <definedName name="M_satSNO_KNO_N2O_AOB">'Calculated variables'!$E$445</definedName>
    <definedName name="M_satSNO_KNO_NO2_AOB">'Calculated variables'!$E$444</definedName>
    <definedName name="M_satSNO2_KNO2_AMX">'Calculated variables'!$E$458</definedName>
    <definedName name="M_satSNO2_KNO2_ASSIM">'Calculated variables'!$E$520</definedName>
    <definedName name="M_satSNO2_KNO2_CASTO">'Calculated variables'!$E$474</definedName>
    <definedName name="M_satSNO2_KNO2_MEOLO">'Calculated variables'!$E$430</definedName>
    <definedName name="M_satSNO2_KNO2_NOB">'Calculated variables'!$E$448</definedName>
    <definedName name="M_satSNO2_KNO2_OHO">'Calculated variables'!$E$415</definedName>
    <definedName name="M_satSNO3_KNO3_ASSIM">'Calculated variables'!$E$521</definedName>
    <definedName name="M_satSNO3_KNO3_CASTO">'Calculated variables'!$E$475</definedName>
    <definedName name="M_satSNO3_KNO3_MEOLO">'Calculated variables'!$E$431</definedName>
    <definedName name="M_satSNO3_KNO3_OHO">'Calculated variables'!$E$414</definedName>
    <definedName name="M_satSNOx_KNO3_AMETO">'Calculated variables'!$E$489</definedName>
    <definedName name="M_satSNOx_KNO3_HMETO">'Calculated variables'!$E$495</definedName>
    <definedName name="M_satSNOx_KNOx_ALGAE">'Calculated variables'!$E$498</definedName>
    <definedName name="M_satSNOx_KNOx_AMX">'Calculated variables'!$E$459</definedName>
    <definedName name="M_satSNOx_KNOx_AOB">'Calculated variables'!$E$440</definedName>
    <definedName name="M_satSNOx_KNOx_NOB">'Calculated variables'!$E$449</definedName>
    <definedName name="M_satSO2_KiO2_AMETO">'Calculated variables'!$E$490</definedName>
    <definedName name="M_satSO2_KiO2_AMX">'Calculated variables'!$E$460</definedName>
    <definedName name="M_satSO2_KiO2_HMETO">'Calculated variables'!$E$496</definedName>
    <definedName name="M_satSO2_KiO2_MEOLO">'Calculated variables'!$E$432</definedName>
    <definedName name="M_satSO2_KO2_aBIO">'Calculated variables'!$E$452</definedName>
    <definedName name="M_satSO2_KO2_ALGAE">'Calculated variables'!$E$500</definedName>
    <definedName name="M_satSO2_KO2_AOB">'Calculated variables'!$E$435</definedName>
    <definedName name="M_satSO2_KO2_CASTO">'Calculated variables'!$E$476</definedName>
    <definedName name="M_satSO2_KO2_NH2OH_AOB">'Calculated variables'!$E$442</definedName>
    <definedName name="M_satSO2_KO2_NHx_AOB">'Calculated variables'!$E$441</definedName>
    <definedName name="M_satSO2_KO2_NOB">'Calculated variables'!$E$450</definedName>
    <definedName name="M_satSO2_KO2_OHO">'Calculated variables'!$E$418</definedName>
    <definedName name="M_satSPO4_KP_HAO_BIND">'Calculated variables'!$E$528</definedName>
    <definedName name="M_satSPO4_KP_HFO_BIND">'Calculated variables'!$E$525</definedName>
    <definedName name="M_satSPO4_KPO4_BIO">'Calculated variables'!$E$396</definedName>
    <definedName name="M_satSPO4_KPO4_PAO">'Calculated variables'!$E$478</definedName>
    <definedName name="M_satSVFA_KVFA">'Calculated variables'!$E$419</definedName>
    <definedName name="M_satSVFA_KVFA_CASTO">'Calculated variables'!$E$479</definedName>
    <definedName name="M_satSVFA_KVFA_N2O">'Calculated variables'!$E$423</definedName>
    <definedName name="M_satSVFA_KVFA_NO">'Calculated variables'!$E$422</definedName>
    <definedName name="M_satSVFA_KVFA_NO2">'Calculated variables'!$E$421</definedName>
    <definedName name="M_satSVFA_KVFA_NO3">'Calculated variables'!$E$420</definedName>
    <definedName name="M_satXACP_KACP_DISS">'Calculated variables'!$E$529</definedName>
    <definedName name="M_satXB_KXB_HYD">'Calculated variables'!$E$513</definedName>
    <definedName name="M_satXBe_KXBe_HYD">'Calculated variables'!$E$514</definedName>
    <definedName name="M_satXBSH_KBSH_DISS">'Calculated variables'!$E$530</definedName>
    <definedName name="M_satXCaCO3_KCaCO3_DISS">'Calculated variables'!$E$531</definedName>
    <definedName name="M_satXEana_KXEana_HYD">'Calculated variables'!$E$515</definedName>
    <definedName name="M_satXPP_KPP_lim">'Calculated variables'!$E$481</definedName>
    <definedName name="M_satXSTR_KSTR_DISS">'Calculated variables'!$E$532</definedName>
    <definedName name="M_satXU_KXU">'Calculated variables'!$E$519</definedName>
    <definedName name="M_satXVivi_KVivi_DISS">'Calculated variables'!$E$533</definedName>
    <definedName name="m_tox_aer">Parameters!$D$261</definedName>
    <definedName name="m_tox_ana">'Calculated variables'!$E$152</definedName>
    <definedName name="m_tox_ana_max">Parameters!$D$262</definedName>
    <definedName name="m_tox_anox">Parameters!$D$260</definedName>
    <definedName name="N_2OPR">'Calculated variables'!$E$131</definedName>
    <definedName name="N_2OPR_AR">'Calculated variables'!$E$137</definedName>
    <definedName name="N_2OPR_denit">'Calculated variables'!$E$133</definedName>
    <definedName name="N_2OPR_ND">'Calculated variables'!$E$136</definedName>
    <definedName name="N_2OPR_nit">'Calculated variables'!$E$134</definedName>
    <definedName name="N_2OPR_NN">'Calculated variables'!$E$135</definedName>
    <definedName name="N_2OUR_denit">'Calculated variables'!$E$132</definedName>
    <definedName name="N_2UR">'Calculated variables'!$E$130</definedName>
    <definedName name="N_3UR">'Calculated variables'!$E$129</definedName>
    <definedName name="ƞ_AOB_NO_N2O">Parameters!$D$105</definedName>
    <definedName name="ƞ_AOB_NO2_N2O">Parameters!$D$106</definedName>
    <definedName name="N_OUR">'Calculated variables'!$E$128</definedName>
    <definedName name="N_URAMX">'Calculated variables'!$E$139</definedName>
    <definedName name="o_ffsetORPswitch">Parameters!$D$100</definedName>
    <definedName name="O_RP">'Calculated variables'!$E$86</definedName>
    <definedName name="O_RPana">'Calculated variables'!$E$85</definedName>
    <definedName name="O_RPbase">Parameters!$D$473</definedName>
    <definedName name="O_RPmax_SNOx">Parameters!$D$475</definedName>
    <definedName name="O_RPmax_SO2">Parameters!$D$474</definedName>
    <definedName name="O_RPNOx">'Calculated variables'!$E$83</definedName>
    <definedName name="O_RPO2">'Calculated variables'!$E$82</definedName>
    <definedName name="O_UR">'Calculated variables'!$E$126</definedName>
    <definedName name="p_H">'Calculated variables'!$E$645</definedName>
    <definedName name="p_Hfield">Parameters!$D$482</definedName>
    <definedName name="p_Hhigh">Parameters!$D$264</definedName>
    <definedName name="p_Hhigh_AMETO">Parameters!$D$177</definedName>
    <definedName name="p_Hhigh_AOB">Parameters!$D$127</definedName>
    <definedName name="p_Hhigh_FLOC_HAO">Parameters!$D$278</definedName>
    <definedName name="p_Hhigh_FLOC_HFO">Parameters!$D$276</definedName>
    <definedName name="p_Hhigh_HMETO">Parameters!$D$187</definedName>
    <definedName name="p_Hhigh_NOB">Parameters!$D$142</definedName>
    <definedName name="p_Hlow">Parameters!$D$263</definedName>
    <definedName name="p_Hlow_AMETO">Parameters!$D$176</definedName>
    <definedName name="p_Hlow_AOB">Parameters!$D$126</definedName>
    <definedName name="p_Hlow_FLOC_HAO">Parameters!$D$277</definedName>
    <definedName name="p_Hlow_FLOC_HFO">Parameters!$D$275</definedName>
    <definedName name="p_Hlow_HMETO">Parameters!$D$186</definedName>
    <definedName name="p_Hlow_NOB">Parameters!$D$141</definedName>
    <definedName name="p_i">systemcode_constants!$D$74</definedName>
    <definedName name="p_NTP">systemcode_constants!$D$52</definedName>
    <definedName name="p_owdamp_ALPHA">Parameters!$D$463</definedName>
    <definedName name="P_recipDrivingForceACP">'Calculated variables'!$E$107</definedName>
    <definedName name="P_recipDrivingForceBSH">'Calculated variables'!$E$111</definedName>
    <definedName name="P_recipDrivingForceCaCO3">'Calculated variables'!$E$115</definedName>
    <definedName name="P_recipDrivingForceSTR">'Calculated variables'!$E$103</definedName>
    <definedName name="P_recipDrivingForceVivi">'Calculated variables'!$E$119</definedName>
    <definedName name="P_RR">'Calculated variables'!$E$143</definedName>
    <definedName name="p_STP">systemcode_constants!$D$51</definedName>
    <definedName name="P_UR">'Calculated variables'!$E$140</definedName>
    <definedName name="P_URBIO">'Calculated variables'!$E$141</definedName>
    <definedName name="P_URCHEM">'Calculated variables'!$E$142</definedName>
    <definedName name="q_ACP">'Calculated variables'!$E$110</definedName>
    <definedName name="q_ACP_DISS">Parameters!$D$206</definedName>
    <definedName name="q_ACP_PREC">Parameters!$D$205</definedName>
    <definedName name="q_ALPHA">Parameters!$D$458</definedName>
    <definedName name="q_ALPHA_O2">'Calculated variables'!$E$790</definedName>
    <definedName name="q_AMMON">Parameters!$D$291</definedName>
    <definedName name="q_AMMON_T">'Calculated variables'!$E$568</definedName>
    <definedName name="q_ASSIM">Parameters!$D$296</definedName>
    <definedName name="q_ASSIM_T">'Calculated variables'!$E$572</definedName>
    <definedName name="q_BSH">'Calculated variables'!$E$114</definedName>
    <definedName name="q_BSH_DISS">Parameters!$D$208</definedName>
    <definedName name="q_BSH_PREC">Parameters!$D$207</definedName>
    <definedName name="q_CaCO3">'Calculated variables'!$E$118</definedName>
    <definedName name="q_CaCO3_DISS">Parameters!$D$202</definedName>
    <definedName name="q_CaCO3_PREC">Parameters!$D$201</definedName>
    <definedName name="q_Fe2_OX">Parameters!$D$229</definedName>
    <definedName name="q_Fe2_OX_T">'Calculated variables'!$E$573</definedName>
    <definedName name="q_FLOC">Parameters!$D$272</definedName>
    <definedName name="q_FLOC_HAO">Parameters!$D$274</definedName>
    <definedName name="q_FLOC_HAO_T">'Calculated variables'!$E$565</definedName>
    <definedName name="q_FLOC_HFO">Parameters!$D$273</definedName>
    <definedName name="q_FLOC_HFO_T">'Calculated variables'!$E$564</definedName>
    <definedName name="q_FLOC_T">'Calculated variables'!$E$563</definedName>
    <definedName name="q_GAO_PHA">Parameters!$D$62</definedName>
    <definedName name="q_GAO_PHA_T">'Calculated variables'!$E$547</definedName>
    <definedName name="q_HAO_DISS">Parameters!$D$243</definedName>
    <definedName name="q_HAOH_AGING">Parameters!$D$237</definedName>
    <definedName name="q_HAOH_DESORP">Parameters!$D$241</definedName>
    <definedName name="q_HAOL_AGING">Parameters!$D$238</definedName>
    <definedName name="q_HAOL_DESORP">Parameters!$D$242</definedName>
    <definedName name="q_HFO_DISS">Parameters!$D$225</definedName>
    <definedName name="q_HFO_RED">Parameters!$D$226</definedName>
    <definedName name="q_HFO_RED_T">'Calculated variables'!$E$574</definedName>
    <definedName name="q_HFOH_AGING">Parameters!$D$219</definedName>
    <definedName name="q_HFOH_DESORP">Parameters!$D$223</definedName>
    <definedName name="q_HFOL_AGING">Parameters!$D$220</definedName>
    <definedName name="q_HFOL_DESORP">Parameters!$D$224</definedName>
    <definedName name="q_HYD_XB">Parameters!$D$268</definedName>
    <definedName name="q_HYD_XB_T">'Calculated variables'!$E$566</definedName>
    <definedName name="q_HYD_XBe">Parameters!$D$269</definedName>
    <definedName name="q_HYD_XBe_T">'Calculated variables'!$E$567</definedName>
    <definedName name="q_MEOL">Parameters!$D$46</definedName>
    <definedName name="q_NH2OH">Parameters!$D$151</definedName>
    <definedName name="q_NH2OH_NO2">Parameters!$D$146</definedName>
    <definedName name="q_NH2OH_NO2_pH">'Calculated variables'!$E$144</definedName>
    <definedName name="q_NH2OH_O2">Parameters!$D$148</definedName>
    <definedName name="q_P_HAO_BIND">Parameters!$D$240</definedName>
    <definedName name="q_P_HAO_COPREC">Parameters!$D$239</definedName>
    <definedName name="q_P_HFO_BIND">Parameters!$D$222</definedName>
    <definedName name="q_P_HFO_COPREC">Parameters!$D$221</definedName>
    <definedName name="q_PAO_PHA">Parameters!$D$61</definedName>
    <definedName name="q_PAO_PHA_T">'Calculated variables'!$E$546</definedName>
    <definedName name="q_PAO_PP">Parameters!$D$55</definedName>
    <definedName name="q_PAO_PP_T">'Calculated variables'!$E$545</definedName>
    <definedName name="q_PFOA_SORP">Parameters!$D$300</definedName>
    <definedName name="q_PFOS_SORP">Parameters!$D$301</definedName>
    <definedName name="q_SPB">Parameters!$D$292</definedName>
    <definedName name="q_SPB_T">'Calculated variables'!$E$569</definedName>
    <definedName name="q_STR">'Calculated variables'!$E$106</definedName>
    <definedName name="q_STR_DISS">Parameters!$D$204</definedName>
    <definedName name="q_STR_PREC">Parameters!$D$203</definedName>
    <definedName name="q_Vivi">'Calculated variables'!$E$122</definedName>
    <definedName name="q_Vivi_DISS">Parameters!$D$210</definedName>
    <definedName name="q_Vivi_PREC">Parameters!$D$209</definedName>
    <definedName name="q_XE">Parameters!$D$293</definedName>
    <definedName name="q_XE_T">'Calculated variables'!$E$570</definedName>
    <definedName name="q_XU">Parameters!$D$294</definedName>
    <definedName name="q_XU_T">'Calculated variables'!$E$571</definedName>
    <definedName name="R__">systemcode_constants!$D$60</definedName>
    <definedName name="r_1">Model!$CT$143</definedName>
    <definedName name="r_10">Model!$CT$152</definedName>
    <definedName name="r_100">Model!$CT$242</definedName>
    <definedName name="r_101">Model!$CT$243</definedName>
    <definedName name="r_102">Model!$CT$244</definedName>
    <definedName name="r_103">Model!$CT$245</definedName>
    <definedName name="r_104">Model!$CT$246</definedName>
    <definedName name="r_105">Model!$CT$247</definedName>
    <definedName name="r_106">Model!$CT$248</definedName>
    <definedName name="r_107">Model!$CT$249</definedName>
    <definedName name="r_108">Model!$CT$250</definedName>
    <definedName name="r_109">Model!$CT$251</definedName>
    <definedName name="r_11">Model!$CT$153</definedName>
    <definedName name="r_110">Model!$CT$252</definedName>
    <definedName name="r_111">Model!$CT$253</definedName>
    <definedName name="r_112">Model!$CT$254</definedName>
    <definedName name="r_113">Model!$CT$255</definedName>
    <definedName name="r_114">Model!$CT$256</definedName>
    <definedName name="r_115">Model!$CT$257</definedName>
    <definedName name="r_116">Model!$CT$258</definedName>
    <definedName name="r_117">Model!$CT$259</definedName>
    <definedName name="r_118">Model!$CT$260</definedName>
    <definedName name="r_119">Model!$CT$261</definedName>
    <definedName name="r_12">Model!$CT$154</definedName>
    <definedName name="r_120">Model!$CT$262</definedName>
    <definedName name="r_13">Model!$CT$155</definedName>
    <definedName name="r_14">Model!$CT$156</definedName>
    <definedName name="r_15">Model!$CT$157</definedName>
    <definedName name="r_16">Model!$CT$158</definedName>
    <definedName name="r_17">Model!$CT$159</definedName>
    <definedName name="r_18">Model!$CT$160</definedName>
    <definedName name="r_19">Model!$CT$161</definedName>
    <definedName name="r_2">Model!$CT$144</definedName>
    <definedName name="r_20">Model!$CT$162</definedName>
    <definedName name="r_21">Model!$CT$163</definedName>
    <definedName name="r_22">Model!$CT$164</definedName>
    <definedName name="r_23">Model!$CT$165</definedName>
    <definedName name="r_24">Model!$CT$166</definedName>
    <definedName name="r_25">Model!$CT$167</definedName>
    <definedName name="r_26">Model!$CT$168</definedName>
    <definedName name="r_27">Model!$CT$169</definedName>
    <definedName name="r_28">Model!$CT$170</definedName>
    <definedName name="r_29">Model!$CT$171</definedName>
    <definedName name="r_3">Model!$CT$145</definedName>
    <definedName name="r_30">Model!$CT$172</definedName>
    <definedName name="r_31">Model!$CT$173</definedName>
    <definedName name="r_32">Model!$CT$174</definedName>
    <definedName name="r_33">Model!$CT$175</definedName>
    <definedName name="r_34">Model!$CT$176</definedName>
    <definedName name="r_35">Model!$CT$177</definedName>
    <definedName name="r_36">Model!$CT$178</definedName>
    <definedName name="r_37">Model!$CT$179</definedName>
    <definedName name="r_38">Model!$CT$180</definedName>
    <definedName name="r_39">Model!$CT$181</definedName>
    <definedName name="r_4">Model!$CT$146</definedName>
    <definedName name="r_40">Model!$CT$182</definedName>
    <definedName name="r_41">Model!$CT$183</definedName>
    <definedName name="r_42">Model!$CT$184</definedName>
    <definedName name="r_43">Model!$CT$185</definedName>
    <definedName name="r_44">Model!$CT$186</definedName>
    <definedName name="r_45">Model!$CT$187</definedName>
    <definedName name="r_46">Model!$CT$188</definedName>
    <definedName name="r_47">Model!$CT$189</definedName>
    <definedName name="r_48">Model!$CT$190</definedName>
    <definedName name="r_49">Model!$CT$191</definedName>
    <definedName name="r_5">Model!$CT$147</definedName>
    <definedName name="r_50">Model!$CT$192</definedName>
    <definedName name="r_51">Model!$CT$193</definedName>
    <definedName name="r_52">Model!$CT$194</definedName>
    <definedName name="r_53">Model!$CT$195</definedName>
    <definedName name="r_54">Model!$CT$196</definedName>
    <definedName name="r_55">Model!$CT$197</definedName>
    <definedName name="r_56">Model!$CT$198</definedName>
    <definedName name="r_57">Model!$CT$199</definedName>
    <definedName name="r_58">Model!$CT$200</definedName>
    <definedName name="r_59">Model!$CT$201</definedName>
    <definedName name="r_6">Model!$CT$148</definedName>
    <definedName name="r_60">Model!$CT$202</definedName>
    <definedName name="r_61">Model!$CT$203</definedName>
    <definedName name="r_62">Model!$CT$204</definedName>
    <definedName name="r_63">Model!$CT$205</definedName>
    <definedName name="r_64">Model!$CT$206</definedName>
    <definedName name="r_65">Model!$CT$207</definedName>
    <definedName name="r_66">Model!$CT$208</definedName>
    <definedName name="r_67">Model!$CT$209</definedName>
    <definedName name="r_68">Model!$CT$210</definedName>
    <definedName name="r_69">Model!$CT$211</definedName>
    <definedName name="r_7">Model!$CT$149</definedName>
    <definedName name="r_70">Model!$CT$212</definedName>
    <definedName name="r_71">Model!$CT$213</definedName>
    <definedName name="r_72">Model!$CT$214</definedName>
    <definedName name="r_73">Model!$CT$215</definedName>
    <definedName name="r_74">Model!$CT$216</definedName>
    <definedName name="r_75">Model!$CT$217</definedName>
    <definedName name="r_76">Model!$CT$218</definedName>
    <definedName name="r_77">Model!$CT$219</definedName>
    <definedName name="r_78">Model!$CT$220</definedName>
    <definedName name="r_79">Model!$CT$221</definedName>
    <definedName name="r_8">Model!$CT$150</definedName>
    <definedName name="r_80">Model!$CT$222</definedName>
    <definedName name="r_81">Model!$CT$223</definedName>
    <definedName name="r_82">Model!$CT$224</definedName>
    <definedName name="r_83">Model!$CT$225</definedName>
    <definedName name="r_84">Model!$CT$226</definedName>
    <definedName name="r_85">Model!$CT$227</definedName>
    <definedName name="r_86">Model!$CT$228</definedName>
    <definedName name="r_87">Model!$CT$229</definedName>
    <definedName name="r_88">Model!$CT$230</definedName>
    <definedName name="r_89">Model!$CT$231</definedName>
    <definedName name="r_9">Model!$CT$151</definedName>
    <definedName name="r_90">Model!$CT$232</definedName>
    <definedName name="r_91">Model!$CT$233</definedName>
    <definedName name="r_92">Model!$CT$234</definedName>
    <definedName name="r_93">Model!$CT$235</definedName>
    <definedName name="r_94">Model!$CT$236</definedName>
    <definedName name="r_95">Model!$CT$237</definedName>
    <definedName name="r_96">Model!$CT$238</definedName>
    <definedName name="r_97">Model!$CT$239</definedName>
    <definedName name="r_98">Model!$CT$240</definedName>
    <definedName name="r_99">Model!$CT$241</definedName>
    <definedName name="R_air">systemcode_constants!$D$61</definedName>
    <definedName name="r_ateFLOC_CB_polymer">'other parameters'!$D$55</definedName>
    <definedName name="r_ateFLOC_CU_polymer">'other parameters'!$D$56</definedName>
    <definedName name="r_atioAAR_rbCODDR">'Calculated variables'!$E$84</definedName>
    <definedName name="r_atioVSS_TSS">'Calculated variables'!$E$57</definedName>
    <definedName name="r_bCODDR">'Calculated variables'!$E$146</definedName>
    <definedName name="S_ALK">'Calculated variables'!$E$629</definedName>
    <definedName name="S_ALK_calc">'Calculated variables'!$E$58</definedName>
    <definedName name="S_ALK_input">'other parameters'!$D$57</definedName>
    <definedName name="S_ALPHA">Components!$E$79</definedName>
    <definedName name="S_ALPHA_sat">Parameters!$D$459</definedName>
    <definedName name="S_AN">Components!$E$50</definedName>
    <definedName name="S_AN_ini">'other parameters'!$D$59</definedName>
    <definedName name="S_B">Components!$E$5</definedName>
    <definedName name="S_BOD_5">'Calculated variables'!$E$28</definedName>
    <definedName name="S_BOD_ult">'Calculated variables'!$E$25</definedName>
    <definedName name="S_Ca">Components!$E$51</definedName>
    <definedName name="S_CAT">Components!$E$49</definedName>
    <definedName name="S_CAT_ini">'other parameters'!$D$58</definedName>
    <definedName name="S_CCOD">'Calculated variables'!$E$32</definedName>
    <definedName name="S_CH4">Components!$E$45</definedName>
    <definedName name="S_CO2">Components!$E$47</definedName>
    <definedName name="S_COD">'Calculated variables'!$E$31</definedName>
    <definedName name="S_Fe2">Components!$E$54</definedName>
    <definedName name="S_GCH4_bub_sat">'other parameters'!$D$25</definedName>
    <definedName name="S_GCH4_sur_sat">'other parameters'!$D$46</definedName>
    <definedName name="S_GCO2_bub_sat">'other parameters'!$D$24</definedName>
    <definedName name="S_GCO2_sur_sat">'other parameters'!$D$45</definedName>
    <definedName name="S_GH2_bub_sat">'other parameters'!$D$26</definedName>
    <definedName name="S_GH2_sur_sat">'other parameters'!$D$47</definedName>
    <definedName name="S_GH2S_bub_sat">'other parameters'!$D$22</definedName>
    <definedName name="S_GH2S_sur_sat">'other parameters'!$D$43</definedName>
    <definedName name="S_GN2_bub_sat">'other parameters'!$D$28</definedName>
    <definedName name="S_GN2_sur_sat">'other parameters'!$D$49</definedName>
    <definedName name="S_GN2O_bub_sat">'other parameters'!$D$29</definedName>
    <definedName name="S_GN2O_sur_sat">'other parameters'!$D$50</definedName>
    <definedName name="S_GNH3_bub_sat">'other parameters'!$D$27</definedName>
    <definedName name="S_GNH3_sur_sat">'other parameters'!$D$48</definedName>
    <definedName name="S_GNO_bub_sat">'other parameters'!$D$30</definedName>
    <definedName name="S_GNO_sur_sat">'other parameters'!$D$51</definedName>
    <definedName name="S_GO2_bub_sat">'other parameters'!$D$23</definedName>
    <definedName name="S_GO2_sur_sat">'other parameters'!$D$44</definedName>
    <definedName name="S_H">Components!$E$78</definedName>
    <definedName name="S_H2">Components!$E$46</definedName>
    <definedName name="S_HNO2">'Calculated variables'!$E$753</definedName>
    <definedName name="S_K">Components!$E$53</definedName>
    <definedName name="S_KN">'Calculated variables'!$E$40</definedName>
    <definedName name="s_lh_diff_α">Parameters!$D$464</definedName>
    <definedName name="S_lopeIS_corr">Parameters!$D$487</definedName>
    <definedName name="s_lORP_GAO_Half_T">'Calculated variables'!$E$91</definedName>
    <definedName name="s_lTSS_α_coarse">Parameters!$D$466</definedName>
    <definedName name="s_lTSS_α_def">Parameters!$D$465</definedName>
    <definedName name="S_MEOL">Components!$E$6</definedName>
    <definedName name="S_Mg">Components!$E$52</definedName>
    <definedName name="S_N_B">Components!$E$34</definedName>
    <definedName name="S_N2">Components!$E$33</definedName>
    <definedName name="S_N2O">Components!$E$32</definedName>
    <definedName name="S_NH2OH">Components!$E$27</definedName>
    <definedName name="S_NH3">'Calculated variables'!$E$754</definedName>
    <definedName name="S_NHx">Components!$E$26</definedName>
    <definedName name="S_NO">'Calculated variables'!$E$42</definedName>
    <definedName name="S_NO_AOB">Components!$E$30</definedName>
    <definedName name="S_NO_OHO">Components!$E$31</definedName>
    <definedName name="S_NO2">Components!$E$29</definedName>
    <definedName name="S_NO3">Components!$E$28</definedName>
    <definedName name="S_NOx">'Calculated variables'!$E$43</definedName>
    <definedName name="S_NOx_Tot">'Calculated variables'!$E$44</definedName>
    <definedName name="S_O2">Components!$E$44</definedName>
    <definedName name="S_ORPswitch">Components!$E$80</definedName>
    <definedName name="S_P">'Calculated variables'!$E$47</definedName>
    <definedName name="S_P_B">Components!$E$40</definedName>
    <definedName name="S_PFOA">Components!$E$74</definedName>
    <definedName name="S_PFOS">Components!$E$76</definedName>
    <definedName name="S_PO4">Components!$E$38</definedName>
    <definedName name="S_rbCOD">'Calculated variables'!$E$7</definedName>
    <definedName name="S_U">Components!$E$10</definedName>
    <definedName name="S_U_N">'Calculated variables'!$E$41</definedName>
    <definedName name="S_umo__MSatMin">'other parameters'!$D$4</definedName>
    <definedName name="S_umo__pHEffects">'other parameters'!$D$63</definedName>
    <definedName name="S_VFA">Components!$E$4</definedName>
    <definedName name="T__">'Calculated variables'!$E$803</definedName>
    <definedName name="T_Al">'Calculated variables'!$E$51</definedName>
    <definedName name="T_base">Parameters!$D$348</definedName>
    <definedName name="T_BOD_5">'Calculated variables'!$E$30</definedName>
    <definedName name="T_BOD_ult">'Calculated variables'!$E$27</definedName>
    <definedName name="T_Ca">'Calculated variables'!$E$52</definedName>
    <definedName name="T_COD">'Calculated variables'!$E$33</definedName>
    <definedName name="T_COD_Th">'Calculated variables'!$E$34</definedName>
    <definedName name="T_Fe">'Calculated variables'!$E$50</definedName>
    <definedName name="T_IN">'Calculated variables'!$E$37</definedName>
    <definedName name="T_K">'Calculated variables'!$E$802</definedName>
    <definedName name="T_KN">'Calculated variables'!$E$35</definedName>
    <definedName name="T_KN_B">'Calculated variables'!$E$36</definedName>
    <definedName name="T_Mg">'Calculated variables'!$E$53</definedName>
    <definedName name="T_N">'Calculated variables'!$E$38</definedName>
    <definedName name="T_NTP_K">systemcode_constants!$D$68</definedName>
    <definedName name="T_OC">'Calculated variables'!$E$59</definedName>
    <definedName name="T_P">'Calculated variables'!$E$45</definedName>
    <definedName name="T_PFOA">'Calculated variables'!$E$62</definedName>
    <definedName name="T_PFOS">'Calculated variables'!$E$63</definedName>
    <definedName name="T_st_K">systemcode_constants!$D$67</definedName>
    <definedName name="T_STP_K">systemcode_constants!$D$69</definedName>
    <definedName name="v_1_CB">Model!$H$143</definedName>
    <definedName name="v_1_CU">Model!$L$143</definedName>
    <definedName name="v_1_GCH4">Model!$CE$143</definedName>
    <definedName name="v_1_GCH4_atm">Model!$CM$143</definedName>
    <definedName name="v_1_GCO2">Model!$CD$143</definedName>
    <definedName name="v_1_GCO2_atm">Model!$CL$143</definedName>
    <definedName name="v_1_GH2">Model!$CF$143</definedName>
    <definedName name="v_1_GH2_atm">Model!$CN$143</definedName>
    <definedName name="v_1_GN2">Model!$CK$143</definedName>
    <definedName name="v_1_GN2_atm">Model!$CS$143</definedName>
    <definedName name="v_1_GN2O">Model!$CJ$143</definedName>
    <definedName name="v_1_GN2O_atm">Model!$CR$143</definedName>
    <definedName name="v_1_GNH3">Model!$CH$143</definedName>
    <definedName name="v_1_GNH3_atm">Model!$CP$143</definedName>
    <definedName name="v_1_GNO">Model!$CI$143</definedName>
    <definedName name="v_1_GNO_atm">Model!$CQ$143</definedName>
    <definedName name="v_1_GO2">Model!$CG$143</definedName>
    <definedName name="v_1_GO2_atm">Model!$CO$143</definedName>
    <definedName name="v_1_SALPHA">Model!$CB$143</definedName>
    <definedName name="v_1_SAN">Model!$AY$143</definedName>
    <definedName name="v_1_SB">Model!$F$143</definedName>
    <definedName name="v_1_SCa">Model!$AZ$143</definedName>
    <definedName name="v_1_SCAT">Model!$AX$143</definedName>
    <definedName name="v_1_SCH4">Model!$AT$143</definedName>
    <definedName name="v_1_SCO2">Model!$AV$143</definedName>
    <definedName name="v_1_SFe2">Model!$BC$143</definedName>
    <definedName name="v_1_SH">Model!$CA$143</definedName>
    <definedName name="v_1_SH2">Model!$AU$143</definedName>
    <definedName name="v_1_SK">Model!$BB$143</definedName>
    <definedName name="v_1_SMEOL">Model!$G$143</definedName>
    <definedName name="v_1_SMg">Model!$BA$143</definedName>
    <definedName name="v_1_SN_B">Model!$AI$143</definedName>
    <definedName name="v_1_SN2">Model!$AH$143</definedName>
    <definedName name="v_1_SN2O">Model!$AG$143</definedName>
    <definedName name="v_1_SNH2OH">Model!$AB$143</definedName>
    <definedName name="v_1_SNHx">Model!$AA$143</definedName>
    <definedName name="v_1_SNO_AOB">Model!$AE$143</definedName>
    <definedName name="v_1_SNO_OHO">Model!$AF$143</definedName>
    <definedName name="v_1_SNO2">Model!$AD$143</definedName>
    <definedName name="v_1_SNO3">Model!$AC$143</definedName>
    <definedName name="v_1_SO2">Model!$AS$143</definedName>
    <definedName name="v_1_SORPswitch">Model!$CC$143</definedName>
    <definedName name="v_1_SP_B">Model!$AO$143</definedName>
    <definedName name="v_1_SPFOA">Model!$BW$143</definedName>
    <definedName name="v_1_SPFOS">Model!$BY$143</definedName>
    <definedName name="v_1_SPO4">Model!$AM$143</definedName>
    <definedName name="v_1_SU">Model!$K$143</definedName>
    <definedName name="v_1_SVFA">Model!$E$143</definedName>
    <definedName name="v_1_XACP">Model!$BS$143</definedName>
    <definedName name="v_1_XALGAE">Model!$Z$143</definedName>
    <definedName name="v_1_XAMETO">Model!$X$143</definedName>
    <definedName name="v_1_XAMX">Model!$W$143</definedName>
    <definedName name="v_1_XAOB">Model!$U$143</definedName>
    <definedName name="v_1_XB">Model!$I$143</definedName>
    <definedName name="v_1_XB_e">Model!$J$143</definedName>
    <definedName name="v_1_XBSH">Model!$BT$143</definedName>
    <definedName name="v_1_XCaCO3">Model!$BR$143</definedName>
    <definedName name="v_1_XCASTO">Model!$S$143</definedName>
    <definedName name="v_1_XE">Model!$P$143</definedName>
    <definedName name="v_1_XE_ana">Model!$Q$143</definedName>
    <definedName name="v_1_XHAO_H">Model!$BK$143</definedName>
    <definedName name="v_1_XHAO_H_P">Model!$BN$143</definedName>
    <definedName name="v_1_XHAO_H_P_old">Model!$BP$143</definedName>
    <definedName name="v_1_XHAO_L">Model!$BL$143</definedName>
    <definedName name="v_1_XHAO_L_P">Model!$BO$143</definedName>
    <definedName name="v_1_XHAO_L_P_old">Model!$BQ$143</definedName>
    <definedName name="v_1_XHAO_old">Model!$BM$143</definedName>
    <definedName name="v_1_XHFO_H">Model!$BD$143</definedName>
    <definedName name="v_1_XHFO_H_P">Model!$BG$143</definedName>
    <definedName name="v_1_XHFO_H_P_old">Model!$BI$143</definedName>
    <definedName name="v_1_XHFO_L">Model!$BE$143</definedName>
    <definedName name="v_1_XHFO_L_P">Model!$BH$143</definedName>
    <definedName name="v_1_XHFO_L_P_old">Model!$BJ$143</definedName>
    <definedName name="v_1_XHFO_old">Model!$BF$143</definedName>
    <definedName name="v_1_XHMETO">Model!$Y$143</definedName>
    <definedName name="v_1_XINORG">Model!$AW$143</definedName>
    <definedName name="v_1_XMEOLO">Model!$T$143</definedName>
    <definedName name="v_1_XN_B">Model!$AJ$143</definedName>
    <definedName name="v_1_XN_Be">Model!$AK$143</definedName>
    <definedName name="v_1_XN_U">Model!$AL$143</definedName>
    <definedName name="v_1_XNOB">Model!$V$143</definedName>
    <definedName name="v_1_XOHO">Model!$R$143</definedName>
    <definedName name="v_1_XP_B">Model!$AP$143</definedName>
    <definedName name="v_1_XP_Be">Model!$AQ$143</definedName>
    <definedName name="v_1_XP_U">Model!$AR$143</definedName>
    <definedName name="v_1_XPFOA">Model!$BX$143</definedName>
    <definedName name="v_1_XPFOS">Model!$BZ$143</definedName>
    <definedName name="v_1_XPHA_GAO">Model!$O$143</definedName>
    <definedName name="v_1_XPHA_PAO">Model!$N$143</definedName>
    <definedName name="v_1_XPP">Model!$AN$143</definedName>
    <definedName name="v_1_XSTR">Model!$BU$143</definedName>
    <definedName name="v_1_XU">Model!$M$143</definedName>
    <definedName name="v_1_XVivi">Model!$BV$143</definedName>
    <definedName name="v_10_CB">Model!$H$152</definedName>
    <definedName name="v_10_CU">Model!$L$152</definedName>
    <definedName name="v_10_GCH4">Model!$CE$152</definedName>
    <definedName name="v_10_GCH4_atm">Model!$CM$152</definedName>
    <definedName name="v_10_GCO2">Model!$CD$152</definedName>
    <definedName name="v_10_GCO2_atm">Model!$CL$152</definedName>
    <definedName name="v_10_GH2">Model!$CF$152</definedName>
    <definedName name="v_10_GH2_atm">Model!$CN$152</definedName>
    <definedName name="v_10_GN2">Model!$CK$152</definedName>
    <definedName name="v_10_GN2_atm">Model!$CS$152</definedName>
    <definedName name="v_10_GN2O">Model!$CJ$152</definedName>
    <definedName name="v_10_GN2O_atm">Model!$CR$152</definedName>
    <definedName name="v_10_GNH3">Model!$CH$152</definedName>
    <definedName name="v_10_GNH3_atm">Model!$CP$152</definedName>
    <definedName name="v_10_GNO">Model!$CI$152</definedName>
    <definedName name="v_10_GNO_atm">Model!$CQ$152</definedName>
    <definedName name="v_10_GO2">Model!$CG$152</definedName>
    <definedName name="v_10_GO2_atm">Model!$CO$152</definedName>
    <definedName name="v_10_SALPHA">Model!$CB$152</definedName>
    <definedName name="v_10_SAN">Model!$AY$152</definedName>
    <definedName name="v_10_SB">Model!$F$152</definedName>
    <definedName name="v_10_SCa">Model!$AZ$152</definedName>
    <definedName name="v_10_SCAT">Model!$AX$152</definedName>
    <definedName name="v_10_SCH4">Model!$AT$152</definedName>
    <definedName name="v_10_SCO2">Model!$AV$152</definedName>
    <definedName name="v_10_SFe2">Model!$BC$152</definedName>
    <definedName name="v_10_SH">Model!$CA$152</definedName>
    <definedName name="v_10_SH2">Model!$AU$152</definedName>
    <definedName name="v_10_SK">Model!$BB$152</definedName>
    <definedName name="v_10_SMEOL">Model!$G$152</definedName>
    <definedName name="v_10_SMg">Model!$BA$152</definedName>
    <definedName name="v_10_SN_B">Model!$AI$152</definedName>
    <definedName name="v_10_SN2">Model!$AH$152</definedName>
    <definedName name="v_10_SN2O">Model!$AG$152</definedName>
    <definedName name="v_10_SNH2OH">Model!$AB$152</definedName>
    <definedName name="v_10_SNHx">Model!$AA$152</definedName>
    <definedName name="v_10_SNO_AOB">Model!$AE$152</definedName>
    <definedName name="v_10_SNO_OHO">Model!$AF$152</definedName>
    <definedName name="v_10_SNO2">Model!$AD$152</definedName>
    <definedName name="v_10_SNO3">Model!$AC$152</definedName>
    <definedName name="v_10_SO2">Model!$AS$152</definedName>
    <definedName name="v_10_SORPswitch">Model!$CC$152</definedName>
    <definedName name="v_10_SP_B">Model!$AO$152</definedName>
    <definedName name="v_10_SPFOA">Model!$BW$152</definedName>
    <definedName name="v_10_SPFOS">Model!$BY$152</definedName>
    <definedName name="v_10_SPO4">Model!$AM$152</definedName>
    <definedName name="v_10_SU">Model!$K$152</definedName>
    <definedName name="v_10_SVFA">Model!$E$152</definedName>
    <definedName name="v_10_XACP">Model!$BS$152</definedName>
    <definedName name="v_10_XALGAE">Model!$Z$152</definedName>
    <definedName name="v_10_XAMETO">Model!$X$152</definedName>
    <definedName name="v_10_XAMX">Model!$W$152</definedName>
    <definedName name="v_10_XAOB">Model!$U$152</definedName>
    <definedName name="v_10_XB">Model!$I$152</definedName>
    <definedName name="v_10_XB_e">Model!$J$152</definedName>
    <definedName name="v_10_XBSH">Model!$BT$152</definedName>
    <definedName name="v_10_XCaCO3">Model!$BR$152</definedName>
    <definedName name="v_10_XCASTO">Model!$S$152</definedName>
    <definedName name="v_10_XE">Model!$P$152</definedName>
    <definedName name="v_10_XE_ana">Model!$Q$152</definedName>
    <definedName name="v_10_XHAO_H">Model!$BK$152</definedName>
    <definedName name="v_10_XHAO_H_P">Model!$BN$152</definedName>
    <definedName name="v_10_XHAO_H_P_old">Model!$BP$152</definedName>
    <definedName name="v_10_XHAO_L">Model!$BL$152</definedName>
    <definedName name="v_10_XHAO_L_P">Model!$BO$152</definedName>
    <definedName name="v_10_XHAO_L_P_old">Model!$BQ$152</definedName>
    <definedName name="v_10_XHAO_old">Model!$BM$152</definedName>
    <definedName name="v_10_XHFO_H">Model!$BD$152</definedName>
    <definedName name="v_10_XHFO_H_P">Model!$BG$152</definedName>
    <definedName name="v_10_XHFO_H_P_old">Model!$BI$152</definedName>
    <definedName name="v_10_XHFO_L">Model!$BE$152</definedName>
    <definedName name="v_10_XHFO_L_P">Model!$BH$152</definedName>
    <definedName name="v_10_XHFO_L_P_old">Model!$BJ$152</definedName>
    <definedName name="v_10_XHFO_old">Model!$BF$152</definedName>
    <definedName name="v_10_XHMETO">Model!$Y$152</definedName>
    <definedName name="v_10_XINORG">Model!$AW$152</definedName>
    <definedName name="v_10_XMEOLO">Model!$T$152</definedName>
    <definedName name="v_10_XN_B">Model!$AJ$152</definedName>
    <definedName name="v_10_XN_Be">Model!$AK$152</definedName>
    <definedName name="v_10_XN_U">Model!$AL$152</definedName>
    <definedName name="v_10_XNOB">Model!$V$152</definedName>
    <definedName name="v_10_XOHO">Model!$R$152</definedName>
    <definedName name="v_10_XP_B">Model!$AP$152</definedName>
    <definedName name="v_10_XP_Be">Model!$AQ$152</definedName>
    <definedName name="v_10_XP_U">Model!$AR$152</definedName>
    <definedName name="v_10_XPFOA">Model!$BX$152</definedName>
    <definedName name="v_10_XPFOS">Model!$BZ$152</definedName>
    <definedName name="v_10_XPHA_GAO">Model!$O$152</definedName>
    <definedName name="v_10_XPHA_PAO">Model!$N$152</definedName>
    <definedName name="v_10_XPP">Model!$AN$152</definedName>
    <definedName name="v_10_XSTR">Model!$BU$152</definedName>
    <definedName name="v_10_XU">Model!$M$152</definedName>
    <definedName name="v_10_XVivi">Model!$BV$152</definedName>
    <definedName name="v_100_CB">Model!$H$242</definedName>
    <definedName name="v_100_CU">Model!$L$242</definedName>
    <definedName name="v_100_GCH4">Model!$CE$242</definedName>
    <definedName name="v_100_GCH4_atm">Model!$CM$242</definedName>
    <definedName name="v_100_GCO2">Model!$CD$242</definedName>
    <definedName name="v_100_GCO2_atm">Model!$CL$242</definedName>
    <definedName name="v_100_GH2">Model!$CF$242</definedName>
    <definedName name="v_100_GH2_atm">Model!$CN$242</definedName>
    <definedName name="v_100_GN2">Model!$CK$242</definedName>
    <definedName name="v_100_GN2_atm">Model!$CS$242</definedName>
    <definedName name="v_100_GN2O">Model!$CJ$242</definedName>
    <definedName name="v_100_GN2O_atm">Model!$CR$242</definedName>
    <definedName name="v_100_GNH3">Model!$CH$242</definedName>
    <definedName name="v_100_GNH3_atm">Model!$CP$242</definedName>
    <definedName name="v_100_GNO">Model!$CI$242</definedName>
    <definedName name="v_100_GNO_atm">Model!$CQ$242</definedName>
    <definedName name="v_100_GO2">Model!$CG$242</definedName>
    <definedName name="v_100_GO2_atm">Model!$CO$242</definedName>
    <definedName name="v_100_SALPHA">Model!$CB$242</definedName>
    <definedName name="v_100_SAN">Model!$AY$242</definedName>
    <definedName name="v_100_SB">Model!$F$242</definedName>
    <definedName name="v_100_SCa">Model!$AZ$242</definedName>
    <definedName name="v_100_SCAT">Model!$AX$242</definedName>
    <definedName name="v_100_SCH4">Model!$AT$242</definedName>
    <definedName name="v_100_SCO2">Model!$AV$242</definedName>
    <definedName name="v_100_SFe2">Model!$BC$242</definedName>
    <definedName name="v_100_SH">Model!$CA$242</definedName>
    <definedName name="v_100_SH2">Model!$AU$242</definedName>
    <definedName name="v_100_SK">Model!$BB$242</definedName>
    <definedName name="v_100_SMEOL">Model!$G$242</definedName>
    <definedName name="v_100_SMg">Model!$BA$242</definedName>
    <definedName name="v_100_SN_B">Model!$AI$242</definedName>
    <definedName name="v_100_SN2">Model!$AH$242</definedName>
    <definedName name="v_100_SN2O">Model!$AG$242</definedName>
    <definedName name="v_100_SNH2OH">Model!$AB$242</definedName>
    <definedName name="v_100_SNHx">Model!$AA$242</definedName>
    <definedName name="v_100_SNO_AOB">Model!$AE$242</definedName>
    <definedName name="v_100_SNO_OHO">Model!$AF$242</definedName>
    <definedName name="v_100_SNO2">Model!$AD$242</definedName>
    <definedName name="v_100_SNO3">Model!$AC$242</definedName>
    <definedName name="v_100_SO2">Model!$AS$242</definedName>
    <definedName name="v_100_SORPswitch">Model!$CC$242</definedName>
    <definedName name="v_100_SP_B">Model!$AO$242</definedName>
    <definedName name="v_100_SPFOA">Model!$BW$242</definedName>
    <definedName name="v_100_SPFOS">Model!$BY$242</definedName>
    <definedName name="v_100_SPO4">Model!$AM$242</definedName>
    <definedName name="v_100_SU">Model!$K$242</definedName>
    <definedName name="v_100_SVFA">Model!$E$242</definedName>
    <definedName name="v_100_XACP">Model!$BS$242</definedName>
    <definedName name="v_100_XALGAE">Model!$Z$242</definedName>
    <definedName name="v_100_XAMETO">Model!$X$242</definedName>
    <definedName name="v_100_XAMX">Model!$W$242</definedName>
    <definedName name="v_100_XAOB">Model!$U$242</definedName>
    <definedName name="v_100_XB">Model!$I$242</definedName>
    <definedName name="v_100_XB_e">Model!$J$242</definedName>
    <definedName name="v_100_XBSH">Model!$BT$242</definedName>
    <definedName name="v_100_XCaCO3">Model!$BR$242</definedName>
    <definedName name="v_100_XCASTO">Model!$S$242</definedName>
    <definedName name="v_100_XE">Model!$P$242</definedName>
    <definedName name="v_100_XE_ana">Model!$Q$242</definedName>
    <definedName name="v_100_XHAO_H">Model!$BK$242</definedName>
    <definedName name="v_100_XHAO_H_P">Model!$BN$242</definedName>
    <definedName name="v_100_XHAO_H_P_old">Model!$BP$242</definedName>
    <definedName name="v_100_XHAO_L">Model!$BL$242</definedName>
    <definedName name="v_100_XHAO_L_P">Model!$BO$242</definedName>
    <definedName name="v_100_XHAO_L_P_old">Model!$BQ$242</definedName>
    <definedName name="v_100_XHAO_old">Model!$BM$242</definedName>
    <definedName name="v_100_XHFO_H">Model!$BD$242</definedName>
    <definedName name="v_100_XHFO_H_P">Model!$BG$242</definedName>
    <definedName name="v_100_XHFO_H_P_old">Model!$BI$242</definedName>
    <definedName name="v_100_XHFO_L">Model!$BE$242</definedName>
    <definedName name="v_100_XHFO_L_P">Model!$BH$242</definedName>
    <definedName name="v_100_XHFO_L_P_old">Model!$BJ$242</definedName>
    <definedName name="v_100_XHFO_old">Model!$BF$242</definedName>
    <definedName name="v_100_XHMETO">Model!$Y$242</definedName>
    <definedName name="v_100_XINORG">Model!$AW$242</definedName>
    <definedName name="v_100_XMEOLO">Model!$T$242</definedName>
    <definedName name="v_100_XN_B">Model!$AJ$242</definedName>
    <definedName name="v_100_XN_Be">Model!$AK$242</definedName>
    <definedName name="v_100_XN_U">Model!$AL$242</definedName>
    <definedName name="v_100_XNOB">Model!$V$242</definedName>
    <definedName name="v_100_XOHO">Model!$R$242</definedName>
    <definedName name="v_100_XP_B">Model!$AP$242</definedName>
    <definedName name="v_100_XP_Be">Model!$AQ$242</definedName>
    <definedName name="v_100_XP_U">Model!$AR$242</definedName>
    <definedName name="v_100_XPFOA">Model!$BX$242</definedName>
    <definedName name="v_100_XPFOS">Model!$BZ$242</definedName>
    <definedName name="v_100_XPHA_GAO">Model!$O$242</definedName>
    <definedName name="v_100_XPHA_PAO">Model!$N$242</definedName>
    <definedName name="v_100_XPP">Model!$AN$242</definedName>
    <definedName name="v_100_XSTR">Model!$BU$242</definedName>
    <definedName name="v_100_XU">Model!$M$242</definedName>
    <definedName name="v_100_XVivi">Model!$BV$242</definedName>
    <definedName name="v_101_CB">Model!$H$243</definedName>
    <definedName name="v_101_CU">Model!$L$243</definedName>
    <definedName name="v_101_GCH4">Model!$CE$243</definedName>
    <definedName name="v_101_GCH4_atm">Model!$CM$243</definedName>
    <definedName name="v_101_GCO2">Model!$CD$243</definedName>
    <definedName name="v_101_GCO2_atm">Model!$CL$243</definedName>
    <definedName name="v_101_GH2">Model!$CF$243</definedName>
    <definedName name="v_101_GH2_atm">Model!$CN$243</definedName>
    <definedName name="v_101_GN2">Model!$CK$243</definedName>
    <definedName name="v_101_GN2_atm">Model!$CS$243</definedName>
    <definedName name="v_101_GN2O">Model!$CJ$243</definedName>
    <definedName name="v_101_GN2O_atm">Model!$CR$243</definedName>
    <definedName name="v_101_GNH3">Model!$CH$243</definedName>
    <definedName name="v_101_GNH3_atm">Model!$CP$243</definedName>
    <definedName name="v_101_GNO">Model!$CI$243</definedName>
    <definedName name="v_101_GNO_atm">Model!$CQ$243</definedName>
    <definedName name="v_101_GO2">Model!$CG$243</definedName>
    <definedName name="v_101_GO2_atm">Model!$CO$243</definedName>
    <definedName name="v_101_SALPHA">Model!$CB$243</definedName>
    <definedName name="v_101_SAN">Model!$AY$243</definedName>
    <definedName name="v_101_SB">Model!$F$243</definedName>
    <definedName name="v_101_SCa">Model!$AZ$243</definedName>
    <definedName name="v_101_SCAT">Model!$AX$243</definedName>
    <definedName name="v_101_SCH4">Model!$AT$243</definedName>
    <definedName name="v_101_SCO2">Model!$AV$243</definedName>
    <definedName name="v_101_SFe2">Model!$BC$243</definedName>
    <definedName name="v_101_SH">Model!$CA$243</definedName>
    <definedName name="v_101_SH2">Model!$AU$243</definedName>
    <definedName name="v_101_SK">Model!$BB$243</definedName>
    <definedName name="v_101_SMEOL">Model!$G$243</definedName>
    <definedName name="v_101_SMg">Model!$BA$243</definedName>
    <definedName name="v_101_SN_B">Model!$AI$243</definedName>
    <definedName name="v_101_SN2">Model!$AH$243</definedName>
    <definedName name="v_101_SN2O">Model!$AG$243</definedName>
    <definedName name="v_101_SNH2OH">Model!$AB$243</definedName>
    <definedName name="v_101_SNHx">Model!$AA$243</definedName>
    <definedName name="v_101_SNO_AOB">Model!$AE$243</definedName>
    <definedName name="v_101_SNO_OHO">Model!$AF$243</definedName>
    <definedName name="v_101_SNO2">Model!$AD$243</definedName>
    <definedName name="v_101_SNO3">Model!$AC$243</definedName>
    <definedName name="v_101_SO2">Model!$AS$243</definedName>
    <definedName name="v_101_SORPswitch">Model!$CC$243</definedName>
    <definedName name="v_101_SP_B">Model!$AO$243</definedName>
    <definedName name="v_101_SPFOA">Model!$BW$243</definedName>
    <definedName name="v_101_SPFOS">Model!$BY$243</definedName>
    <definedName name="v_101_SPO4">Model!$AM$243</definedName>
    <definedName name="v_101_SU">Model!$K$243</definedName>
    <definedName name="v_101_SVFA">Model!$E$243</definedName>
    <definedName name="v_101_XACP">Model!$BS$243</definedName>
    <definedName name="v_101_XALGAE">Model!$Z$243</definedName>
    <definedName name="v_101_XAMETO">Model!$X$243</definedName>
    <definedName name="v_101_XAMX">Model!$W$243</definedName>
    <definedName name="v_101_XAOB">Model!$U$243</definedName>
    <definedName name="v_101_XB">Model!$I$243</definedName>
    <definedName name="v_101_XB_e">Model!$J$243</definedName>
    <definedName name="v_101_XBSH">Model!$BT$243</definedName>
    <definedName name="v_101_XCaCO3">Model!$BR$243</definedName>
    <definedName name="v_101_XCASTO">Model!$S$243</definedName>
    <definedName name="v_101_XE">Model!$P$243</definedName>
    <definedName name="v_101_XE_ana">Model!$Q$243</definedName>
    <definedName name="v_101_XHAO_H">Model!$BK$243</definedName>
    <definedName name="v_101_XHAO_H_P">Model!$BN$243</definedName>
    <definedName name="v_101_XHAO_H_P_old">Model!$BP$243</definedName>
    <definedName name="v_101_XHAO_L">Model!$BL$243</definedName>
    <definedName name="v_101_XHAO_L_P">Model!$BO$243</definedName>
    <definedName name="v_101_XHAO_L_P_old">Model!$BQ$243</definedName>
    <definedName name="v_101_XHAO_old">Model!$BM$243</definedName>
    <definedName name="v_101_XHFO_H">Model!$BD$243</definedName>
    <definedName name="v_101_XHFO_H_P">Model!$BG$243</definedName>
    <definedName name="v_101_XHFO_H_P_old">Model!$BI$243</definedName>
    <definedName name="v_101_XHFO_L">Model!$BE$243</definedName>
    <definedName name="v_101_XHFO_L_P">Model!$BH$243</definedName>
    <definedName name="v_101_XHFO_L_P_old">Model!$BJ$243</definedName>
    <definedName name="v_101_XHFO_old">Model!$BF$243</definedName>
    <definedName name="v_101_XHMETO">Model!$Y$243</definedName>
    <definedName name="v_101_XINORG">Model!$AW$243</definedName>
    <definedName name="v_101_XMEOLO">Model!$T$243</definedName>
    <definedName name="v_101_XN_B">Model!$AJ$243</definedName>
    <definedName name="v_101_XN_Be">Model!$AK$243</definedName>
    <definedName name="v_101_XN_U">Model!$AL$243</definedName>
    <definedName name="v_101_XNOB">Model!$V$243</definedName>
    <definedName name="v_101_XOHO">Model!$R$243</definedName>
    <definedName name="v_101_XP_B">Model!$AP$243</definedName>
    <definedName name="v_101_XP_Be">Model!$AQ$243</definedName>
    <definedName name="v_101_XP_U">Model!$AR$243</definedName>
    <definedName name="v_101_XPFOA">Model!$BX$243</definedName>
    <definedName name="v_101_XPFOS">Model!$BZ$243</definedName>
    <definedName name="v_101_XPHA_GAO">Model!$O$243</definedName>
    <definedName name="v_101_XPHA_PAO">Model!$N$243</definedName>
    <definedName name="v_101_XPP">Model!$AN$243</definedName>
    <definedName name="v_101_XSTR">Model!$BU$243</definedName>
    <definedName name="v_101_XU">Model!$M$243</definedName>
    <definedName name="v_101_XVivi">Model!$BV$243</definedName>
    <definedName name="v_102_CB">Model!$H$244</definedName>
    <definedName name="v_102_CU">Model!$L$244</definedName>
    <definedName name="v_102_GCH4">Model!$CE$244</definedName>
    <definedName name="v_102_GCH4_atm">Model!$CM$244</definedName>
    <definedName name="v_102_GCO2">Model!$CD$244</definedName>
    <definedName name="v_102_GCO2_atm">Model!$CL$244</definedName>
    <definedName name="v_102_GH2">Model!$CF$244</definedName>
    <definedName name="v_102_GH2_atm">Model!$CN$244</definedName>
    <definedName name="v_102_GN2">Model!$CK$244</definedName>
    <definedName name="v_102_GN2_atm">Model!$CS$244</definedName>
    <definedName name="v_102_GN2O">Model!$CJ$244</definedName>
    <definedName name="v_102_GN2O_atm">Model!$CR$244</definedName>
    <definedName name="v_102_GNH3">Model!$CH$244</definedName>
    <definedName name="v_102_GNH3_atm">Model!$CP$244</definedName>
    <definedName name="v_102_GNO">Model!$CI$244</definedName>
    <definedName name="v_102_GNO_atm">Model!$CQ$244</definedName>
    <definedName name="v_102_GO2">Model!$CG$244</definedName>
    <definedName name="v_102_GO2_atm">Model!$CO$244</definedName>
    <definedName name="v_102_SALPHA">Model!$CB$244</definedName>
    <definedName name="v_102_SAN">Model!$AY$244</definedName>
    <definedName name="v_102_SB">Model!$F$244</definedName>
    <definedName name="v_102_SCa">Model!$AZ$244</definedName>
    <definedName name="v_102_SCAT">Model!$AX$244</definedName>
    <definedName name="v_102_SCH4">Model!$AT$244</definedName>
    <definedName name="v_102_SCO2">Model!$AV$244</definedName>
    <definedName name="v_102_SFe2">Model!$BC$244</definedName>
    <definedName name="v_102_SH">Model!$CA$244</definedName>
    <definedName name="v_102_SH2">Model!$AU$244</definedName>
    <definedName name="v_102_SK">Model!$BB$244</definedName>
    <definedName name="v_102_SMEOL">Model!$G$244</definedName>
    <definedName name="v_102_SMg">Model!$BA$244</definedName>
    <definedName name="v_102_SN_B">Model!$AI$244</definedName>
    <definedName name="v_102_SN2">Model!$AH$244</definedName>
    <definedName name="v_102_SN2O">Model!$AG$244</definedName>
    <definedName name="v_102_SNH2OH">Model!$AB$244</definedName>
    <definedName name="v_102_SNHx">Model!$AA$244</definedName>
    <definedName name="v_102_SNO_AOB">Model!$AE$244</definedName>
    <definedName name="v_102_SNO_OHO">Model!$AF$244</definedName>
    <definedName name="v_102_SNO2">Model!$AD$244</definedName>
    <definedName name="v_102_SNO3">Model!$AC$244</definedName>
    <definedName name="v_102_SO2">Model!$AS$244</definedName>
    <definedName name="v_102_SORPswitch">Model!$CC$244</definedName>
    <definedName name="v_102_SP_B">Model!$AO$244</definedName>
    <definedName name="v_102_SPFOA">Model!$BW$244</definedName>
    <definedName name="v_102_SPFOS">Model!$BY$244</definedName>
    <definedName name="v_102_SPO4">Model!$AM$244</definedName>
    <definedName name="v_102_SU">Model!$K$244</definedName>
    <definedName name="v_102_SVFA">Model!$E$244</definedName>
    <definedName name="v_102_XACP">Model!$BS$244</definedName>
    <definedName name="v_102_XALGAE">Model!$Z$244</definedName>
    <definedName name="v_102_XAMETO">Model!$X$244</definedName>
    <definedName name="v_102_XAMX">Model!$W$244</definedName>
    <definedName name="v_102_XAOB">Model!$U$244</definedName>
    <definedName name="v_102_XB">Model!$I$244</definedName>
    <definedName name="v_102_XB_e">Model!$J$244</definedName>
    <definedName name="v_102_XBSH">Model!$BT$244</definedName>
    <definedName name="v_102_XCaCO3">Model!$BR$244</definedName>
    <definedName name="v_102_XCASTO">Model!$S$244</definedName>
    <definedName name="v_102_XE">Model!$P$244</definedName>
    <definedName name="v_102_XE_ana">Model!$Q$244</definedName>
    <definedName name="v_102_XHAO_H">Model!$BK$244</definedName>
    <definedName name="v_102_XHAO_H_P">Model!$BN$244</definedName>
    <definedName name="v_102_XHAO_H_P_old">Model!$BP$244</definedName>
    <definedName name="v_102_XHAO_L">Model!$BL$244</definedName>
    <definedName name="v_102_XHAO_L_P">Model!$BO$244</definedName>
    <definedName name="v_102_XHAO_L_P_old">Model!$BQ$244</definedName>
    <definedName name="v_102_XHAO_old">Model!$BM$244</definedName>
    <definedName name="v_102_XHFO_H">Model!$BD$244</definedName>
    <definedName name="v_102_XHFO_H_P">Model!$BG$244</definedName>
    <definedName name="v_102_XHFO_H_P_old">Model!$BI$244</definedName>
    <definedName name="v_102_XHFO_L">Model!$BE$244</definedName>
    <definedName name="v_102_XHFO_L_P">Model!$BH$244</definedName>
    <definedName name="v_102_XHFO_L_P_old">Model!$BJ$244</definedName>
    <definedName name="v_102_XHFO_old">Model!$BF$244</definedName>
    <definedName name="v_102_XHMETO">Model!$Y$244</definedName>
    <definedName name="v_102_XINORG">Model!$AW$244</definedName>
    <definedName name="v_102_XMEOLO">Model!$T$244</definedName>
    <definedName name="v_102_XN_B">Model!$AJ$244</definedName>
    <definedName name="v_102_XN_Be">Model!$AK$244</definedName>
    <definedName name="v_102_XN_U">Model!$AL$244</definedName>
    <definedName name="v_102_XNOB">Model!$V$244</definedName>
    <definedName name="v_102_XOHO">Model!$R$244</definedName>
    <definedName name="v_102_XP_B">Model!$AP$244</definedName>
    <definedName name="v_102_XP_Be">Model!$AQ$244</definedName>
    <definedName name="v_102_XP_U">Model!$AR$244</definedName>
    <definedName name="v_102_XPFOA">Model!$BX$244</definedName>
    <definedName name="v_102_XPFOS">Model!$BZ$244</definedName>
    <definedName name="v_102_XPHA_GAO">Model!$O$244</definedName>
    <definedName name="v_102_XPHA_PAO">Model!$N$244</definedName>
    <definedName name="v_102_XPP">Model!$AN$244</definedName>
    <definedName name="v_102_XSTR">Model!$BU$244</definedName>
    <definedName name="v_102_XU">Model!$M$244</definedName>
    <definedName name="v_102_XVivi">Model!$BV$244</definedName>
    <definedName name="v_103_CB">Model!$H$245</definedName>
    <definedName name="v_103_CU">Model!$L$245</definedName>
    <definedName name="v_103_GCH4">Model!$CE$245</definedName>
    <definedName name="v_103_GCH4_atm">Model!$CM$245</definedName>
    <definedName name="v_103_GCO2">Model!$CD$245</definedName>
    <definedName name="v_103_GCO2_atm">Model!$CL$245</definedName>
    <definedName name="v_103_GH2">Model!$CF$245</definedName>
    <definedName name="v_103_GH2_atm">Model!$CN$245</definedName>
    <definedName name="v_103_GN2">Model!$CK$245</definedName>
    <definedName name="v_103_GN2_atm">Model!$CS$245</definedName>
    <definedName name="v_103_GN2O">Model!$CJ$245</definedName>
    <definedName name="v_103_GN2O_atm">Model!$CR$245</definedName>
    <definedName name="v_103_GNH3">Model!$CH$245</definedName>
    <definedName name="v_103_GNH3_atm">Model!$CP$245</definedName>
    <definedName name="v_103_GNO">Model!$CI$245</definedName>
    <definedName name="v_103_GNO_atm">Model!$CQ$245</definedName>
    <definedName name="v_103_GO2">Model!$CG$245</definedName>
    <definedName name="v_103_GO2_atm">Model!$CO$245</definedName>
    <definedName name="v_103_SALPHA">Model!$CB$245</definedName>
    <definedName name="v_103_SAN">Model!$AY$245</definedName>
    <definedName name="v_103_SB">Model!$F$245</definedName>
    <definedName name="v_103_SCa">Model!$AZ$245</definedName>
    <definedName name="v_103_SCAT">Model!$AX$245</definedName>
    <definedName name="v_103_SCH4">Model!$AT$245</definedName>
    <definedName name="v_103_SCO2">Model!$AV$245</definedName>
    <definedName name="v_103_SFe2">Model!$BC$245</definedName>
    <definedName name="v_103_SH">Model!$CA$245</definedName>
    <definedName name="v_103_SH2">Model!$AU$245</definedName>
    <definedName name="v_103_SK">Model!$BB$245</definedName>
    <definedName name="v_103_SMEOL">Model!$G$245</definedName>
    <definedName name="v_103_SMg">Model!$BA$245</definedName>
    <definedName name="v_103_SN_B">Model!$AI$245</definedName>
    <definedName name="v_103_SN2">Model!$AH$245</definedName>
    <definedName name="v_103_SN2O">Model!$AG$245</definedName>
    <definedName name="v_103_SNH2OH">Model!$AB$245</definedName>
    <definedName name="v_103_SNHx">Model!$AA$245</definedName>
    <definedName name="v_103_SNO_AOB">Model!$AE$245</definedName>
    <definedName name="v_103_SNO_OHO">Model!$AF$245</definedName>
    <definedName name="v_103_SNO2">Model!$AD$245</definedName>
    <definedName name="v_103_SNO3">Model!$AC$245</definedName>
    <definedName name="v_103_SO2">Model!$AS$245</definedName>
    <definedName name="v_103_SORPswitch">Model!$CC$245</definedName>
    <definedName name="v_103_SP_B">Model!$AO$245</definedName>
    <definedName name="v_103_SPFOA">Model!$BW$245</definedName>
    <definedName name="v_103_SPFOS">Model!$BY$245</definedName>
    <definedName name="v_103_SPO4">Model!$AM$245</definedName>
    <definedName name="v_103_SU">Model!$K$245</definedName>
    <definedName name="v_103_SVFA">Model!$E$245</definedName>
    <definedName name="v_103_XACP">Model!$BS$245</definedName>
    <definedName name="v_103_XALGAE">Model!$Z$245</definedName>
    <definedName name="v_103_XAMETO">Model!$X$245</definedName>
    <definedName name="v_103_XAMX">Model!$W$245</definedName>
    <definedName name="v_103_XAOB">Model!$U$245</definedName>
    <definedName name="v_103_XB">Model!$I$245</definedName>
    <definedName name="v_103_XB_e">Model!$J$245</definedName>
    <definedName name="v_103_XBSH">Model!$BT$245</definedName>
    <definedName name="v_103_XCaCO3">Model!$BR$245</definedName>
    <definedName name="v_103_XCASTO">Model!$S$245</definedName>
    <definedName name="v_103_XE">Model!$P$245</definedName>
    <definedName name="v_103_XE_ana">Model!$Q$245</definedName>
    <definedName name="v_103_XHAO_H">Model!$BK$245</definedName>
    <definedName name="v_103_XHAO_H_P">Model!$BN$245</definedName>
    <definedName name="v_103_XHAO_H_P_old">Model!$BP$245</definedName>
    <definedName name="v_103_XHAO_L">Model!$BL$245</definedName>
    <definedName name="v_103_XHAO_L_P">Model!$BO$245</definedName>
    <definedName name="v_103_XHAO_L_P_old">Model!$BQ$245</definedName>
    <definedName name="v_103_XHAO_old">Model!$BM$245</definedName>
    <definedName name="v_103_XHFO_H">Model!$BD$245</definedName>
    <definedName name="v_103_XHFO_H_P">Model!$BG$245</definedName>
    <definedName name="v_103_XHFO_H_P_old">Model!$BI$245</definedName>
    <definedName name="v_103_XHFO_L">Model!$BE$245</definedName>
    <definedName name="v_103_XHFO_L_P">Model!$BH$245</definedName>
    <definedName name="v_103_XHFO_L_P_old">Model!$BJ$245</definedName>
    <definedName name="v_103_XHFO_old">Model!$BF$245</definedName>
    <definedName name="v_103_XHMETO">Model!$Y$245</definedName>
    <definedName name="v_103_XINORG">Model!$AW$245</definedName>
    <definedName name="v_103_XMEOLO">Model!$T$245</definedName>
    <definedName name="v_103_XN_B">Model!$AJ$245</definedName>
    <definedName name="v_103_XN_Be">Model!$AK$245</definedName>
    <definedName name="v_103_XN_U">Model!$AL$245</definedName>
    <definedName name="v_103_XNOB">Model!$V$245</definedName>
    <definedName name="v_103_XOHO">Model!$R$245</definedName>
    <definedName name="v_103_XP_B">Model!$AP$245</definedName>
    <definedName name="v_103_XP_Be">Model!$AQ$245</definedName>
    <definedName name="v_103_XP_U">Model!$AR$245</definedName>
    <definedName name="v_103_XPFOA">Model!$BX$245</definedName>
    <definedName name="v_103_XPFOS">Model!$BZ$245</definedName>
    <definedName name="v_103_XPHA_GAO">Model!$O$245</definedName>
    <definedName name="v_103_XPHA_PAO">Model!$N$245</definedName>
    <definedName name="v_103_XPP">Model!$AN$245</definedName>
    <definedName name="v_103_XSTR">Model!$BU$245</definedName>
    <definedName name="v_103_XU">Model!$M$245</definedName>
    <definedName name="v_103_XVivi">Model!$BV$245</definedName>
    <definedName name="v_104_CB">Model!$H$246</definedName>
    <definedName name="v_104_CU">Model!$L$246</definedName>
    <definedName name="v_104_GCH4">Model!$CE$246</definedName>
    <definedName name="v_104_GCH4_atm">Model!$CM$246</definedName>
    <definedName name="v_104_GCO2">Model!$CD$246</definedName>
    <definedName name="v_104_GCO2_atm">Model!$CL$246</definedName>
    <definedName name="v_104_GH2">Model!$CF$246</definedName>
    <definedName name="v_104_GH2_atm">Model!$CN$246</definedName>
    <definedName name="v_104_GN2">Model!$CK$246</definedName>
    <definedName name="v_104_GN2_atm">Model!$CS$246</definedName>
    <definedName name="v_104_GN2O">Model!$CJ$246</definedName>
    <definedName name="v_104_GN2O_atm">Model!$CR$246</definedName>
    <definedName name="v_104_GNH3">Model!$CH$246</definedName>
    <definedName name="v_104_GNH3_atm">Model!$CP$246</definedName>
    <definedName name="v_104_GNO">Model!$CI$246</definedName>
    <definedName name="v_104_GNO_atm">Model!$CQ$246</definedName>
    <definedName name="v_104_GO2">Model!$CG$246</definedName>
    <definedName name="v_104_GO2_atm">Model!$CO$246</definedName>
    <definedName name="v_104_SALPHA">Model!$CB$246</definedName>
    <definedName name="v_104_SAN">Model!$AY$246</definedName>
    <definedName name="v_104_SB">Model!$F$246</definedName>
    <definedName name="v_104_SCa">Model!$AZ$246</definedName>
    <definedName name="v_104_SCAT">Model!$AX$246</definedName>
    <definedName name="v_104_SCH4">Model!$AT$246</definedName>
    <definedName name="v_104_SCO2">Model!$AV$246</definedName>
    <definedName name="v_104_SFe2">Model!$BC$246</definedName>
    <definedName name="v_104_SH">Model!$CA$246</definedName>
    <definedName name="v_104_SH2">Model!$AU$246</definedName>
    <definedName name="v_104_SK">Model!$BB$246</definedName>
    <definedName name="v_104_SMEOL">Model!$G$246</definedName>
    <definedName name="v_104_SMg">Model!$BA$246</definedName>
    <definedName name="v_104_SN_B">Model!$AI$246</definedName>
    <definedName name="v_104_SN2">Model!$AH$246</definedName>
    <definedName name="v_104_SN2O">Model!$AG$246</definedName>
    <definedName name="v_104_SNH2OH">Model!$AB$246</definedName>
    <definedName name="v_104_SNHx">Model!$AA$246</definedName>
    <definedName name="v_104_SNO_AOB">Model!$AE$246</definedName>
    <definedName name="v_104_SNO_OHO">Model!$AF$246</definedName>
    <definedName name="v_104_SNO2">Model!$AD$246</definedName>
    <definedName name="v_104_SNO3">Model!$AC$246</definedName>
    <definedName name="v_104_SO2">Model!$AS$246</definedName>
    <definedName name="v_104_SORPswitch">Model!$CC$246</definedName>
    <definedName name="v_104_SP_B">Model!$AO$246</definedName>
    <definedName name="v_104_SPFOA">Model!$BW$246</definedName>
    <definedName name="v_104_SPFOS">Model!$BY$246</definedName>
    <definedName name="v_104_SPO4">Model!$AM$246</definedName>
    <definedName name="v_104_SU">Model!$K$246</definedName>
    <definedName name="v_104_SVFA">Model!$E$246</definedName>
    <definedName name="v_104_XACP">Model!$BS$246</definedName>
    <definedName name="v_104_XALGAE">Model!$Z$246</definedName>
    <definedName name="v_104_XAMETO">Model!$X$246</definedName>
    <definedName name="v_104_XAMX">Model!$W$246</definedName>
    <definedName name="v_104_XAOB">Model!$U$246</definedName>
    <definedName name="v_104_XB">Model!$I$246</definedName>
    <definedName name="v_104_XB_e">Model!$J$246</definedName>
    <definedName name="v_104_XBSH">Model!$BT$246</definedName>
    <definedName name="v_104_XCaCO3">Model!$BR$246</definedName>
    <definedName name="v_104_XCASTO">Model!$S$246</definedName>
    <definedName name="v_104_XE">Model!$P$246</definedName>
    <definedName name="v_104_XE_ana">Model!$Q$246</definedName>
    <definedName name="v_104_XHAO_H">Model!$BK$246</definedName>
    <definedName name="v_104_XHAO_H_P">Model!$BN$246</definedName>
    <definedName name="v_104_XHAO_H_P_old">Model!$BP$246</definedName>
    <definedName name="v_104_XHAO_L">Model!$BL$246</definedName>
    <definedName name="v_104_XHAO_L_P">Model!$BO$246</definedName>
    <definedName name="v_104_XHAO_L_P_old">Model!$BQ$246</definedName>
    <definedName name="v_104_XHAO_old">Model!$BM$246</definedName>
    <definedName name="v_104_XHFO_H">Model!$BD$246</definedName>
    <definedName name="v_104_XHFO_H_P">Model!$BG$246</definedName>
    <definedName name="v_104_XHFO_H_P_old">Model!$BI$246</definedName>
    <definedName name="v_104_XHFO_L">Model!$BE$246</definedName>
    <definedName name="v_104_XHFO_L_P">Model!$BH$246</definedName>
    <definedName name="v_104_XHFO_L_P_old">Model!$BJ$246</definedName>
    <definedName name="v_104_XHFO_old">Model!$BF$246</definedName>
    <definedName name="v_104_XHMETO">Model!$Y$246</definedName>
    <definedName name="v_104_XINORG">Model!$AW$246</definedName>
    <definedName name="v_104_XMEOLO">Model!$T$246</definedName>
    <definedName name="v_104_XN_B">Model!$AJ$246</definedName>
    <definedName name="v_104_XN_Be">Model!$AK$246</definedName>
    <definedName name="v_104_XN_U">Model!$AL$246</definedName>
    <definedName name="v_104_XNOB">Model!$V$246</definedName>
    <definedName name="v_104_XOHO">Model!$R$246</definedName>
    <definedName name="v_104_XP_B">Model!$AP$246</definedName>
    <definedName name="v_104_XP_Be">Model!$AQ$246</definedName>
    <definedName name="v_104_XP_U">Model!$AR$246</definedName>
    <definedName name="v_104_XPFOA">Model!$BX$246</definedName>
    <definedName name="v_104_XPFOS">Model!$BZ$246</definedName>
    <definedName name="v_104_XPHA_GAO">Model!$O$246</definedName>
    <definedName name="v_104_XPHA_PAO">Model!$N$246</definedName>
    <definedName name="v_104_XPP">Model!$AN$246</definedName>
    <definedName name="v_104_XSTR">Model!$BU$246</definedName>
    <definedName name="v_104_XU">Model!$M$246</definedName>
    <definedName name="v_104_XVivi">Model!$BV$246</definedName>
    <definedName name="v_105_CB">Model!$H$247</definedName>
    <definedName name="v_105_CU">Model!$L$247</definedName>
    <definedName name="v_105_GCH4">Model!$CE$247</definedName>
    <definedName name="v_105_GCH4_atm">Model!$CM$247</definedName>
    <definedName name="v_105_GCO2">Model!$CD$247</definedName>
    <definedName name="v_105_GCO2_atm">Model!$CL$247</definedName>
    <definedName name="v_105_GH2">Model!$CF$247</definedName>
    <definedName name="v_105_GH2_atm">Model!$CN$247</definedName>
    <definedName name="v_105_GN2">Model!$CK$247</definedName>
    <definedName name="v_105_GN2_atm">Model!$CS$247</definedName>
    <definedName name="v_105_GN2O">Model!$CJ$247</definedName>
    <definedName name="v_105_GN2O_atm">Model!$CR$247</definedName>
    <definedName name="v_105_GNH3">Model!$CH$247</definedName>
    <definedName name="v_105_GNH3_atm">Model!$CP$247</definedName>
    <definedName name="v_105_GNO">Model!$CI$247</definedName>
    <definedName name="v_105_GNO_atm">Model!$CQ$247</definedName>
    <definedName name="v_105_GO2">Model!$CG$247</definedName>
    <definedName name="v_105_GO2_atm">Model!$CO$247</definedName>
    <definedName name="v_105_SALPHA">Model!$CB$247</definedName>
    <definedName name="v_105_SAN">Model!$AY$247</definedName>
    <definedName name="v_105_SB">Model!$F$247</definedName>
    <definedName name="v_105_SCa">Model!$AZ$247</definedName>
    <definedName name="v_105_SCAT">Model!$AX$247</definedName>
    <definedName name="v_105_SCH4">Model!$AT$247</definedName>
    <definedName name="v_105_SCO2">Model!$AV$247</definedName>
    <definedName name="v_105_SFe2">Model!$BC$247</definedName>
    <definedName name="v_105_SH">Model!$CA$247</definedName>
    <definedName name="v_105_SH2">Model!$AU$247</definedName>
    <definedName name="v_105_SK">Model!$BB$247</definedName>
    <definedName name="v_105_SMEOL">Model!$G$247</definedName>
    <definedName name="v_105_SMg">Model!$BA$247</definedName>
    <definedName name="v_105_SN_B">Model!$AI$247</definedName>
    <definedName name="v_105_SN2">Model!$AH$247</definedName>
    <definedName name="v_105_SN2O">Model!$AG$247</definedName>
    <definedName name="v_105_SNH2OH">Model!$AB$247</definedName>
    <definedName name="v_105_SNHx">Model!$AA$247</definedName>
    <definedName name="v_105_SNO_AOB">Model!$AE$247</definedName>
    <definedName name="v_105_SNO_OHO">Model!$AF$247</definedName>
    <definedName name="v_105_SNO2">Model!$AD$247</definedName>
    <definedName name="v_105_SNO3">Model!$AC$247</definedName>
    <definedName name="v_105_SO2">Model!$AS$247</definedName>
    <definedName name="v_105_SORPswitch">Model!$CC$247</definedName>
    <definedName name="v_105_SP_B">Model!$AO$247</definedName>
    <definedName name="v_105_SPFOA">Model!$BW$247</definedName>
    <definedName name="v_105_SPFOS">Model!$BY$247</definedName>
    <definedName name="v_105_SPO4">Model!$AM$247</definedName>
    <definedName name="v_105_SU">Model!$K$247</definedName>
    <definedName name="v_105_SVFA">Model!$E$247</definedName>
    <definedName name="v_105_XACP">Model!$BS$247</definedName>
    <definedName name="v_105_XALGAE">Model!$Z$247</definedName>
    <definedName name="v_105_XAMETO">Model!$X$247</definedName>
    <definedName name="v_105_XAMX">Model!$W$247</definedName>
    <definedName name="v_105_XAOB">Model!$U$247</definedName>
    <definedName name="v_105_XB">Model!$I$247</definedName>
    <definedName name="v_105_XB_e">Model!$J$247</definedName>
    <definedName name="v_105_XBSH">Model!$BT$247</definedName>
    <definedName name="v_105_XCaCO3">Model!$BR$247</definedName>
    <definedName name="v_105_XCASTO">Model!$S$247</definedName>
    <definedName name="v_105_XE">Model!$P$247</definedName>
    <definedName name="v_105_XE_ana">Model!$Q$247</definedName>
    <definedName name="v_105_XHAO_H">Model!$BK$247</definedName>
    <definedName name="v_105_XHAO_H_P">Model!$BN$247</definedName>
    <definedName name="v_105_XHAO_H_P_old">Model!$BP$247</definedName>
    <definedName name="v_105_XHAO_L">Model!$BL$247</definedName>
    <definedName name="v_105_XHAO_L_P">Model!$BO$247</definedName>
    <definedName name="v_105_XHAO_L_P_old">Model!$BQ$247</definedName>
    <definedName name="v_105_XHAO_old">Model!$BM$247</definedName>
    <definedName name="v_105_XHFO_H">Model!$BD$247</definedName>
    <definedName name="v_105_XHFO_H_P">Model!$BG$247</definedName>
    <definedName name="v_105_XHFO_H_P_old">Model!$BI$247</definedName>
    <definedName name="v_105_XHFO_L">Model!$BE$247</definedName>
    <definedName name="v_105_XHFO_L_P">Model!$BH$247</definedName>
    <definedName name="v_105_XHFO_L_P_old">Model!$BJ$247</definedName>
    <definedName name="v_105_XHFO_old">Model!$BF$247</definedName>
    <definedName name="v_105_XHMETO">Model!$Y$247</definedName>
    <definedName name="v_105_XINORG">Model!$AW$247</definedName>
    <definedName name="v_105_XMEOLO">Model!$T$247</definedName>
    <definedName name="v_105_XN_B">Model!$AJ$247</definedName>
    <definedName name="v_105_XN_Be">Model!$AK$247</definedName>
    <definedName name="v_105_XN_U">Model!$AL$247</definedName>
    <definedName name="v_105_XNOB">Model!$V$247</definedName>
    <definedName name="v_105_XOHO">Model!$R$247</definedName>
    <definedName name="v_105_XP_B">Model!$AP$247</definedName>
    <definedName name="v_105_XP_Be">Model!$AQ$247</definedName>
    <definedName name="v_105_XP_U">Model!$AR$247</definedName>
    <definedName name="v_105_XPFOA">Model!$BX$247</definedName>
    <definedName name="v_105_XPFOS">Model!$BZ$247</definedName>
    <definedName name="v_105_XPHA_GAO">Model!$O$247</definedName>
    <definedName name="v_105_XPHA_PAO">Model!$N$247</definedName>
    <definedName name="v_105_XPP">Model!$AN$247</definedName>
    <definedName name="v_105_XSTR">Model!$BU$247</definedName>
    <definedName name="v_105_XU">Model!$M$247</definedName>
    <definedName name="v_105_XVivi">Model!$BV$247</definedName>
    <definedName name="v_106_CB">Model!$H$248</definedName>
    <definedName name="v_106_CU">Model!$L$248</definedName>
    <definedName name="v_106_GCH4">Model!$CE$248</definedName>
    <definedName name="v_106_GCH4_atm">Model!$CM$248</definedName>
    <definedName name="v_106_GCO2">Model!$CD$248</definedName>
    <definedName name="v_106_GCO2_atm">Model!$CL$248</definedName>
    <definedName name="v_106_GH2">Model!$CF$248</definedName>
    <definedName name="v_106_GH2_atm">Model!$CN$248</definedName>
    <definedName name="v_106_GN2">Model!$CK$248</definedName>
    <definedName name="v_106_GN2_atm">Model!$CS$248</definedName>
    <definedName name="v_106_GN2O">Model!$CJ$248</definedName>
    <definedName name="v_106_GN2O_atm">Model!$CR$248</definedName>
    <definedName name="v_106_GNH3">Model!$CH$248</definedName>
    <definedName name="v_106_GNH3_atm">Model!$CP$248</definedName>
    <definedName name="v_106_GNO">Model!$CI$248</definedName>
    <definedName name="v_106_GNO_atm">Model!$CQ$248</definedName>
    <definedName name="v_106_GO2">Model!$CG$248</definedName>
    <definedName name="v_106_GO2_atm">Model!$CO$248</definedName>
    <definedName name="v_106_SALPHA">Model!$CB$248</definedName>
    <definedName name="v_106_SAN">Model!$AY$248</definedName>
    <definedName name="v_106_SB">Model!$F$248</definedName>
    <definedName name="v_106_SCa">Model!$AZ$248</definedName>
    <definedName name="v_106_SCAT">Model!$AX$248</definedName>
    <definedName name="v_106_SCH4">Model!$AT$248</definedName>
    <definedName name="v_106_SCO2">Model!$AV$248</definedName>
    <definedName name="v_106_SFe2">Model!$BC$248</definedName>
    <definedName name="v_106_SH">Model!$CA$248</definedName>
    <definedName name="v_106_SH2">Model!$AU$248</definedName>
    <definedName name="v_106_SK">Model!$BB$248</definedName>
    <definedName name="v_106_SMEOL">Model!$G$248</definedName>
    <definedName name="v_106_SMg">Model!$BA$248</definedName>
    <definedName name="v_106_SN_B">Model!$AI$248</definedName>
    <definedName name="v_106_SN2">Model!$AH$248</definedName>
    <definedName name="v_106_SN2O">Model!$AG$248</definedName>
    <definedName name="v_106_SNH2OH">Model!$AB$248</definedName>
    <definedName name="v_106_SNHx">Model!$AA$248</definedName>
    <definedName name="v_106_SNO_AOB">Model!$AE$248</definedName>
    <definedName name="v_106_SNO_OHO">Model!$AF$248</definedName>
    <definedName name="v_106_SNO2">Model!$AD$248</definedName>
    <definedName name="v_106_SNO3">Model!$AC$248</definedName>
    <definedName name="v_106_SO2">Model!$AS$248</definedName>
    <definedName name="v_106_SORPswitch">Model!$CC$248</definedName>
    <definedName name="v_106_SP_B">Model!$AO$248</definedName>
    <definedName name="v_106_SPFOA">Model!$BW$248</definedName>
    <definedName name="v_106_SPFOS">Model!$BY$248</definedName>
    <definedName name="v_106_SPO4">Model!$AM$248</definedName>
    <definedName name="v_106_SU">Model!$K$248</definedName>
    <definedName name="v_106_SVFA">Model!$E$248</definedName>
    <definedName name="v_106_XACP">Model!$BS$248</definedName>
    <definedName name="v_106_XALGAE">Model!$Z$248</definedName>
    <definedName name="v_106_XAMETO">Model!$X$248</definedName>
    <definedName name="v_106_XAMX">Model!$W$248</definedName>
    <definedName name="v_106_XAOB">Model!$U$248</definedName>
    <definedName name="v_106_XB">Model!$I$248</definedName>
    <definedName name="v_106_XB_e">Model!$J$248</definedName>
    <definedName name="v_106_XBSH">Model!$BT$248</definedName>
    <definedName name="v_106_XCaCO3">Model!$BR$248</definedName>
    <definedName name="v_106_XCASTO">Model!$S$248</definedName>
    <definedName name="v_106_XE">Model!$P$248</definedName>
    <definedName name="v_106_XE_ana">Model!$Q$248</definedName>
    <definedName name="v_106_XHAO_H">Model!$BK$248</definedName>
    <definedName name="v_106_XHAO_H_P">Model!$BN$248</definedName>
    <definedName name="v_106_XHAO_H_P_old">Model!$BP$248</definedName>
    <definedName name="v_106_XHAO_L">Model!$BL$248</definedName>
    <definedName name="v_106_XHAO_L_P">Model!$BO$248</definedName>
    <definedName name="v_106_XHAO_L_P_old">Model!$BQ$248</definedName>
    <definedName name="v_106_XHAO_old">Model!$BM$248</definedName>
    <definedName name="v_106_XHFO_H">Model!$BD$248</definedName>
    <definedName name="v_106_XHFO_H_P">Model!$BG$248</definedName>
    <definedName name="v_106_XHFO_H_P_old">Model!$BI$248</definedName>
    <definedName name="v_106_XHFO_L">Model!$BE$248</definedName>
    <definedName name="v_106_XHFO_L_P">Model!$BH$248</definedName>
    <definedName name="v_106_XHFO_L_P_old">Model!$BJ$248</definedName>
    <definedName name="v_106_XHFO_old">Model!$BF$248</definedName>
    <definedName name="v_106_XHMETO">Model!$Y$248</definedName>
    <definedName name="v_106_XINORG">Model!$AW$248</definedName>
    <definedName name="v_106_XMEOLO">Model!$T$248</definedName>
    <definedName name="v_106_XN_B">Model!$AJ$248</definedName>
    <definedName name="v_106_XN_Be">Model!$AK$248</definedName>
    <definedName name="v_106_XN_U">Model!$AL$248</definedName>
    <definedName name="v_106_XNOB">Model!$V$248</definedName>
    <definedName name="v_106_XOHO">Model!$R$248</definedName>
    <definedName name="v_106_XP_B">Model!$AP$248</definedName>
    <definedName name="v_106_XP_Be">Model!$AQ$248</definedName>
    <definedName name="v_106_XP_U">Model!$AR$248</definedName>
    <definedName name="v_106_XPFOA">Model!$BX$248</definedName>
    <definedName name="v_106_XPFOS">Model!$BZ$248</definedName>
    <definedName name="v_106_XPHA_GAO">Model!$O$248</definedName>
    <definedName name="v_106_XPHA_PAO">Model!$N$248</definedName>
    <definedName name="v_106_XPP">Model!$AN$248</definedName>
    <definedName name="v_106_XSTR">Model!$BU$248</definedName>
    <definedName name="v_106_XU">Model!$M$248</definedName>
    <definedName name="v_106_XVivi">Model!$BV$248</definedName>
    <definedName name="v_107_CB">Model!$H$249</definedName>
    <definedName name="v_107_CU">Model!$L$249</definedName>
    <definedName name="v_107_GCH4">Model!$CE$249</definedName>
    <definedName name="v_107_GCH4_atm">Model!$CM$249</definedName>
    <definedName name="v_107_GCO2">Model!$CD$249</definedName>
    <definedName name="v_107_GCO2_atm">Model!$CL$249</definedName>
    <definedName name="v_107_GH2">Model!$CF$249</definedName>
    <definedName name="v_107_GH2_atm">Model!$CN$249</definedName>
    <definedName name="v_107_GN2">Model!$CK$249</definedName>
    <definedName name="v_107_GN2_atm">Model!$CS$249</definedName>
    <definedName name="v_107_GN2O">Model!$CJ$249</definedName>
    <definedName name="v_107_GN2O_atm">Model!$CR$249</definedName>
    <definedName name="v_107_GNH3">Model!$CH$249</definedName>
    <definedName name="v_107_GNH3_atm">Model!$CP$249</definedName>
    <definedName name="v_107_GNO">Model!$CI$249</definedName>
    <definedName name="v_107_GNO_atm">Model!$CQ$249</definedName>
    <definedName name="v_107_GO2">Model!$CG$249</definedName>
    <definedName name="v_107_GO2_atm">Model!$CO$249</definedName>
    <definedName name="v_107_SALPHA">Model!$CB$249</definedName>
    <definedName name="v_107_SAN">Model!$AY$249</definedName>
    <definedName name="v_107_SB">Model!$F$249</definedName>
    <definedName name="v_107_SCa">Model!$AZ$249</definedName>
    <definedName name="v_107_SCAT">Model!$AX$249</definedName>
    <definedName name="v_107_SCH4">Model!$AT$249</definedName>
    <definedName name="v_107_SCO2">Model!$AV$249</definedName>
    <definedName name="v_107_SFe2">Model!$BC$249</definedName>
    <definedName name="v_107_SH">Model!$CA$249</definedName>
    <definedName name="v_107_SH2">Model!$AU$249</definedName>
    <definedName name="v_107_SK">Model!$BB$249</definedName>
    <definedName name="v_107_SMEOL">Model!$G$249</definedName>
    <definedName name="v_107_SMg">Model!$BA$249</definedName>
    <definedName name="v_107_SN_B">Model!$AI$249</definedName>
    <definedName name="v_107_SN2">Model!$AH$249</definedName>
    <definedName name="v_107_SN2O">Model!$AG$249</definedName>
    <definedName name="v_107_SNH2OH">Model!$AB$249</definedName>
    <definedName name="v_107_SNHx">Model!$AA$249</definedName>
    <definedName name="v_107_SNO_AOB">Model!$AE$249</definedName>
    <definedName name="v_107_SNO_OHO">Model!$AF$249</definedName>
    <definedName name="v_107_SNO2">Model!$AD$249</definedName>
    <definedName name="v_107_SNO3">Model!$AC$249</definedName>
    <definedName name="v_107_SO2">Model!$AS$249</definedName>
    <definedName name="v_107_SORPswitch">Model!$CC$249</definedName>
    <definedName name="v_107_SP_B">Model!$AO$249</definedName>
    <definedName name="v_107_SPFOA">Model!$BW$249</definedName>
    <definedName name="v_107_SPFOS">Model!$BY$249</definedName>
    <definedName name="v_107_SPO4">Model!$AM$249</definedName>
    <definedName name="v_107_SU">Model!$K$249</definedName>
    <definedName name="v_107_SVFA">Model!$E$249</definedName>
    <definedName name="v_107_XACP">Model!$BS$249</definedName>
    <definedName name="v_107_XALGAE">Model!$Z$249</definedName>
    <definedName name="v_107_XAMETO">Model!$X$249</definedName>
    <definedName name="v_107_XAMX">Model!$W$249</definedName>
    <definedName name="v_107_XAOB">Model!$U$249</definedName>
    <definedName name="v_107_XB">Model!$I$249</definedName>
    <definedName name="v_107_XB_e">Model!$J$249</definedName>
    <definedName name="v_107_XBSH">Model!$BT$249</definedName>
    <definedName name="v_107_XCaCO3">Model!$BR$249</definedName>
    <definedName name="v_107_XCASTO">Model!$S$249</definedName>
    <definedName name="v_107_XE">Model!$P$249</definedName>
    <definedName name="v_107_XE_ana">Model!$Q$249</definedName>
    <definedName name="v_107_XHAO_H">Model!$BK$249</definedName>
    <definedName name="v_107_XHAO_H_P">Model!$BN$249</definedName>
    <definedName name="v_107_XHAO_H_P_old">Model!$BP$249</definedName>
    <definedName name="v_107_XHAO_L">Model!$BL$249</definedName>
    <definedName name="v_107_XHAO_L_P">Model!$BO$249</definedName>
    <definedName name="v_107_XHAO_L_P_old">Model!$BQ$249</definedName>
    <definedName name="v_107_XHAO_old">Model!$BM$249</definedName>
    <definedName name="v_107_XHFO_H">Model!$BD$249</definedName>
    <definedName name="v_107_XHFO_H_P">Model!$BG$249</definedName>
    <definedName name="v_107_XHFO_H_P_old">Model!$BI$249</definedName>
    <definedName name="v_107_XHFO_L">Model!$BE$249</definedName>
    <definedName name="v_107_XHFO_L_P">Model!$BH$249</definedName>
    <definedName name="v_107_XHFO_L_P_old">Model!$BJ$249</definedName>
    <definedName name="v_107_XHFO_old">Model!$BF$249</definedName>
    <definedName name="v_107_XHMETO">Model!$Y$249</definedName>
    <definedName name="v_107_XINORG">Model!$AW$249</definedName>
    <definedName name="v_107_XMEOLO">Model!$T$249</definedName>
    <definedName name="v_107_XN_B">Model!$AJ$249</definedName>
    <definedName name="v_107_XN_Be">Model!$AK$249</definedName>
    <definedName name="v_107_XN_U">Model!$AL$249</definedName>
    <definedName name="v_107_XNOB">Model!$V$249</definedName>
    <definedName name="v_107_XOHO">Model!$R$249</definedName>
    <definedName name="v_107_XP_B">Model!$AP$249</definedName>
    <definedName name="v_107_XP_Be">Model!$AQ$249</definedName>
    <definedName name="v_107_XP_U">Model!$AR$249</definedName>
    <definedName name="v_107_XPFOA">Model!$BX$249</definedName>
    <definedName name="v_107_XPFOS">Model!$BZ$249</definedName>
    <definedName name="v_107_XPHA_GAO">Model!$O$249</definedName>
    <definedName name="v_107_XPHA_PAO">Model!$N$249</definedName>
    <definedName name="v_107_XPP">Model!$AN$249</definedName>
    <definedName name="v_107_XSTR">Model!$BU$249</definedName>
    <definedName name="v_107_XU">Model!$M$249</definedName>
    <definedName name="v_107_XVivi">Model!$BV$249</definedName>
    <definedName name="v_108_CB">Model!$H$250</definedName>
    <definedName name="v_108_CU">Model!$L$250</definedName>
    <definedName name="v_108_GCH4">Model!$CE$250</definedName>
    <definedName name="v_108_GCH4_atm">Model!$CM$250</definedName>
    <definedName name="v_108_GCO2">Model!$CD$250</definedName>
    <definedName name="v_108_GCO2_atm">Model!$CL$250</definedName>
    <definedName name="v_108_GH2">Model!$CF$250</definedName>
    <definedName name="v_108_GH2_atm">Model!$CN$250</definedName>
    <definedName name="v_108_GN2">Model!$CK$250</definedName>
    <definedName name="v_108_GN2_atm">Model!$CS$250</definedName>
    <definedName name="v_108_GN2O">Model!$CJ$250</definedName>
    <definedName name="v_108_GN2O_atm">Model!$CR$250</definedName>
    <definedName name="v_108_GNH3">Model!$CH$250</definedName>
    <definedName name="v_108_GNH3_atm">Model!$CP$250</definedName>
    <definedName name="v_108_GNO">Model!$CI$250</definedName>
    <definedName name="v_108_GNO_atm">Model!$CQ$250</definedName>
    <definedName name="v_108_GO2">Model!$CG$250</definedName>
    <definedName name="v_108_GO2_atm">Model!$CO$250</definedName>
    <definedName name="v_108_SALPHA">Model!$CB$250</definedName>
    <definedName name="v_108_SAN">Model!$AY$250</definedName>
    <definedName name="v_108_SB">Model!$F$250</definedName>
    <definedName name="v_108_SCa">Model!$AZ$250</definedName>
    <definedName name="v_108_SCAT">Model!$AX$250</definedName>
    <definedName name="v_108_SCH4">Model!$AT$250</definedName>
    <definedName name="v_108_SCO2">Model!$AV$250</definedName>
    <definedName name="v_108_SFe2">Model!$BC$250</definedName>
    <definedName name="v_108_SH">Model!$CA$250</definedName>
    <definedName name="v_108_SH2">Model!$AU$250</definedName>
    <definedName name="v_108_SK">Model!$BB$250</definedName>
    <definedName name="v_108_SMEOL">Model!$G$250</definedName>
    <definedName name="v_108_SMg">Model!$BA$250</definedName>
    <definedName name="v_108_SN_B">Model!$AI$250</definedName>
    <definedName name="v_108_SN2">Model!$AH$250</definedName>
    <definedName name="v_108_SN2O">Model!$AG$250</definedName>
    <definedName name="v_108_SNH2OH">Model!$AB$250</definedName>
    <definedName name="v_108_SNHx">Model!$AA$250</definedName>
    <definedName name="v_108_SNO_AOB">Model!$AE$250</definedName>
    <definedName name="v_108_SNO_OHO">Model!$AF$250</definedName>
    <definedName name="v_108_SNO2">Model!$AD$250</definedName>
    <definedName name="v_108_SNO3">Model!$AC$250</definedName>
    <definedName name="v_108_SO2">Model!$AS$250</definedName>
    <definedName name="v_108_SORPswitch">Model!$CC$250</definedName>
    <definedName name="v_108_SP_B">Model!$AO$250</definedName>
    <definedName name="v_108_SPFOA">Model!$BW$250</definedName>
    <definedName name="v_108_SPFOS">Model!$BY$250</definedName>
    <definedName name="v_108_SPO4">Model!$AM$250</definedName>
    <definedName name="v_108_SU">Model!$K$250</definedName>
    <definedName name="v_108_SVFA">Model!$E$250</definedName>
    <definedName name="v_108_XACP">Model!$BS$250</definedName>
    <definedName name="v_108_XALGAE">Model!$Z$250</definedName>
    <definedName name="v_108_XAMETO">Model!$X$250</definedName>
    <definedName name="v_108_XAMX">Model!$W$250</definedName>
    <definedName name="v_108_XAOB">Model!$U$250</definedName>
    <definedName name="v_108_XB">Model!$I$250</definedName>
    <definedName name="v_108_XB_e">Model!$J$250</definedName>
    <definedName name="v_108_XBSH">Model!$BT$250</definedName>
    <definedName name="v_108_XCaCO3">Model!$BR$250</definedName>
    <definedName name="v_108_XCASTO">Model!$S$250</definedName>
    <definedName name="v_108_XE">Model!$P$250</definedName>
    <definedName name="v_108_XE_ana">Model!$Q$250</definedName>
    <definedName name="v_108_XHAO_H">Model!$BK$250</definedName>
    <definedName name="v_108_XHAO_H_P">Model!$BN$250</definedName>
    <definedName name="v_108_XHAO_H_P_old">Model!$BP$250</definedName>
    <definedName name="v_108_XHAO_L">Model!$BL$250</definedName>
    <definedName name="v_108_XHAO_L_P">Model!$BO$250</definedName>
    <definedName name="v_108_XHAO_L_P_old">Model!$BQ$250</definedName>
    <definedName name="v_108_XHAO_old">Model!$BM$250</definedName>
    <definedName name="v_108_XHFO_H">Model!$BD$250</definedName>
    <definedName name="v_108_XHFO_H_P">Model!$BG$250</definedName>
    <definedName name="v_108_XHFO_H_P_old">Model!$BI$250</definedName>
    <definedName name="v_108_XHFO_L">Model!$BE$250</definedName>
    <definedName name="v_108_XHFO_L_P">Model!$BH$250</definedName>
    <definedName name="v_108_XHFO_L_P_old">Model!$BJ$250</definedName>
    <definedName name="v_108_XHFO_old">Model!$BF$250</definedName>
    <definedName name="v_108_XHMETO">Model!$Y$250</definedName>
    <definedName name="v_108_XINORG">Model!$AW$250</definedName>
    <definedName name="v_108_XMEOLO">Model!$T$250</definedName>
    <definedName name="v_108_XN_B">Model!$AJ$250</definedName>
    <definedName name="v_108_XN_Be">Model!$AK$250</definedName>
    <definedName name="v_108_XN_U">Model!$AL$250</definedName>
    <definedName name="v_108_XNOB">Model!$V$250</definedName>
    <definedName name="v_108_XOHO">Model!$R$250</definedName>
    <definedName name="v_108_XP_B">Model!$AP$250</definedName>
    <definedName name="v_108_XP_Be">Model!$AQ$250</definedName>
    <definedName name="v_108_XP_U">Model!$AR$250</definedName>
    <definedName name="v_108_XPFOA">Model!$BX$250</definedName>
    <definedName name="v_108_XPFOS">Model!$BZ$250</definedName>
    <definedName name="v_108_XPHA_GAO">Model!$O$250</definedName>
    <definedName name="v_108_XPHA_PAO">Model!$N$250</definedName>
    <definedName name="v_108_XPP">Model!$AN$250</definedName>
    <definedName name="v_108_XSTR">Model!$BU$250</definedName>
    <definedName name="v_108_XU">Model!$M$250</definedName>
    <definedName name="v_108_XVivi">Model!$BV$250</definedName>
    <definedName name="v_109_CB">Model!$H$251</definedName>
    <definedName name="v_109_CU">Model!$L$251</definedName>
    <definedName name="v_109_GCH4">Model!$CE$251</definedName>
    <definedName name="v_109_GCH4_atm">Model!$CM$251</definedName>
    <definedName name="v_109_GCO2">Model!$CD$251</definedName>
    <definedName name="v_109_GCO2_atm">Model!$CL$251</definedName>
    <definedName name="v_109_GH2">Model!$CF$251</definedName>
    <definedName name="v_109_GH2_atm">Model!$CN$251</definedName>
    <definedName name="v_109_GN2">Model!$CK$251</definedName>
    <definedName name="v_109_GN2_atm">Model!$CS$251</definedName>
    <definedName name="v_109_GN2O">Model!$CJ$251</definedName>
    <definedName name="v_109_GN2O_atm">Model!$CR$251</definedName>
    <definedName name="v_109_GNH3">Model!$CH$251</definedName>
    <definedName name="v_109_GNH3_atm">Model!$CP$251</definedName>
    <definedName name="v_109_GNO">Model!$CI$251</definedName>
    <definedName name="v_109_GNO_atm">Model!$CQ$251</definedName>
    <definedName name="v_109_GO2">Model!$CG$251</definedName>
    <definedName name="v_109_GO2_atm">Model!$CO$251</definedName>
    <definedName name="v_109_SALPHA">Model!$CB$251</definedName>
    <definedName name="v_109_SAN">Model!$AY$251</definedName>
    <definedName name="v_109_SB">Model!$F$251</definedName>
    <definedName name="v_109_SCa">Model!$AZ$251</definedName>
    <definedName name="v_109_SCAT">Model!$AX$251</definedName>
    <definedName name="v_109_SCH4">Model!$AT$251</definedName>
    <definedName name="v_109_SCO2">Model!$AV$251</definedName>
    <definedName name="v_109_SFe2">Model!$BC$251</definedName>
    <definedName name="v_109_SH">Model!$CA$251</definedName>
    <definedName name="v_109_SH2">Model!$AU$251</definedName>
    <definedName name="v_109_SK">Model!$BB$251</definedName>
    <definedName name="v_109_SMEOL">Model!$G$251</definedName>
    <definedName name="v_109_SMg">Model!$BA$251</definedName>
    <definedName name="v_109_SN_B">Model!$AI$251</definedName>
    <definedName name="v_109_SN2">Model!$AH$251</definedName>
    <definedName name="v_109_SN2O">Model!$AG$251</definedName>
    <definedName name="v_109_SNH2OH">Model!$AB$251</definedName>
    <definedName name="v_109_SNHx">Model!$AA$251</definedName>
    <definedName name="v_109_SNO_AOB">Model!$AE$251</definedName>
    <definedName name="v_109_SNO_OHO">Model!$AF$251</definedName>
    <definedName name="v_109_SNO2">Model!$AD$251</definedName>
    <definedName name="v_109_SNO3">Model!$AC$251</definedName>
    <definedName name="v_109_SO2">Model!$AS$251</definedName>
    <definedName name="v_109_SORPswitch">Model!$CC$251</definedName>
    <definedName name="v_109_SP_B">Model!$AO$251</definedName>
    <definedName name="v_109_SPFOA">Model!$BW$251</definedName>
    <definedName name="v_109_SPFOS">Model!$BY$251</definedName>
    <definedName name="v_109_SPO4">Model!$AM$251</definedName>
    <definedName name="v_109_SU">Model!$K$251</definedName>
    <definedName name="v_109_SVFA">Model!$E$251</definedName>
    <definedName name="v_109_XACP">Model!$BS$251</definedName>
    <definedName name="v_109_XALGAE">Model!$Z$251</definedName>
    <definedName name="v_109_XAMETO">Model!$X$251</definedName>
    <definedName name="v_109_XAMX">Model!$W$251</definedName>
    <definedName name="v_109_XAOB">Model!$U$251</definedName>
    <definedName name="v_109_XB">Model!$I$251</definedName>
    <definedName name="v_109_XB_e">Model!$J$251</definedName>
    <definedName name="v_109_XBSH">Model!$BT$251</definedName>
    <definedName name="v_109_XCaCO3">Model!$BR$251</definedName>
    <definedName name="v_109_XCASTO">Model!$S$251</definedName>
    <definedName name="v_109_XE">Model!$P$251</definedName>
    <definedName name="v_109_XE_ana">Model!$Q$251</definedName>
    <definedName name="v_109_XHAO_H">Model!$BK$251</definedName>
    <definedName name="v_109_XHAO_H_P">Model!$BN$251</definedName>
    <definedName name="v_109_XHAO_H_P_old">Model!$BP$251</definedName>
    <definedName name="v_109_XHAO_L">Model!$BL$251</definedName>
    <definedName name="v_109_XHAO_L_P">Model!$BO$251</definedName>
    <definedName name="v_109_XHAO_L_P_old">Model!$BQ$251</definedName>
    <definedName name="v_109_XHAO_old">Model!$BM$251</definedName>
    <definedName name="v_109_XHFO_H">Model!$BD$251</definedName>
    <definedName name="v_109_XHFO_H_P">Model!$BG$251</definedName>
    <definedName name="v_109_XHFO_H_P_old">Model!$BI$251</definedName>
    <definedName name="v_109_XHFO_L">Model!$BE$251</definedName>
    <definedName name="v_109_XHFO_L_P">Model!$BH$251</definedName>
    <definedName name="v_109_XHFO_L_P_old">Model!$BJ$251</definedName>
    <definedName name="v_109_XHFO_old">Model!$BF$251</definedName>
    <definedName name="v_109_XHMETO">Model!$Y$251</definedName>
    <definedName name="v_109_XINORG">Model!$AW$251</definedName>
    <definedName name="v_109_XMEOLO">Model!$T$251</definedName>
    <definedName name="v_109_XN_B">Model!$AJ$251</definedName>
    <definedName name="v_109_XN_Be">Model!$AK$251</definedName>
    <definedName name="v_109_XN_U">Model!$AL$251</definedName>
    <definedName name="v_109_XNOB">Model!$V$251</definedName>
    <definedName name="v_109_XOHO">Model!$R$251</definedName>
    <definedName name="v_109_XP_B">Model!$AP$251</definedName>
    <definedName name="v_109_XP_Be">Model!$AQ$251</definedName>
    <definedName name="v_109_XP_U">Model!$AR$251</definedName>
    <definedName name="v_109_XPFOA">Model!$BX$251</definedName>
    <definedName name="v_109_XPFOS">Model!$BZ$251</definedName>
    <definedName name="v_109_XPHA_GAO">Model!$O$251</definedName>
    <definedName name="v_109_XPHA_PAO">Model!$N$251</definedName>
    <definedName name="v_109_XPP">Model!$AN$251</definedName>
    <definedName name="v_109_XSTR">Model!$BU$251</definedName>
    <definedName name="v_109_XU">Model!$M$251</definedName>
    <definedName name="v_109_XVivi">Model!$BV$251</definedName>
    <definedName name="v_11_CB">Model!$H$153</definedName>
    <definedName name="v_11_CU">Model!$L$153</definedName>
    <definedName name="v_11_GCH4">Model!$CE$153</definedName>
    <definedName name="v_11_GCH4_atm">Model!$CM$153</definedName>
    <definedName name="v_11_GCO2">Model!$CD$153</definedName>
    <definedName name="v_11_GCO2_atm">Model!$CL$153</definedName>
    <definedName name="v_11_GH2">Model!$CF$153</definedName>
    <definedName name="v_11_GH2_atm">Model!$CN$153</definedName>
    <definedName name="v_11_GN2">Model!$CK$153</definedName>
    <definedName name="v_11_GN2_atm">Model!$CS$153</definedName>
    <definedName name="v_11_GN2O">Model!$CJ$153</definedName>
    <definedName name="v_11_GN2O_atm">Model!$CR$153</definedName>
    <definedName name="v_11_GNH3">Model!$CH$153</definedName>
    <definedName name="v_11_GNH3_atm">Model!$CP$153</definedName>
    <definedName name="v_11_GNO">Model!$CI$153</definedName>
    <definedName name="v_11_GNO_atm">Model!$CQ$153</definedName>
    <definedName name="v_11_GO2">Model!$CG$153</definedName>
    <definedName name="v_11_GO2_atm">Model!$CO$153</definedName>
    <definedName name="v_11_SALPHA">Model!$CB$153</definedName>
    <definedName name="v_11_SAN">Model!$AY$153</definedName>
    <definedName name="v_11_SB">Model!$F$153</definedName>
    <definedName name="v_11_SCa">Model!$AZ$153</definedName>
    <definedName name="v_11_SCAT">Model!$AX$153</definedName>
    <definedName name="v_11_SCH4">Model!$AT$153</definedName>
    <definedName name="v_11_SCO2">Model!$AV$153</definedName>
    <definedName name="v_11_SFe2">Model!$BC$153</definedName>
    <definedName name="v_11_SH">Model!$CA$153</definedName>
    <definedName name="v_11_SH2">Model!$AU$153</definedName>
    <definedName name="v_11_SK">Model!$BB$153</definedName>
    <definedName name="v_11_SMEOL">Model!$G$153</definedName>
    <definedName name="v_11_SMg">Model!$BA$153</definedName>
    <definedName name="v_11_SN_B">Model!$AI$153</definedName>
    <definedName name="v_11_SN2">Model!$AH$153</definedName>
    <definedName name="v_11_SN2O">Model!$AG$153</definedName>
    <definedName name="v_11_SNH2OH">Model!$AB$153</definedName>
    <definedName name="v_11_SNHx">Model!$AA$153</definedName>
    <definedName name="v_11_SNO_AOB">Model!$AE$153</definedName>
    <definedName name="v_11_SNO_OHO">Model!$AF$153</definedName>
    <definedName name="v_11_SNO2">Model!$AD$153</definedName>
    <definedName name="v_11_SNO3">Model!$AC$153</definedName>
    <definedName name="v_11_SO2">Model!$AS$153</definedName>
    <definedName name="v_11_SORPswitch">Model!$CC$153</definedName>
    <definedName name="v_11_SP_B">Model!$AO$153</definedName>
    <definedName name="v_11_SPFOA">Model!$BW$153</definedName>
    <definedName name="v_11_SPFOS">Model!$BY$153</definedName>
    <definedName name="v_11_SPO4">Model!$AM$153</definedName>
    <definedName name="v_11_SU">Model!$K$153</definedName>
    <definedName name="v_11_SVFA">Model!$E$153</definedName>
    <definedName name="v_11_XACP">Model!$BS$153</definedName>
    <definedName name="v_11_XALGAE">Model!$Z$153</definedName>
    <definedName name="v_11_XAMETO">Model!$X$153</definedName>
    <definedName name="v_11_XAMX">Model!$W$153</definedName>
    <definedName name="v_11_XAOB">Model!$U$153</definedName>
    <definedName name="v_11_XB">Model!$I$153</definedName>
    <definedName name="v_11_XB_e">Model!$J$153</definedName>
    <definedName name="v_11_XBSH">Model!$BT$153</definedName>
    <definedName name="v_11_XCaCO3">Model!$BR$153</definedName>
    <definedName name="v_11_XCASTO">Model!$S$153</definedName>
    <definedName name="v_11_XE">Model!$P$153</definedName>
    <definedName name="v_11_XE_ana">Model!$Q$153</definedName>
    <definedName name="v_11_XHAO_H">Model!$BK$153</definedName>
    <definedName name="v_11_XHAO_H_P">Model!$BN$153</definedName>
    <definedName name="v_11_XHAO_H_P_old">Model!$BP$153</definedName>
    <definedName name="v_11_XHAO_L">Model!$BL$153</definedName>
    <definedName name="v_11_XHAO_L_P">Model!$BO$153</definedName>
    <definedName name="v_11_XHAO_L_P_old">Model!$BQ$153</definedName>
    <definedName name="v_11_XHAO_old">Model!$BM$153</definedName>
    <definedName name="v_11_XHFO_H">Model!$BD$153</definedName>
    <definedName name="v_11_XHFO_H_P">Model!$BG$153</definedName>
    <definedName name="v_11_XHFO_H_P_old">Model!$BI$153</definedName>
    <definedName name="v_11_XHFO_L">Model!$BE$153</definedName>
    <definedName name="v_11_XHFO_L_P">Model!$BH$153</definedName>
    <definedName name="v_11_XHFO_L_P_old">Model!$BJ$153</definedName>
    <definedName name="v_11_XHFO_old">Model!$BF$153</definedName>
    <definedName name="v_11_XHMETO">Model!$Y$153</definedName>
    <definedName name="v_11_XINORG">Model!$AW$153</definedName>
    <definedName name="v_11_XMEOLO">Model!$T$153</definedName>
    <definedName name="v_11_XN_B">Model!$AJ$153</definedName>
    <definedName name="v_11_XN_Be">Model!$AK$153</definedName>
    <definedName name="v_11_XN_U">Model!$AL$153</definedName>
    <definedName name="v_11_XNOB">Model!$V$153</definedName>
    <definedName name="v_11_XOHO">Model!$R$153</definedName>
    <definedName name="v_11_XP_B">Model!$AP$153</definedName>
    <definedName name="v_11_XP_Be">Model!$AQ$153</definedName>
    <definedName name="v_11_XP_U">Model!$AR$153</definedName>
    <definedName name="v_11_XPFOA">Model!$BX$153</definedName>
    <definedName name="v_11_XPFOS">Model!$BZ$153</definedName>
    <definedName name="v_11_XPHA_GAO">Model!$O$153</definedName>
    <definedName name="v_11_XPHA_PAO">Model!$N$153</definedName>
    <definedName name="v_11_XPP">Model!$AN$153</definedName>
    <definedName name="v_11_XSTR">Model!$BU$153</definedName>
    <definedName name="v_11_XU">Model!$M$153</definedName>
    <definedName name="v_11_XVivi">Model!$BV$153</definedName>
    <definedName name="v_110_CB">Model!$H$252</definedName>
    <definedName name="v_110_CU">Model!$L$252</definedName>
    <definedName name="v_110_GCH4">Model!$CE$252</definedName>
    <definedName name="v_110_GCH4_atm">Model!$CM$252</definedName>
    <definedName name="v_110_GCO2">Model!$CD$252</definedName>
    <definedName name="v_110_GCO2_atm">Model!$CL$252</definedName>
    <definedName name="v_110_GH2">Model!$CF$252</definedName>
    <definedName name="v_110_GH2_atm">Model!$CN$252</definedName>
    <definedName name="v_110_GN2">Model!$CK$252</definedName>
    <definedName name="v_110_GN2_atm">Model!$CS$252</definedName>
    <definedName name="v_110_GN2O">Model!$CJ$252</definedName>
    <definedName name="v_110_GN2O_atm">Model!$CR$252</definedName>
    <definedName name="v_110_GNH3">Model!$CH$252</definedName>
    <definedName name="v_110_GNH3_atm">Model!$CP$252</definedName>
    <definedName name="v_110_GNO">Model!$CI$252</definedName>
    <definedName name="v_110_GNO_atm">Model!$CQ$252</definedName>
    <definedName name="v_110_GO2">Model!$CG$252</definedName>
    <definedName name="v_110_GO2_atm">Model!$CO$252</definedName>
    <definedName name="v_110_SALPHA">Model!$CB$252</definedName>
    <definedName name="v_110_SAN">Model!$AY$252</definedName>
    <definedName name="v_110_SB">Model!$F$252</definedName>
    <definedName name="v_110_SCa">Model!$AZ$252</definedName>
    <definedName name="v_110_SCAT">Model!$AX$252</definedName>
    <definedName name="v_110_SCH4">Model!$AT$252</definedName>
    <definedName name="v_110_SCO2">Model!$AV$252</definedName>
    <definedName name="v_110_SFe2">Model!$BC$252</definedName>
    <definedName name="v_110_SH">Model!$CA$252</definedName>
    <definedName name="v_110_SH2">Model!$AU$252</definedName>
    <definedName name="v_110_SK">Model!$BB$252</definedName>
    <definedName name="v_110_SMEOL">Model!$G$252</definedName>
    <definedName name="v_110_SMg">Model!$BA$252</definedName>
    <definedName name="v_110_SN_B">Model!$AI$252</definedName>
    <definedName name="v_110_SN2">Model!$AH$252</definedName>
    <definedName name="v_110_SN2O">Model!$AG$252</definedName>
    <definedName name="v_110_SNH2OH">Model!$AB$252</definedName>
    <definedName name="v_110_SNHx">Model!$AA$252</definedName>
    <definedName name="v_110_SNO_AOB">Model!$AE$252</definedName>
    <definedName name="v_110_SNO_OHO">Model!$AF$252</definedName>
    <definedName name="v_110_SNO2">Model!$AD$252</definedName>
    <definedName name="v_110_SNO3">Model!$AC$252</definedName>
    <definedName name="v_110_SO2">Model!$AS$252</definedName>
    <definedName name="v_110_SORPswitch">Model!$CC$252</definedName>
    <definedName name="v_110_SP_B">Model!$AO$252</definedName>
    <definedName name="v_110_SPFOA">Model!$BW$252</definedName>
    <definedName name="v_110_SPFOS">Model!$BY$252</definedName>
    <definedName name="v_110_SPO4">Model!$AM$252</definedName>
    <definedName name="v_110_SU">Model!$K$252</definedName>
    <definedName name="v_110_SVFA">Model!$E$252</definedName>
    <definedName name="v_110_XACP">Model!$BS$252</definedName>
    <definedName name="v_110_XALGAE">Model!$Z$252</definedName>
    <definedName name="v_110_XAMETO">Model!$X$252</definedName>
    <definedName name="v_110_XAMX">Model!$W$252</definedName>
    <definedName name="v_110_XAOB">Model!$U$252</definedName>
    <definedName name="v_110_XB">Model!$I$252</definedName>
    <definedName name="v_110_XB_e">Model!$J$252</definedName>
    <definedName name="v_110_XBSH">Model!$BT$252</definedName>
    <definedName name="v_110_XCaCO3">Model!$BR$252</definedName>
    <definedName name="v_110_XCASTO">Model!$S$252</definedName>
    <definedName name="v_110_XE">Model!$P$252</definedName>
    <definedName name="v_110_XE_ana">Model!$Q$252</definedName>
    <definedName name="v_110_XHAO_H">Model!$BK$252</definedName>
    <definedName name="v_110_XHAO_H_P">Model!$BN$252</definedName>
    <definedName name="v_110_XHAO_H_P_old">Model!$BP$252</definedName>
    <definedName name="v_110_XHAO_L">Model!$BL$252</definedName>
    <definedName name="v_110_XHAO_L_P">Model!$BO$252</definedName>
    <definedName name="v_110_XHAO_L_P_old">Model!$BQ$252</definedName>
    <definedName name="v_110_XHAO_old">Model!$BM$252</definedName>
    <definedName name="v_110_XHFO_H">Model!$BD$252</definedName>
    <definedName name="v_110_XHFO_H_P">Model!$BG$252</definedName>
    <definedName name="v_110_XHFO_H_P_old">Model!$BI$252</definedName>
    <definedName name="v_110_XHFO_L">Model!$BE$252</definedName>
    <definedName name="v_110_XHFO_L_P">Model!$BH$252</definedName>
    <definedName name="v_110_XHFO_L_P_old">Model!$BJ$252</definedName>
    <definedName name="v_110_XHFO_old">Model!$BF$252</definedName>
    <definedName name="v_110_XHMETO">Model!$Y$252</definedName>
    <definedName name="v_110_XINORG">Model!$AW$252</definedName>
    <definedName name="v_110_XMEOLO">Model!$T$252</definedName>
    <definedName name="v_110_XN_B">Model!$AJ$252</definedName>
    <definedName name="v_110_XN_Be">Model!$AK$252</definedName>
    <definedName name="v_110_XN_U">Model!$AL$252</definedName>
    <definedName name="v_110_XNOB">Model!$V$252</definedName>
    <definedName name="v_110_XOHO">Model!$R$252</definedName>
    <definedName name="v_110_XP_B">Model!$AP$252</definedName>
    <definedName name="v_110_XP_Be">Model!$AQ$252</definedName>
    <definedName name="v_110_XP_U">Model!$AR$252</definedName>
    <definedName name="v_110_XPFOA">Model!$BX$252</definedName>
    <definedName name="v_110_XPFOS">Model!$BZ$252</definedName>
    <definedName name="v_110_XPHA_GAO">Model!$O$252</definedName>
    <definedName name="v_110_XPHA_PAO">Model!$N$252</definedName>
    <definedName name="v_110_XPP">Model!$AN$252</definedName>
    <definedName name="v_110_XSTR">Model!$BU$252</definedName>
    <definedName name="v_110_XU">Model!$M$252</definedName>
    <definedName name="v_110_XVivi">Model!$BV$252</definedName>
    <definedName name="v_111_CB">Model!$H$253</definedName>
    <definedName name="v_111_CU">Model!$L$253</definedName>
    <definedName name="v_111_GCH4">Model!$CE$253</definedName>
    <definedName name="v_111_GCH4_atm">Model!$CM$253</definedName>
    <definedName name="v_111_GCO2">Model!$CD$253</definedName>
    <definedName name="v_111_GCO2_atm">Model!$CL$253</definedName>
    <definedName name="v_111_GH2">Model!$CF$253</definedName>
    <definedName name="v_111_GH2_atm">Model!$CN$253</definedName>
    <definedName name="v_111_GN2">Model!$CK$253</definedName>
    <definedName name="v_111_GN2_atm">Model!$CS$253</definedName>
    <definedName name="v_111_GN2O">Model!$CJ$253</definedName>
    <definedName name="v_111_GN2O_atm">Model!$CR$253</definedName>
    <definedName name="v_111_GNH3">Model!$CH$253</definedName>
    <definedName name="v_111_GNH3_atm">Model!$CP$253</definedName>
    <definedName name="v_111_GNO">Model!$CI$253</definedName>
    <definedName name="v_111_GNO_atm">Model!$CQ$253</definedName>
    <definedName name="v_111_GO2">Model!$CG$253</definedName>
    <definedName name="v_111_GO2_atm">Model!$CO$253</definedName>
    <definedName name="v_111_SALPHA">Model!$CB$253</definedName>
    <definedName name="v_111_SAN">Model!$AY$253</definedName>
    <definedName name="v_111_SB">Model!$F$253</definedName>
    <definedName name="v_111_SCa">Model!$AZ$253</definedName>
    <definedName name="v_111_SCAT">Model!$AX$253</definedName>
    <definedName name="v_111_SCH4">Model!$AT$253</definedName>
    <definedName name="v_111_SCO2">Model!$AV$253</definedName>
    <definedName name="v_111_SFe2">Model!$BC$253</definedName>
    <definedName name="v_111_SH">Model!$CA$253</definedName>
    <definedName name="v_111_SH2">Model!$AU$253</definedName>
    <definedName name="v_111_SK">Model!$BB$253</definedName>
    <definedName name="v_111_SMEOL">Model!$G$253</definedName>
    <definedName name="v_111_SMg">Model!$BA$253</definedName>
    <definedName name="v_111_SN_B">Model!$AI$253</definedName>
    <definedName name="v_111_SN2">Model!$AH$253</definedName>
    <definedName name="v_111_SN2O">Model!$AG$253</definedName>
    <definedName name="v_111_SNH2OH">Model!$AB$253</definedName>
    <definedName name="v_111_SNHx">Model!$AA$253</definedName>
    <definedName name="v_111_SNO_AOB">Model!$AE$253</definedName>
    <definedName name="v_111_SNO_OHO">Model!$AF$253</definedName>
    <definedName name="v_111_SNO2">Model!$AD$253</definedName>
    <definedName name="v_111_SNO3">Model!$AC$253</definedName>
    <definedName name="v_111_SO2">Model!$AS$253</definedName>
    <definedName name="v_111_SORPswitch">Model!$CC$253</definedName>
    <definedName name="v_111_SP_B">Model!$AO$253</definedName>
    <definedName name="v_111_SPFOA">Model!$BW$253</definedName>
    <definedName name="v_111_SPFOS">Model!$BY$253</definedName>
    <definedName name="v_111_SPO4">Model!$AM$253</definedName>
    <definedName name="v_111_SU">Model!$K$253</definedName>
    <definedName name="v_111_SVFA">Model!$E$253</definedName>
    <definedName name="v_111_XACP">Model!$BS$253</definedName>
    <definedName name="v_111_XALGAE">Model!$Z$253</definedName>
    <definedName name="v_111_XAMETO">Model!$X$253</definedName>
    <definedName name="v_111_XAMX">Model!$W$253</definedName>
    <definedName name="v_111_XAOB">Model!$U$253</definedName>
    <definedName name="v_111_XB">Model!$I$253</definedName>
    <definedName name="v_111_XB_e">Model!$J$253</definedName>
    <definedName name="v_111_XBSH">Model!$BT$253</definedName>
    <definedName name="v_111_XCaCO3">Model!$BR$253</definedName>
    <definedName name="v_111_XCASTO">Model!$S$253</definedName>
    <definedName name="v_111_XE">Model!$P$253</definedName>
    <definedName name="v_111_XE_ana">Model!$Q$253</definedName>
    <definedName name="v_111_XHAO_H">Model!$BK$253</definedName>
    <definedName name="v_111_XHAO_H_P">Model!$BN$253</definedName>
    <definedName name="v_111_XHAO_H_P_old">Model!$BP$253</definedName>
    <definedName name="v_111_XHAO_L">Model!$BL$253</definedName>
    <definedName name="v_111_XHAO_L_P">Model!$BO$253</definedName>
    <definedName name="v_111_XHAO_L_P_old">Model!$BQ$253</definedName>
    <definedName name="v_111_XHAO_old">Model!$BM$253</definedName>
    <definedName name="v_111_XHFO_H">Model!$BD$253</definedName>
    <definedName name="v_111_XHFO_H_P">Model!$BG$253</definedName>
    <definedName name="v_111_XHFO_H_P_old">Model!$BI$253</definedName>
    <definedName name="v_111_XHFO_L">Model!$BE$253</definedName>
    <definedName name="v_111_XHFO_L_P">Model!$BH$253</definedName>
    <definedName name="v_111_XHFO_L_P_old">Model!$BJ$253</definedName>
    <definedName name="v_111_XHFO_old">Model!$BF$253</definedName>
    <definedName name="v_111_XHMETO">Model!$Y$253</definedName>
    <definedName name="v_111_XINORG">Model!$AW$253</definedName>
    <definedName name="v_111_XMEOLO">Model!$T$253</definedName>
    <definedName name="v_111_XN_B">Model!$AJ$253</definedName>
    <definedName name="v_111_XN_Be">Model!$AK$253</definedName>
    <definedName name="v_111_XN_U">Model!$AL$253</definedName>
    <definedName name="v_111_XNOB">Model!$V$253</definedName>
    <definedName name="v_111_XOHO">Model!$R$253</definedName>
    <definedName name="v_111_XP_B">Model!$AP$253</definedName>
    <definedName name="v_111_XP_Be">Model!$AQ$253</definedName>
    <definedName name="v_111_XP_U">Model!$AR$253</definedName>
    <definedName name="v_111_XPFOA">Model!$BX$253</definedName>
    <definedName name="v_111_XPFOS">Model!$BZ$253</definedName>
    <definedName name="v_111_XPHA_GAO">Model!$O$253</definedName>
    <definedName name="v_111_XPHA_PAO">Model!$N$253</definedName>
    <definedName name="v_111_XPP">Model!$AN$253</definedName>
    <definedName name="v_111_XSTR">Model!$BU$253</definedName>
    <definedName name="v_111_XU">Model!$M$253</definedName>
    <definedName name="v_111_XVivi">Model!$BV$253</definedName>
    <definedName name="v_112_CB">Model!$H$254</definedName>
    <definedName name="v_112_CU">Model!$L$254</definedName>
    <definedName name="v_112_GCH4">Model!$CE$254</definedName>
    <definedName name="v_112_GCH4_atm">Model!$CM$254</definedName>
    <definedName name="v_112_GCO2">Model!$CD$254</definedName>
    <definedName name="v_112_GCO2_atm">Model!$CL$254</definedName>
    <definedName name="v_112_GH2">Model!$CF$254</definedName>
    <definedName name="v_112_GH2_atm">Model!$CN$254</definedName>
    <definedName name="v_112_GN2">Model!$CK$254</definedName>
    <definedName name="v_112_GN2_atm">Model!$CS$254</definedName>
    <definedName name="v_112_GN2O">Model!$CJ$254</definedName>
    <definedName name="v_112_GN2O_atm">Model!$CR$254</definedName>
    <definedName name="v_112_GNH3">Model!$CH$254</definedName>
    <definedName name="v_112_GNH3_atm">Model!$CP$254</definedName>
    <definedName name="v_112_GNO">Model!$CI$254</definedName>
    <definedName name="v_112_GNO_atm">Model!$CQ$254</definedName>
    <definedName name="v_112_GO2">Model!$CG$254</definedName>
    <definedName name="v_112_GO2_atm">Model!$CO$254</definedName>
    <definedName name="v_112_SALPHA">Model!$CB$254</definedName>
    <definedName name="v_112_SAN">Model!$AY$254</definedName>
    <definedName name="v_112_SB">Model!$F$254</definedName>
    <definedName name="v_112_SCa">Model!$AZ$254</definedName>
    <definedName name="v_112_SCAT">Model!$AX$254</definedName>
    <definedName name="v_112_SCH4">Model!$AT$254</definedName>
    <definedName name="v_112_SCO2">Model!$AV$254</definedName>
    <definedName name="v_112_SFe2">Model!$BC$254</definedName>
    <definedName name="v_112_SH">Model!$CA$254</definedName>
    <definedName name="v_112_SH2">Model!$AU$254</definedName>
    <definedName name="v_112_SK">Model!$BB$254</definedName>
    <definedName name="v_112_SMEOL">Model!$G$254</definedName>
    <definedName name="v_112_SMg">Model!$BA$254</definedName>
    <definedName name="v_112_SN_B">Model!$AI$254</definedName>
    <definedName name="v_112_SN2">Model!$AH$254</definedName>
    <definedName name="v_112_SN2O">Model!$AG$254</definedName>
    <definedName name="v_112_SNH2OH">Model!$AB$254</definedName>
    <definedName name="v_112_SNHx">Model!$AA$254</definedName>
    <definedName name="v_112_SNO_AOB">Model!$AE$254</definedName>
    <definedName name="v_112_SNO_OHO">Model!$AF$254</definedName>
    <definedName name="v_112_SNO2">Model!$AD$254</definedName>
    <definedName name="v_112_SNO3">Model!$AC$254</definedName>
    <definedName name="v_112_SO2">Model!$AS$254</definedName>
    <definedName name="v_112_SORPswitch">Model!$CC$254</definedName>
    <definedName name="v_112_SP_B">Model!$AO$254</definedName>
    <definedName name="v_112_SPFOA">Model!$BW$254</definedName>
    <definedName name="v_112_SPFOS">Model!$BY$254</definedName>
    <definedName name="v_112_SPO4">Model!$AM$254</definedName>
    <definedName name="v_112_SU">Model!$K$254</definedName>
    <definedName name="v_112_SVFA">Model!$E$254</definedName>
    <definedName name="v_112_XACP">Model!$BS$254</definedName>
    <definedName name="v_112_XALGAE">Model!$Z$254</definedName>
    <definedName name="v_112_XAMETO">Model!$X$254</definedName>
    <definedName name="v_112_XAMX">Model!$W$254</definedName>
    <definedName name="v_112_XAOB">Model!$U$254</definedName>
    <definedName name="v_112_XB">Model!$I$254</definedName>
    <definedName name="v_112_XB_e">Model!$J$254</definedName>
    <definedName name="v_112_XBSH">Model!$BT$254</definedName>
    <definedName name="v_112_XCaCO3">Model!$BR$254</definedName>
    <definedName name="v_112_XCASTO">Model!$S$254</definedName>
    <definedName name="v_112_XE">Model!$P$254</definedName>
    <definedName name="v_112_XE_ana">Model!$Q$254</definedName>
    <definedName name="v_112_XHAO_H">Model!$BK$254</definedName>
    <definedName name="v_112_XHAO_H_P">Model!$BN$254</definedName>
    <definedName name="v_112_XHAO_H_P_old">Model!$BP$254</definedName>
    <definedName name="v_112_XHAO_L">Model!$BL$254</definedName>
    <definedName name="v_112_XHAO_L_P">Model!$BO$254</definedName>
    <definedName name="v_112_XHAO_L_P_old">Model!$BQ$254</definedName>
    <definedName name="v_112_XHAO_old">Model!$BM$254</definedName>
    <definedName name="v_112_XHFO_H">Model!$BD$254</definedName>
    <definedName name="v_112_XHFO_H_P">Model!$BG$254</definedName>
    <definedName name="v_112_XHFO_H_P_old">Model!$BI$254</definedName>
    <definedName name="v_112_XHFO_L">Model!$BE$254</definedName>
    <definedName name="v_112_XHFO_L_P">Model!$BH$254</definedName>
    <definedName name="v_112_XHFO_L_P_old">Model!$BJ$254</definedName>
    <definedName name="v_112_XHFO_old">Model!$BF$254</definedName>
    <definedName name="v_112_XHMETO">Model!$Y$254</definedName>
    <definedName name="v_112_XINORG">Model!$AW$254</definedName>
    <definedName name="v_112_XMEOLO">Model!$T$254</definedName>
    <definedName name="v_112_XN_B">Model!$AJ$254</definedName>
    <definedName name="v_112_XN_Be">Model!$AK$254</definedName>
    <definedName name="v_112_XN_U">Model!$AL$254</definedName>
    <definedName name="v_112_XNOB">Model!$V$254</definedName>
    <definedName name="v_112_XOHO">Model!$R$254</definedName>
    <definedName name="v_112_XP_B">Model!$AP$254</definedName>
    <definedName name="v_112_XP_Be">Model!$AQ$254</definedName>
    <definedName name="v_112_XP_U">Model!$AR$254</definedName>
    <definedName name="v_112_XPFOA">Model!$BX$254</definedName>
    <definedName name="v_112_XPFOS">Model!$BZ$254</definedName>
    <definedName name="v_112_XPHA_GAO">Model!$O$254</definedName>
    <definedName name="v_112_XPHA_PAO">Model!$N$254</definedName>
    <definedName name="v_112_XPP">Model!$AN$254</definedName>
    <definedName name="v_112_XSTR">Model!$BU$254</definedName>
    <definedName name="v_112_XU">Model!$M$254</definedName>
    <definedName name="v_112_XVivi">Model!$BV$254</definedName>
    <definedName name="v_113_CB">Model!$H$255</definedName>
    <definedName name="v_113_CU">Model!$L$255</definedName>
    <definedName name="v_113_GCH4">Model!$CE$255</definedName>
    <definedName name="v_113_GCH4_atm">Model!$CM$255</definedName>
    <definedName name="v_113_GCO2">Model!$CD$255</definedName>
    <definedName name="v_113_GCO2_atm">Model!$CL$255</definedName>
    <definedName name="v_113_GH2">Model!$CF$255</definedName>
    <definedName name="v_113_GH2_atm">Model!$CN$255</definedName>
    <definedName name="v_113_GN2">Model!$CK$255</definedName>
    <definedName name="v_113_GN2_atm">Model!$CS$255</definedName>
    <definedName name="v_113_GN2O">Model!$CJ$255</definedName>
    <definedName name="v_113_GN2O_atm">Model!$CR$255</definedName>
    <definedName name="v_113_GNH3">Model!$CH$255</definedName>
    <definedName name="v_113_GNH3_atm">Model!$CP$255</definedName>
    <definedName name="v_113_GNO">Model!$CI$255</definedName>
    <definedName name="v_113_GNO_atm">Model!$CQ$255</definedName>
    <definedName name="v_113_GO2">Model!$CG$255</definedName>
    <definedName name="v_113_GO2_atm">Model!$CO$255</definedName>
    <definedName name="v_113_SALPHA">Model!$CB$255</definedName>
    <definedName name="v_113_SAN">Model!$AY$255</definedName>
    <definedName name="v_113_SB">Model!$F$255</definedName>
    <definedName name="v_113_SCa">Model!$AZ$255</definedName>
    <definedName name="v_113_SCAT">Model!$AX$255</definedName>
    <definedName name="v_113_SCH4">Model!$AT$255</definedName>
    <definedName name="v_113_SCO2">Model!$AV$255</definedName>
    <definedName name="v_113_SFe2">Model!$BC$255</definedName>
    <definedName name="v_113_SH">Model!$CA$255</definedName>
    <definedName name="v_113_SH2">Model!$AU$255</definedName>
    <definedName name="v_113_SK">Model!$BB$255</definedName>
    <definedName name="v_113_SMEOL">Model!$G$255</definedName>
    <definedName name="v_113_SMg">Model!$BA$255</definedName>
    <definedName name="v_113_SN_B">Model!$AI$255</definedName>
    <definedName name="v_113_SN2">Model!$AH$255</definedName>
    <definedName name="v_113_SN2O">Model!$AG$255</definedName>
    <definedName name="v_113_SNH2OH">Model!$AB$255</definedName>
    <definedName name="v_113_SNHx">Model!$AA$255</definedName>
    <definedName name="v_113_SNO_AOB">Model!$AE$255</definedName>
    <definedName name="v_113_SNO_OHO">Model!$AF$255</definedName>
    <definedName name="v_113_SNO2">Model!$AD$255</definedName>
    <definedName name="v_113_SNO3">Model!$AC$255</definedName>
    <definedName name="v_113_SO2">Model!$AS$255</definedName>
    <definedName name="v_113_SORPswitch">Model!$CC$255</definedName>
    <definedName name="v_113_SP_B">Model!$AO$255</definedName>
    <definedName name="v_113_SPFOA">Model!$BW$255</definedName>
    <definedName name="v_113_SPFOS">Model!$BY$255</definedName>
    <definedName name="v_113_SPO4">Model!$AM$255</definedName>
    <definedName name="v_113_SU">Model!$K$255</definedName>
    <definedName name="v_113_SVFA">Model!$E$255</definedName>
    <definedName name="v_113_XACP">Model!$BS$255</definedName>
    <definedName name="v_113_XALGAE">Model!$Z$255</definedName>
    <definedName name="v_113_XAMETO">Model!$X$255</definedName>
    <definedName name="v_113_XAMX">Model!$W$255</definedName>
    <definedName name="v_113_XAOB">Model!$U$255</definedName>
    <definedName name="v_113_XB">Model!$I$255</definedName>
    <definedName name="v_113_XB_e">Model!$J$255</definedName>
    <definedName name="v_113_XBSH">Model!$BT$255</definedName>
    <definedName name="v_113_XCaCO3">Model!$BR$255</definedName>
    <definedName name="v_113_XCASTO">Model!$S$255</definedName>
    <definedName name="v_113_XE">Model!$P$255</definedName>
    <definedName name="v_113_XE_ana">Model!$Q$255</definedName>
    <definedName name="v_113_XHAO_H">Model!$BK$255</definedName>
    <definedName name="v_113_XHAO_H_P">Model!$BN$255</definedName>
    <definedName name="v_113_XHAO_H_P_old">Model!$BP$255</definedName>
    <definedName name="v_113_XHAO_L">Model!$BL$255</definedName>
    <definedName name="v_113_XHAO_L_P">Model!$BO$255</definedName>
    <definedName name="v_113_XHAO_L_P_old">Model!$BQ$255</definedName>
    <definedName name="v_113_XHAO_old">Model!$BM$255</definedName>
    <definedName name="v_113_XHFO_H">Model!$BD$255</definedName>
    <definedName name="v_113_XHFO_H_P">Model!$BG$255</definedName>
    <definedName name="v_113_XHFO_H_P_old">Model!$BI$255</definedName>
    <definedName name="v_113_XHFO_L">Model!$BE$255</definedName>
    <definedName name="v_113_XHFO_L_P">Model!$BH$255</definedName>
    <definedName name="v_113_XHFO_L_P_old">Model!$BJ$255</definedName>
    <definedName name="v_113_XHFO_old">Model!$BF$255</definedName>
    <definedName name="v_113_XHMETO">Model!$Y$255</definedName>
    <definedName name="v_113_XINORG">Model!$AW$255</definedName>
    <definedName name="v_113_XMEOLO">Model!$T$255</definedName>
    <definedName name="v_113_XN_B">Model!$AJ$255</definedName>
    <definedName name="v_113_XN_Be">Model!$AK$255</definedName>
    <definedName name="v_113_XN_U">Model!$AL$255</definedName>
    <definedName name="v_113_XNOB">Model!$V$255</definedName>
    <definedName name="v_113_XOHO">Model!$R$255</definedName>
    <definedName name="v_113_XP_B">Model!$AP$255</definedName>
    <definedName name="v_113_XP_Be">Model!$AQ$255</definedName>
    <definedName name="v_113_XP_U">Model!$AR$255</definedName>
    <definedName name="v_113_XPFOA">Model!$BX$255</definedName>
    <definedName name="v_113_XPFOS">Model!$BZ$255</definedName>
    <definedName name="v_113_XPHA_GAO">Model!$O$255</definedName>
    <definedName name="v_113_XPHA_PAO">Model!$N$255</definedName>
    <definedName name="v_113_XPP">Model!$AN$255</definedName>
    <definedName name="v_113_XSTR">Model!$BU$255</definedName>
    <definedName name="v_113_XU">Model!$M$255</definedName>
    <definedName name="v_113_XVivi">Model!$BV$255</definedName>
    <definedName name="v_114_CB">Model!$H$256</definedName>
    <definedName name="v_114_CU">Model!$L$256</definedName>
    <definedName name="v_114_GCH4">Model!$CE$256</definedName>
    <definedName name="v_114_GCH4_atm">Model!$CM$256</definedName>
    <definedName name="v_114_GCO2">Model!$CD$256</definedName>
    <definedName name="v_114_GCO2_atm">Model!$CL$256</definedName>
    <definedName name="v_114_GH2">Model!$CF$256</definedName>
    <definedName name="v_114_GH2_atm">Model!$CN$256</definedName>
    <definedName name="v_114_GN2">Model!$CK$256</definedName>
    <definedName name="v_114_GN2_atm">Model!$CS$256</definedName>
    <definedName name="v_114_GN2O">Model!$CJ$256</definedName>
    <definedName name="v_114_GN2O_atm">Model!$CR$256</definedName>
    <definedName name="v_114_GNH3">Model!$CH$256</definedName>
    <definedName name="v_114_GNH3_atm">Model!$CP$256</definedName>
    <definedName name="v_114_GNO">Model!$CI$256</definedName>
    <definedName name="v_114_GNO_atm">Model!$CQ$256</definedName>
    <definedName name="v_114_GO2">Model!$CG$256</definedName>
    <definedName name="v_114_GO2_atm">Model!$CO$256</definedName>
    <definedName name="v_114_SALPHA">Model!$CB$256</definedName>
    <definedName name="v_114_SAN">Model!$AY$256</definedName>
    <definedName name="v_114_SB">Model!$F$256</definedName>
    <definedName name="v_114_SCa">Model!$AZ$256</definedName>
    <definedName name="v_114_SCAT">Model!$AX$256</definedName>
    <definedName name="v_114_SCH4">Model!$AT$256</definedName>
    <definedName name="v_114_SCO2">Model!$AV$256</definedName>
    <definedName name="v_114_SFe2">Model!$BC$256</definedName>
    <definedName name="v_114_SH">Model!$CA$256</definedName>
    <definedName name="v_114_SH2">Model!$AU$256</definedName>
    <definedName name="v_114_SK">Model!$BB$256</definedName>
    <definedName name="v_114_SMEOL">Model!$G$256</definedName>
    <definedName name="v_114_SMg">Model!$BA$256</definedName>
    <definedName name="v_114_SN_B">Model!$AI$256</definedName>
    <definedName name="v_114_SN2">Model!$AH$256</definedName>
    <definedName name="v_114_SN2O">Model!$AG$256</definedName>
    <definedName name="v_114_SNH2OH">Model!$AB$256</definedName>
    <definedName name="v_114_SNHx">Model!$AA$256</definedName>
    <definedName name="v_114_SNO_AOB">Model!$AE$256</definedName>
    <definedName name="v_114_SNO_OHO">Model!$AF$256</definedName>
    <definedName name="v_114_SNO2">Model!$AD$256</definedName>
    <definedName name="v_114_SNO3">Model!$AC$256</definedName>
    <definedName name="v_114_SO2">Model!$AS$256</definedName>
    <definedName name="v_114_SORPswitch">Model!$CC$256</definedName>
    <definedName name="v_114_SP_B">Model!$AO$256</definedName>
    <definedName name="v_114_SPFOA">Model!$BW$256</definedName>
    <definedName name="v_114_SPFOS">Model!$BY$256</definedName>
    <definedName name="v_114_SPO4">Model!$AM$256</definedName>
    <definedName name="v_114_SU">Model!$K$256</definedName>
    <definedName name="v_114_SVFA">Model!$E$256</definedName>
    <definedName name="v_114_XACP">Model!$BS$256</definedName>
    <definedName name="v_114_XALGAE">Model!$Z$256</definedName>
    <definedName name="v_114_XAMETO">Model!$X$256</definedName>
    <definedName name="v_114_XAMX">Model!$W$256</definedName>
    <definedName name="v_114_XAOB">Model!$U$256</definedName>
    <definedName name="v_114_XB">Model!$I$256</definedName>
    <definedName name="v_114_XB_e">Model!$J$256</definedName>
    <definedName name="v_114_XBSH">Model!$BT$256</definedName>
    <definedName name="v_114_XCaCO3">Model!$BR$256</definedName>
    <definedName name="v_114_XCASTO">Model!$S$256</definedName>
    <definedName name="v_114_XE">Model!$P$256</definedName>
    <definedName name="v_114_XE_ana">Model!$Q$256</definedName>
    <definedName name="v_114_XHAO_H">Model!$BK$256</definedName>
    <definedName name="v_114_XHAO_H_P">Model!$BN$256</definedName>
    <definedName name="v_114_XHAO_H_P_old">Model!$BP$256</definedName>
    <definedName name="v_114_XHAO_L">Model!$BL$256</definedName>
    <definedName name="v_114_XHAO_L_P">Model!$BO$256</definedName>
    <definedName name="v_114_XHAO_L_P_old">Model!$BQ$256</definedName>
    <definedName name="v_114_XHAO_old">Model!$BM$256</definedName>
    <definedName name="v_114_XHFO_H">Model!$BD$256</definedName>
    <definedName name="v_114_XHFO_H_P">Model!$BG$256</definedName>
    <definedName name="v_114_XHFO_H_P_old">Model!$BI$256</definedName>
    <definedName name="v_114_XHFO_L">Model!$BE$256</definedName>
    <definedName name="v_114_XHFO_L_P">Model!$BH$256</definedName>
    <definedName name="v_114_XHFO_L_P_old">Model!$BJ$256</definedName>
    <definedName name="v_114_XHFO_old">Model!$BF$256</definedName>
    <definedName name="v_114_XHMETO">Model!$Y$256</definedName>
    <definedName name="v_114_XINORG">Model!$AW$256</definedName>
    <definedName name="v_114_XMEOLO">Model!$T$256</definedName>
    <definedName name="v_114_XN_B">Model!$AJ$256</definedName>
    <definedName name="v_114_XN_Be">Model!$AK$256</definedName>
    <definedName name="v_114_XN_U">Model!$AL$256</definedName>
    <definedName name="v_114_XNOB">Model!$V$256</definedName>
    <definedName name="v_114_XOHO">Model!$R$256</definedName>
    <definedName name="v_114_XP_B">Model!$AP$256</definedName>
    <definedName name="v_114_XP_Be">Model!$AQ$256</definedName>
    <definedName name="v_114_XP_U">Model!$AR$256</definedName>
    <definedName name="v_114_XPFOA">Model!$BX$256</definedName>
    <definedName name="v_114_XPFOS">Model!$BZ$256</definedName>
    <definedName name="v_114_XPHA_GAO">Model!$O$256</definedName>
    <definedName name="v_114_XPHA_PAO">Model!$N$256</definedName>
    <definedName name="v_114_XPP">Model!$AN$256</definedName>
    <definedName name="v_114_XSTR">Model!$BU$256</definedName>
    <definedName name="v_114_XU">Model!$M$256</definedName>
    <definedName name="v_114_XVivi">Model!$BV$256</definedName>
    <definedName name="v_115_CB">Model!$H$257</definedName>
    <definedName name="v_115_CU">Model!$L$257</definedName>
    <definedName name="v_115_GCH4">Model!$CE$257</definedName>
    <definedName name="v_115_GCH4_atm">Model!$CM$257</definedName>
    <definedName name="v_115_GCO2">Model!$CD$257</definedName>
    <definedName name="v_115_GCO2_atm">Model!$CL$257</definedName>
    <definedName name="v_115_GH2">Model!$CF$257</definedName>
    <definedName name="v_115_GH2_atm">Model!$CN$257</definedName>
    <definedName name="v_115_GN2">Model!$CK$257</definedName>
    <definedName name="v_115_GN2_atm">Model!$CS$257</definedName>
    <definedName name="v_115_GN2O">Model!$CJ$257</definedName>
    <definedName name="v_115_GN2O_atm">Model!$CR$257</definedName>
    <definedName name="v_115_GNH3">Model!$CH$257</definedName>
    <definedName name="v_115_GNH3_atm">Model!$CP$257</definedName>
    <definedName name="v_115_GNO">Model!$CI$257</definedName>
    <definedName name="v_115_GNO_atm">Model!$CQ$257</definedName>
    <definedName name="v_115_GO2">Model!$CG$257</definedName>
    <definedName name="v_115_GO2_atm">Model!$CO$257</definedName>
    <definedName name="v_115_SALPHA">Model!$CB$257</definedName>
    <definedName name="v_115_SAN">Model!$AY$257</definedName>
    <definedName name="v_115_SB">Model!$F$257</definedName>
    <definedName name="v_115_SCa">Model!$AZ$257</definedName>
    <definedName name="v_115_SCAT">Model!$AX$257</definedName>
    <definedName name="v_115_SCH4">Model!$AT$257</definedName>
    <definedName name="v_115_SCO2">Model!$AV$257</definedName>
    <definedName name="v_115_SFe2">Model!$BC$257</definedName>
    <definedName name="v_115_SH">Model!$CA$257</definedName>
    <definedName name="v_115_SH2">Model!$AU$257</definedName>
    <definedName name="v_115_SK">Model!$BB$257</definedName>
    <definedName name="v_115_SMEOL">Model!$G$257</definedName>
    <definedName name="v_115_SMg">Model!$BA$257</definedName>
    <definedName name="v_115_SN_B">Model!$AI$257</definedName>
    <definedName name="v_115_SN2">Model!$AH$257</definedName>
    <definedName name="v_115_SN2O">Model!$AG$257</definedName>
    <definedName name="v_115_SNH2OH">Model!$AB$257</definedName>
    <definedName name="v_115_SNHx">Model!$AA$257</definedName>
    <definedName name="v_115_SNO_AOB">Model!$AE$257</definedName>
    <definedName name="v_115_SNO_OHO">Model!$AF$257</definedName>
    <definedName name="v_115_SNO2">Model!$AD$257</definedName>
    <definedName name="v_115_SNO3">Model!$AC$257</definedName>
    <definedName name="v_115_SO2">Model!$AS$257</definedName>
    <definedName name="v_115_SORPswitch">Model!$CC$257</definedName>
    <definedName name="v_115_SP_B">Model!$AO$257</definedName>
    <definedName name="v_115_SPFOA">Model!$BW$257</definedName>
    <definedName name="v_115_SPFOS">Model!$BY$257</definedName>
    <definedName name="v_115_SPO4">Model!$AM$257</definedName>
    <definedName name="v_115_SU">Model!$K$257</definedName>
    <definedName name="v_115_SVFA">Model!$E$257</definedName>
    <definedName name="v_115_XACP">Model!$BS$257</definedName>
    <definedName name="v_115_XALGAE">Model!$Z$257</definedName>
    <definedName name="v_115_XAMETO">Model!$X$257</definedName>
    <definedName name="v_115_XAMX">Model!$W$257</definedName>
    <definedName name="v_115_XAOB">Model!$U$257</definedName>
    <definedName name="v_115_XB">Model!$I$257</definedName>
    <definedName name="v_115_XB_e">Model!$J$257</definedName>
    <definedName name="v_115_XBSH">Model!$BT$257</definedName>
    <definedName name="v_115_XCaCO3">Model!$BR$257</definedName>
    <definedName name="v_115_XCASTO">Model!$S$257</definedName>
    <definedName name="v_115_XE">Model!$P$257</definedName>
    <definedName name="v_115_XE_ana">Model!$Q$257</definedName>
    <definedName name="v_115_XHAO_H">Model!$BK$257</definedName>
    <definedName name="v_115_XHAO_H_P">Model!$BN$257</definedName>
    <definedName name="v_115_XHAO_H_P_old">Model!$BP$257</definedName>
    <definedName name="v_115_XHAO_L">Model!$BL$257</definedName>
    <definedName name="v_115_XHAO_L_P">Model!$BO$257</definedName>
    <definedName name="v_115_XHAO_L_P_old">Model!$BQ$257</definedName>
    <definedName name="v_115_XHAO_old">Model!$BM$257</definedName>
    <definedName name="v_115_XHFO_H">Model!$BD$257</definedName>
    <definedName name="v_115_XHFO_H_P">Model!$BG$257</definedName>
    <definedName name="v_115_XHFO_H_P_old">Model!$BI$257</definedName>
    <definedName name="v_115_XHFO_L">Model!$BE$257</definedName>
    <definedName name="v_115_XHFO_L_P">Model!$BH$257</definedName>
    <definedName name="v_115_XHFO_L_P_old">Model!$BJ$257</definedName>
    <definedName name="v_115_XHFO_old">Model!$BF$257</definedName>
    <definedName name="v_115_XHMETO">Model!$Y$257</definedName>
    <definedName name="v_115_XINORG">Model!$AW$257</definedName>
    <definedName name="v_115_XMEOLO">Model!$T$257</definedName>
    <definedName name="v_115_XN_B">Model!$AJ$257</definedName>
    <definedName name="v_115_XN_Be">Model!$AK$257</definedName>
    <definedName name="v_115_XN_U">Model!$AL$257</definedName>
    <definedName name="v_115_XNOB">Model!$V$257</definedName>
    <definedName name="v_115_XOHO">Model!$R$257</definedName>
    <definedName name="v_115_XP_B">Model!$AP$257</definedName>
    <definedName name="v_115_XP_Be">Model!$AQ$257</definedName>
    <definedName name="v_115_XP_U">Model!$AR$257</definedName>
    <definedName name="v_115_XPFOA">Model!$BX$257</definedName>
    <definedName name="v_115_XPFOS">Model!$BZ$257</definedName>
    <definedName name="v_115_XPHA_GAO">Model!$O$257</definedName>
    <definedName name="v_115_XPHA_PAO">Model!$N$257</definedName>
    <definedName name="v_115_XPP">Model!$AN$257</definedName>
    <definedName name="v_115_XSTR">Model!$BU$257</definedName>
    <definedName name="v_115_XU">Model!$M$257</definedName>
    <definedName name="v_115_XVivi">Model!$BV$257</definedName>
    <definedName name="v_116_CB">Model!$H$258</definedName>
    <definedName name="v_116_CU">Model!$L$258</definedName>
    <definedName name="v_116_GCH4">Model!$CE$258</definedName>
    <definedName name="v_116_GCH4_atm">Model!$CM$258</definedName>
    <definedName name="v_116_GCO2">Model!$CD$258</definedName>
    <definedName name="v_116_GCO2_atm">Model!$CL$258</definedName>
    <definedName name="v_116_GH2">Model!$CF$258</definedName>
    <definedName name="v_116_GH2_atm">Model!$CN$258</definedName>
    <definedName name="v_116_GN2">Model!$CK$258</definedName>
    <definedName name="v_116_GN2_atm">Model!$CS$258</definedName>
    <definedName name="v_116_GN2O">Model!$CJ$258</definedName>
    <definedName name="v_116_GN2O_atm">Model!$CR$258</definedName>
    <definedName name="v_116_GNH3">Model!$CH$258</definedName>
    <definedName name="v_116_GNH3_atm">Model!$CP$258</definedName>
    <definedName name="v_116_GNO">Model!$CI$258</definedName>
    <definedName name="v_116_GNO_atm">Model!$CQ$258</definedName>
    <definedName name="v_116_GO2">Model!$CG$258</definedName>
    <definedName name="v_116_GO2_atm">Model!$CO$258</definedName>
    <definedName name="v_116_SALPHA">Model!$CB$258</definedName>
    <definedName name="v_116_SAN">Model!$AY$258</definedName>
    <definedName name="v_116_SB">Model!$F$258</definedName>
    <definedName name="v_116_SCa">Model!$AZ$258</definedName>
    <definedName name="v_116_SCAT">Model!$AX$258</definedName>
    <definedName name="v_116_SCH4">Model!$AT$258</definedName>
    <definedName name="v_116_SCO2">Model!$AV$258</definedName>
    <definedName name="v_116_SFe2">Model!$BC$258</definedName>
    <definedName name="v_116_SH">Model!$CA$258</definedName>
    <definedName name="v_116_SH2">Model!$AU$258</definedName>
    <definedName name="v_116_SK">Model!$BB$258</definedName>
    <definedName name="v_116_SMEOL">Model!$G$258</definedName>
    <definedName name="v_116_SMg">Model!$BA$258</definedName>
    <definedName name="v_116_SN_B">Model!$AI$258</definedName>
    <definedName name="v_116_SN2">Model!$AH$258</definedName>
    <definedName name="v_116_SN2O">Model!$AG$258</definedName>
    <definedName name="v_116_SNH2OH">Model!$AB$258</definedName>
    <definedName name="v_116_SNHx">Model!$AA$258</definedName>
    <definedName name="v_116_SNO_AOB">Model!$AE$258</definedName>
    <definedName name="v_116_SNO_OHO">Model!$AF$258</definedName>
    <definedName name="v_116_SNO2">Model!$AD$258</definedName>
    <definedName name="v_116_SNO3">Model!$AC$258</definedName>
    <definedName name="v_116_SO2">Model!$AS$258</definedName>
    <definedName name="v_116_SORPswitch">Model!$CC$258</definedName>
    <definedName name="v_116_SP_B">Model!$AO$258</definedName>
    <definedName name="v_116_SPFOA">Model!$BW$258</definedName>
    <definedName name="v_116_SPFOS">Model!$BY$258</definedName>
    <definedName name="v_116_SPO4">Model!$AM$258</definedName>
    <definedName name="v_116_SU">Model!$K$258</definedName>
    <definedName name="v_116_SVFA">Model!$E$258</definedName>
    <definedName name="v_116_XACP">Model!$BS$258</definedName>
    <definedName name="v_116_XALGAE">Model!$Z$258</definedName>
    <definedName name="v_116_XAMETO">Model!$X$258</definedName>
    <definedName name="v_116_XAMX">Model!$W$258</definedName>
    <definedName name="v_116_XAOB">Model!$U$258</definedName>
    <definedName name="v_116_XB">Model!$I$258</definedName>
    <definedName name="v_116_XB_e">Model!$J$258</definedName>
    <definedName name="v_116_XBSH">Model!$BT$258</definedName>
    <definedName name="v_116_XCaCO3">Model!$BR$258</definedName>
    <definedName name="v_116_XCASTO">Model!$S$258</definedName>
    <definedName name="v_116_XE">Model!$P$258</definedName>
    <definedName name="v_116_XE_ana">Model!$Q$258</definedName>
    <definedName name="v_116_XHAO_H">Model!$BK$258</definedName>
    <definedName name="v_116_XHAO_H_P">Model!$BN$258</definedName>
    <definedName name="v_116_XHAO_H_P_old">Model!$BP$258</definedName>
    <definedName name="v_116_XHAO_L">Model!$BL$258</definedName>
    <definedName name="v_116_XHAO_L_P">Model!$BO$258</definedName>
    <definedName name="v_116_XHAO_L_P_old">Model!$BQ$258</definedName>
    <definedName name="v_116_XHAO_old">Model!$BM$258</definedName>
    <definedName name="v_116_XHFO_H">Model!$BD$258</definedName>
    <definedName name="v_116_XHFO_H_P">Model!$BG$258</definedName>
    <definedName name="v_116_XHFO_H_P_old">Model!$BI$258</definedName>
    <definedName name="v_116_XHFO_L">Model!$BE$258</definedName>
    <definedName name="v_116_XHFO_L_P">Model!$BH$258</definedName>
    <definedName name="v_116_XHFO_L_P_old">Model!$BJ$258</definedName>
    <definedName name="v_116_XHFO_old">Model!$BF$258</definedName>
    <definedName name="v_116_XHMETO">Model!$Y$258</definedName>
    <definedName name="v_116_XINORG">Model!$AW$258</definedName>
    <definedName name="v_116_XMEOLO">Model!$T$258</definedName>
    <definedName name="v_116_XN_B">Model!$AJ$258</definedName>
    <definedName name="v_116_XN_Be">Model!$AK$258</definedName>
    <definedName name="v_116_XN_U">Model!$AL$258</definedName>
    <definedName name="v_116_XNOB">Model!$V$258</definedName>
    <definedName name="v_116_XOHO">Model!$R$258</definedName>
    <definedName name="v_116_XP_B">Model!$AP$258</definedName>
    <definedName name="v_116_XP_Be">Model!$AQ$258</definedName>
    <definedName name="v_116_XP_U">Model!$AR$258</definedName>
    <definedName name="v_116_XPFOA">Model!$BX$258</definedName>
    <definedName name="v_116_XPFOS">Model!$BZ$258</definedName>
    <definedName name="v_116_XPHA_GAO">Model!$O$258</definedName>
    <definedName name="v_116_XPHA_PAO">Model!$N$258</definedName>
    <definedName name="v_116_XPP">Model!$AN$258</definedName>
    <definedName name="v_116_XSTR">Model!$BU$258</definedName>
    <definedName name="v_116_XU">Model!$M$258</definedName>
    <definedName name="v_116_XVivi">Model!$BV$258</definedName>
    <definedName name="v_117_CB">Model!$H$259</definedName>
    <definedName name="v_117_CU">Model!$L$259</definedName>
    <definedName name="v_117_GCH4">Model!$CE$259</definedName>
    <definedName name="v_117_GCH4_atm">Model!$CM$259</definedName>
    <definedName name="v_117_GCO2">Model!$CD$259</definedName>
    <definedName name="v_117_GCO2_atm">Model!$CL$259</definedName>
    <definedName name="v_117_GH2">Model!$CF$259</definedName>
    <definedName name="v_117_GH2_atm">Model!$CN$259</definedName>
    <definedName name="v_117_GN2">Model!$CK$259</definedName>
    <definedName name="v_117_GN2_atm">Model!$CS$259</definedName>
    <definedName name="v_117_GN2O">Model!$CJ$259</definedName>
    <definedName name="v_117_GN2O_atm">Model!$CR$259</definedName>
    <definedName name="v_117_GNH3">Model!$CH$259</definedName>
    <definedName name="v_117_GNH3_atm">Model!$CP$259</definedName>
    <definedName name="v_117_GNO">Model!$CI$259</definedName>
    <definedName name="v_117_GNO_atm">Model!$CQ$259</definedName>
    <definedName name="v_117_GO2">Model!$CG$259</definedName>
    <definedName name="v_117_GO2_atm">Model!$CO$259</definedName>
    <definedName name="v_117_SALPHA">Model!$CB$259</definedName>
    <definedName name="v_117_SAN">Model!$AY$259</definedName>
    <definedName name="v_117_SB">Model!$F$259</definedName>
    <definedName name="v_117_SCa">Model!$AZ$259</definedName>
    <definedName name="v_117_SCAT">Model!$AX$259</definedName>
    <definedName name="v_117_SCH4">Model!$AT$259</definedName>
    <definedName name="v_117_SCO2">Model!$AV$259</definedName>
    <definedName name="v_117_SFe2">Model!$BC$259</definedName>
    <definedName name="v_117_SH">Model!$CA$259</definedName>
    <definedName name="v_117_SH2">Model!$AU$259</definedName>
    <definedName name="v_117_SK">Model!$BB$259</definedName>
    <definedName name="v_117_SMEOL">Model!$G$259</definedName>
    <definedName name="v_117_SMg">Model!$BA$259</definedName>
    <definedName name="v_117_SN_B">Model!$AI$259</definedName>
    <definedName name="v_117_SN2">Model!$AH$259</definedName>
    <definedName name="v_117_SN2O">Model!$AG$259</definedName>
    <definedName name="v_117_SNH2OH">Model!$AB$259</definedName>
    <definedName name="v_117_SNHx">Model!$AA$259</definedName>
    <definedName name="v_117_SNO_AOB">Model!$AE$259</definedName>
    <definedName name="v_117_SNO_OHO">Model!$AF$259</definedName>
    <definedName name="v_117_SNO2">Model!$AD$259</definedName>
    <definedName name="v_117_SNO3">Model!$AC$259</definedName>
    <definedName name="v_117_SO2">Model!$AS$259</definedName>
    <definedName name="v_117_SORPswitch">Model!$CC$259</definedName>
    <definedName name="v_117_SP_B">Model!$AO$259</definedName>
    <definedName name="v_117_SPFOA">Model!$BW$259</definedName>
    <definedName name="v_117_SPFOS">Model!$BY$259</definedName>
    <definedName name="v_117_SPO4">Model!$AM$259</definedName>
    <definedName name="v_117_SU">Model!$K$259</definedName>
    <definedName name="v_117_SVFA">Model!$E$259</definedName>
    <definedName name="v_117_XACP">Model!$BS$259</definedName>
    <definedName name="v_117_XALGAE">Model!$Z$259</definedName>
    <definedName name="v_117_XAMETO">Model!$X$259</definedName>
    <definedName name="v_117_XAMX">Model!$W$259</definedName>
    <definedName name="v_117_XAOB">Model!$U$259</definedName>
    <definedName name="v_117_XB">Model!$I$259</definedName>
    <definedName name="v_117_XB_e">Model!$J$259</definedName>
    <definedName name="v_117_XBSH">Model!$BT$259</definedName>
    <definedName name="v_117_XCaCO3">Model!$BR$259</definedName>
    <definedName name="v_117_XCASTO">Model!$S$259</definedName>
    <definedName name="v_117_XE">Model!$P$259</definedName>
    <definedName name="v_117_XE_ana">Model!$Q$259</definedName>
    <definedName name="v_117_XHAO_H">Model!$BK$259</definedName>
    <definedName name="v_117_XHAO_H_P">Model!$BN$259</definedName>
    <definedName name="v_117_XHAO_H_P_old">Model!$BP$259</definedName>
    <definedName name="v_117_XHAO_L">Model!$BL$259</definedName>
    <definedName name="v_117_XHAO_L_P">Model!$BO$259</definedName>
    <definedName name="v_117_XHAO_L_P_old">Model!$BQ$259</definedName>
    <definedName name="v_117_XHAO_old">Model!$BM$259</definedName>
    <definedName name="v_117_XHFO_H">Model!$BD$259</definedName>
    <definedName name="v_117_XHFO_H_P">Model!$BG$259</definedName>
    <definedName name="v_117_XHFO_H_P_old">Model!$BI$259</definedName>
    <definedName name="v_117_XHFO_L">Model!$BE$259</definedName>
    <definedName name="v_117_XHFO_L_P">Model!$BH$259</definedName>
    <definedName name="v_117_XHFO_L_P_old">Model!$BJ$259</definedName>
    <definedName name="v_117_XHFO_old">Model!$BF$259</definedName>
    <definedName name="v_117_XHMETO">Model!$Y$259</definedName>
    <definedName name="v_117_XINORG">Model!$AW$259</definedName>
    <definedName name="v_117_XMEOLO">Model!$T$259</definedName>
    <definedName name="v_117_XN_B">Model!$AJ$259</definedName>
    <definedName name="v_117_XN_Be">Model!$AK$259</definedName>
    <definedName name="v_117_XN_U">Model!$AL$259</definedName>
    <definedName name="v_117_XNOB">Model!$V$259</definedName>
    <definedName name="v_117_XOHO">Model!$R$259</definedName>
    <definedName name="v_117_XP_B">Model!$AP$259</definedName>
    <definedName name="v_117_XP_Be">Model!$AQ$259</definedName>
    <definedName name="v_117_XP_U">Model!$AR$259</definedName>
    <definedName name="v_117_XPFOA">Model!$BX$259</definedName>
    <definedName name="v_117_XPFOS">Model!$BZ$259</definedName>
    <definedName name="v_117_XPHA_GAO">Model!$O$259</definedName>
    <definedName name="v_117_XPHA_PAO">Model!$N$259</definedName>
    <definedName name="v_117_XPP">Model!$AN$259</definedName>
    <definedName name="v_117_XSTR">Model!$BU$259</definedName>
    <definedName name="v_117_XU">Model!$M$259</definedName>
    <definedName name="v_117_XVivi">Model!$BV$259</definedName>
    <definedName name="v_118_CB">Model!$H$260</definedName>
    <definedName name="v_118_CU">Model!$L$260</definedName>
    <definedName name="v_118_GCH4">Model!$CE$260</definedName>
    <definedName name="v_118_GCH4_atm">Model!$CM$260</definedName>
    <definedName name="v_118_GCO2">Model!$CD$260</definedName>
    <definedName name="v_118_GCO2_atm">Model!$CL$260</definedName>
    <definedName name="v_118_GH2">Model!$CF$260</definedName>
    <definedName name="v_118_GH2_atm">Model!$CN$260</definedName>
    <definedName name="v_118_GN2">Model!$CK$260</definedName>
    <definedName name="v_118_GN2_atm">Model!$CS$260</definedName>
    <definedName name="v_118_GN2O">Model!$CJ$260</definedName>
    <definedName name="v_118_GN2O_atm">Model!$CR$260</definedName>
    <definedName name="v_118_GNH3">Model!$CH$260</definedName>
    <definedName name="v_118_GNH3_atm">Model!$CP$260</definedName>
    <definedName name="v_118_GNO">Model!$CI$260</definedName>
    <definedName name="v_118_GNO_atm">Model!$CQ$260</definedName>
    <definedName name="v_118_GO2">Model!$CG$260</definedName>
    <definedName name="v_118_GO2_atm">Model!$CO$260</definedName>
    <definedName name="v_118_SALPHA">Model!$CB$260</definedName>
    <definedName name="v_118_SAN">Model!$AY$260</definedName>
    <definedName name="v_118_SB">Model!$F$260</definedName>
    <definedName name="v_118_SCa">Model!$AZ$260</definedName>
    <definedName name="v_118_SCAT">Model!$AX$260</definedName>
    <definedName name="v_118_SCH4">Model!$AT$260</definedName>
    <definedName name="v_118_SCO2">Model!$AV$260</definedName>
    <definedName name="v_118_SFe2">Model!$BC$260</definedName>
    <definedName name="v_118_SH">Model!$CA$260</definedName>
    <definedName name="v_118_SH2">Model!$AU$260</definedName>
    <definedName name="v_118_SK">Model!$BB$260</definedName>
    <definedName name="v_118_SMEOL">Model!$G$260</definedName>
    <definedName name="v_118_SMg">Model!$BA$260</definedName>
    <definedName name="v_118_SN_B">Model!$AI$260</definedName>
    <definedName name="v_118_SN2">Model!$AH$260</definedName>
    <definedName name="v_118_SN2O">Model!$AG$260</definedName>
    <definedName name="v_118_SNH2OH">Model!$AB$260</definedName>
    <definedName name="v_118_SNHx">Model!$AA$260</definedName>
    <definedName name="v_118_SNO_AOB">Model!$AE$260</definedName>
    <definedName name="v_118_SNO_OHO">Model!$AF$260</definedName>
    <definedName name="v_118_SNO2">Model!$AD$260</definedName>
    <definedName name="v_118_SNO3">Model!$AC$260</definedName>
    <definedName name="v_118_SO2">Model!$AS$260</definedName>
    <definedName name="v_118_SORPswitch">Model!$CC$260</definedName>
    <definedName name="v_118_SP_B">Model!$AO$260</definedName>
    <definedName name="v_118_SPFOA">Model!$BW$260</definedName>
    <definedName name="v_118_SPFOS">Model!$BY$260</definedName>
    <definedName name="v_118_SPO4">Model!$AM$260</definedName>
    <definedName name="v_118_SU">Model!$K$260</definedName>
    <definedName name="v_118_SVFA">Model!$E$260</definedName>
    <definedName name="v_118_XACP">Model!$BS$260</definedName>
    <definedName name="v_118_XALGAE">Model!$Z$260</definedName>
    <definedName name="v_118_XAMETO">Model!$X$260</definedName>
    <definedName name="v_118_XAMX">Model!$W$260</definedName>
    <definedName name="v_118_XAOB">Model!$U$260</definedName>
    <definedName name="v_118_XB">Model!$I$260</definedName>
    <definedName name="v_118_XB_e">Model!$J$260</definedName>
    <definedName name="v_118_XBSH">Model!$BT$260</definedName>
    <definedName name="v_118_XCaCO3">Model!$BR$260</definedName>
    <definedName name="v_118_XCASTO">Model!$S$260</definedName>
    <definedName name="v_118_XE">Model!$P$260</definedName>
    <definedName name="v_118_XE_ana">Model!$Q$260</definedName>
    <definedName name="v_118_XHAO_H">Model!$BK$260</definedName>
    <definedName name="v_118_XHAO_H_P">Model!$BN$260</definedName>
    <definedName name="v_118_XHAO_H_P_old">Model!$BP$260</definedName>
    <definedName name="v_118_XHAO_L">Model!$BL$260</definedName>
    <definedName name="v_118_XHAO_L_P">Model!$BO$260</definedName>
    <definedName name="v_118_XHAO_L_P_old">Model!$BQ$260</definedName>
    <definedName name="v_118_XHAO_old">Model!$BM$260</definedName>
    <definedName name="v_118_XHFO_H">Model!$BD$260</definedName>
    <definedName name="v_118_XHFO_H_P">Model!$BG$260</definedName>
    <definedName name="v_118_XHFO_H_P_old">Model!$BI$260</definedName>
    <definedName name="v_118_XHFO_L">Model!$BE$260</definedName>
    <definedName name="v_118_XHFO_L_P">Model!$BH$260</definedName>
    <definedName name="v_118_XHFO_L_P_old">Model!$BJ$260</definedName>
    <definedName name="v_118_XHFO_old">Model!$BF$260</definedName>
    <definedName name="v_118_XHMETO">Model!$Y$260</definedName>
    <definedName name="v_118_XINORG">Model!$AW$260</definedName>
    <definedName name="v_118_XMEOLO">Model!$T$260</definedName>
    <definedName name="v_118_XN_B">Model!$AJ$260</definedName>
    <definedName name="v_118_XN_Be">Model!$AK$260</definedName>
    <definedName name="v_118_XN_U">Model!$AL$260</definedName>
    <definedName name="v_118_XNOB">Model!$V$260</definedName>
    <definedName name="v_118_XOHO">Model!$R$260</definedName>
    <definedName name="v_118_XP_B">Model!$AP$260</definedName>
    <definedName name="v_118_XP_Be">Model!$AQ$260</definedName>
    <definedName name="v_118_XP_U">Model!$AR$260</definedName>
    <definedName name="v_118_XPFOA">Model!$BX$260</definedName>
    <definedName name="v_118_XPFOS">Model!$BZ$260</definedName>
    <definedName name="v_118_XPHA_GAO">Model!$O$260</definedName>
    <definedName name="v_118_XPHA_PAO">Model!$N$260</definedName>
    <definedName name="v_118_XPP">Model!$AN$260</definedName>
    <definedName name="v_118_XSTR">Model!$BU$260</definedName>
    <definedName name="v_118_XU">Model!$M$260</definedName>
    <definedName name="v_118_XVivi">Model!$BV$260</definedName>
    <definedName name="v_119_CB">Model!$H$261</definedName>
    <definedName name="v_119_CU">Model!$L$261</definedName>
    <definedName name="v_119_GCH4">Model!$CE$261</definedName>
    <definedName name="v_119_GCH4_atm">Model!$CM$261</definedName>
    <definedName name="v_119_GCO2">Model!$CD$261</definedName>
    <definedName name="v_119_GCO2_atm">Model!$CL$261</definedName>
    <definedName name="v_119_GH2">Model!$CF$261</definedName>
    <definedName name="v_119_GH2_atm">Model!$CN$261</definedName>
    <definedName name="v_119_GN2">Model!$CK$261</definedName>
    <definedName name="v_119_GN2_atm">Model!$CS$261</definedName>
    <definedName name="v_119_GN2O">Model!$CJ$261</definedName>
    <definedName name="v_119_GN2O_atm">Model!$CR$261</definedName>
    <definedName name="v_119_GNH3">Model!$CH$261</definedName>
    <definedName name="v_119_GNH3_atm">Model!$CP$261</definedName>
    <definedName name="v_119_GNO">Model!$CI$261</definedName>
    <definedName name="v_119_GNO_atm">Model!$CQ$261</definedName>
    <definedName name="v_119_GO2">Model!$CG$261</definedName>
    <definedName name="v_119_GO2_atm">Model!$CO$261</definedName>
    <definedName name="v_119_SALPHA">Model!$CB$261</definedName>
    <definedName name="v_119_SAN">Model!$AY$261</definedName>
    <definedName name="v_119_SB">Model!$F$261</definedName>
    <definedName name="v_119_SCa">Model!$AZ$261</definedName>
    <definedName name="v_119_SCAT">Model!$AX$261</definedName>
    <definedName name="v_119_SCH4">Model!$AT$261</definedName>
    <definedName name="v_119_SCO2">Model!$AV$261</definedName>
    <definedName name="v_119_SFe2">Model!$BC$261</definedName>
    <definedName name="v_119_SH">Model!$CA$261</definedName>
    <definedName name="v_119_SH2">Model!$AU$261</definedName>
    <definedName name="v_119_SK">Model!$BB$261</definedName>
    <definedName name="v_119_SMEOL">Model!$G$261</definedName>
    <definedName name="v_119_SMg">Model!$BA$261</definedName>
    <definedName name="v_119_SN_B">Model!$AI$261</definedName>
    <definedName name="v_119_SN2">Model!$AH$261</definedName>
    <definedName name="v_119_SN2O">Model!$AG$261</definedName>
    <definedName name="v_119_SNH2OH">Model!$AB$261</definedName>
    <definedName name="v_119_SNHx">Model!$AA$261</definedName>
    <definedName name="v_119_SNO_AOB">Model!$AE$261</definedName>
    <definedName name="v_119_SNO_OHO">Model!$AF$261</definedName>
    <definedName name="v_119_SNO2">Model!$AD$261</definedName>
    <definedName name="v_119_SNO3">Model!$AC$261</definedName>
    <definedName name="v_119_SO2">Model!$AS$261</definedName>
    <definedName name="v_119_SORPswitch">Model!$CC$261</definedName>
    <definedName name="v_119_SP_B">Model!$AO$261</definedName>
    <definedName name="v_119_SPFOA">Model!$BW$261</definedName>
    <definedName name="v_119_SPFOS">Model!$BY$261</definedName>
    <definedName name="v_119_SPO4">Model!$AM$261</definedName>
    <definedName name="v_119_SU">Model!$K$261</definedName>
    <definedName name="v_119_SVFA">Model!$E$261</definedName>
    <definedName name="v_119_XACP">Model!$BS$261</definedName>
    <definedName name="v_119_XALGAE">Model!$Z$261</definedName>
    <definedName name="v_119_XAMETO">Model!$X$261</definedName>
    <definedName name="v_119_XAMX">Model!$W$261</definedName>
    <definedName name="v_119_XAOB">Model!$U$261</definedName>
    <definedName name="v_119_XB">Model!$I$261</definedName>
    <definedName name="v_119_XB_e">Model!$J$261</definedName>
    <definedName name="v_119_XBSH">Model!$BT$261</definedName>
    <definedName name="v_119_XCaCO3">Model!$BR$261</definedName>
    <definedName name="v_119_XCASTO">Model!$S$261</definedName>
    <definedName name="v_119_XE">Model!$P$261</definedName>
    <definedName name="v_119_XE_ana">Model!$Q$261</definedName>
    <definedName name="v_119_XHAO_H">Model!$BK$261</definedName>
    <definedName name="v_119_XHAO_H_P">Model!$BN$261</definedName>
    <definedName name="v_119_XHAO_H_P_old">Model!$BP$261</definedName>
    <definedName name="v_119_XHAO_L">Model!$BL$261</definedName>
    <definedName name="v_119_XHAO_L_P">Model!$BO$261</definedName>
    <definedName name="v_119_XHAO_L_P_old">Model!$BQ$261</definedName>
    <definedName name="v_119_XHAO_old">Model!$BM$261</definedName>
    <definedName name="v_119_XHFO_H">Model!$BD$261</definedName>
    <definedName name="v_119_XHFO_H_P">Model!$BG$261</definedName>
    <definedName name="v_119_XHFO_H_P_old">Model!$BI$261</definedName>
    <definedName name="v_119_XHFO_L">Model!$BE$261</definedName>
    <definedName name="v_119_XHFO_L_P">Model!$BH$261</definedName>
    <definedName name="v_119_XHFO_L_P_old">Model!$BJ$261</definedName>
    <definedName name="v_119_XHFO_old">Model!$BF$261</definedName>
    <definedName name="v_119_XHMETO">Model!$Y$261</definedName>
    <definedName name="v_119_XINORG">Model!$AW$261</definedName>
    <definedName name="v_119_XMEOLO">Model!$T$261</definedName>
    <definedName name="v_119_XN_B">Model!$AJ$261</definedName>
    <definedName name="v_119_XN_Be">Model!$AK$261</definedName>
    <definedName name="v_119_XN_U">Model!$AL$261</definedName>
    <definedName name="v_119_XNOB">Model!$V$261</definedName>
    <definedName name="v_119_XOHO">Model!$R$261</definedName>
    <definedName name="v_119_XP_B">Model!$AP$261</definedName>
    <definedName name="v_119_XP_Be">Model!$AQ$261</definedName>
    <definedName name="v_119_XP_U">Model!$AR$261</definedName>
    <definedName name="v_119_XPFOA">Model!$BX$261</definedName>
    <definedName name="v_119_XPFOS">Model!$BZ$261</definedName>
    <definedName name="v_119_XPHA_GAO">Model!$O$261</definedName>
    <definedName name="v_119_XPHA_PAO">Model!$N$261</definedName>
    <definedName name="v_119_XPP">Model!$AN$261</definedName>
    <definedName name="v_119_XSTR">Model!$BU$261</definedName>
    <definedName name="v_119_XU">Model!$M$261</definedName>
    <definedName name="v_119_XVivi">Model!$BV$261</definedName>
    <definedName name="v_12_CB">Model!$H$154</definedName>
    <definedName name="v_12_CU">Model!$L$154</definedName>
    <definedName name="v_12_GCH4">Model!$CE$154</definedName>
    <definedName name="v_12_GCH4_atm">Model!$CM$154</definedName>
    <definedName name="v_12_GCO2">Model!$CD$154</definedName>
    <definedName name="v_12_GCO2_atm">Model!$CL$154</definedName>
    <definedName name="v_12_GH2">Model!$CF$154</definedName>
    <definedName name="v_12_GH2_atm">Model!$CN$154</definedName>
    <definedName name="v_12_GN2">Model!$CK$154</definedName>
    <definedName name="v_12_GN2_atm">Model!$CS$154</definedName>
    <definedName name="v_12_GN2O">Model!$CJ$154</definedName>
    <definedName name="v_12_GN2O_atm">Model!$CR$154</definedName>
    <definedName name="v_12_GNH3">Model!$CH$154</definedName>
    <definedName name="v_12_GNH3_atm">Model!$CP$154</definedName>
    <definedName name="v_12_GNO">Model!$CI$154</definedName>
    <definedName name="v_12_GNO_atm">Model!$CQ$154</definedName>
    <definedName name="v_12_GO2">Model!$CG$154</definedName>
    <definedName name="v_12_GO2_atm">Model!$CO$154</definedName>
    <definedName name="v_12_SALPHA">Model!$CB$154</definedName>
    <definedName name="v_12_SAN">Model!$AY$154</definedName>
    <definedName name="v_12_SB">Model!$F$154</definedName>
    <definedName name="v_12_SCa">Model!$AZ$154</definedName>
    <definedName name="v_12_SCAT">Model!$AX$154</definedName>
    <definedName name="v_12_SCH4">Model!$AT$154</definedName>
    <definedName name="v_12_SCO2">Model!$AV$154</definedName>
    <definedName name="v_12_SFe2">Model!$BC$154</definedName>
    <definedName name="v_12_SH">Model!$CA$154</definedName>
    <definedName name="v_12_SH2">Model!$AU$154</definedName>
    <definedName name="v_12_SK">Model!$BB$154</definedName>
    <definedName name="v_12_SMEOL">Model!$G$154</definedName>
    <definedName name="v_12_SMg">Model!$BA$154</definedName>
    <definedName name="v_12_SN_B">Model!$AI$154</definedName>
    <definedName name="v_12_SN2">Model!$AH$154</definedName>
    <definedName name="v_12_SN2O">Model!$AG$154</definedName>
    <definedName name="v_12_SNH2OH">Model!$AB$154</definedName>
    <definedName name="v_12_SNHx">Model!$AA$154</definedName>
    <definedName name="v_12_SNO_AOB">Model!$AE$154</definedName>
    <definedName name="v_12_SNO_OHO">Model!$AF$154</definedName>
    <definedName name="v_12_SNO2">Model!$AD$154</definedName>
    <definedName name="v_12_SNO3">Model!$AC$154</definedName>
    <definedName name="v_12_SO2">Model!$AS$154</definedName>
    <definedName name="v_12_SORPswitch">Model!$CC$154</definedName>
    <definedName name="v_12_SP_B">Model!$AO$154</definedName>
    <definedName name="v_12_SPFOA">Model!$BW$154</definedName>
    <definedName name="v_12_SPFOS">Model!$BY$154</definedName>
    <definedName name="v_12_SPO4">Model!$AM$154</definedName>
    <definedName name="v_12_SU">Model!$K$154</definedName>
    <definedName name="v_12_SVFA">Model!$E$154</definedName>
    <definedName name="v_12_XACP">Model!$BS$154</definedName>
    <definedName name="v_12_XALGAE">Model!$Z$154</definedName>
    <definedName name="v_12_XAMETO">Model!$X$154</definedName>
    <definedName name="v_12_XAMX">Model!$W$154</definedName>
    <definedName name="v_12_XAOB">Model!$U$154</definedName>
    <definedName name="v_12_XB">Model!$I$154</definedName>
    <definedName name="v_12_XB_e">Model!$J$154</definedName>
    <definedName name="v_12_XBSH">Model!$BT$154</definedName>
    <definedName name="v_12_XCaCO3">Model!$BR$154</definedName>
    <definedName name="v_12_XCASTO">Model!$S$154</definedName>
    <definedName name="v_12_XE">Model!$P$154</definedName>
    <definedName name="v_12_XE_ana">Model!$Q$154</definedName>
    <definedName name="v_12_XHAO_H">Model!$BK$154</definedName>
    <definedName name="v_12_XHAO_H_P">Model!$BN$154</definedName>
    <definedName name="v_12_XHAO_H_P_old">Model!$BP$154</definedName>
    <definedName name="v_12_XHAO_L">Model!$BL$154</definedName>
    <definedName name="v_12_XHAO_L_P">Model!$BO$154</definedName>
    <definedName name="v_12_XHAO_L_P_old">Model!$BQ$154</definedName>
    <definedName name="v_12_XHAO_old">Model!$BM$154</definedName>
    <definedName name="v_12_XHFO_H">Model!$BD$154</definedName>
    <definedName name="v_12_XHFO_H_P">Model!$BG$154</definedName>
    <definedName name="v_12_XHFO_H_P_old">Model!$BI$154</definedName>
    <definedName name="v_12_XHFO_L">Model!$BE$154</definedName>
    <definedName name="v_12_XHFO_L_P">Model!$BH$154</definedName>
    <definedName name="v_12_XHFO_L_P_old">Model!$BJ$154</definedName>
    <definedName name="v_12_XHFO_old">Model!$BF$154</definedName>
    <definedName name="v_12_XHMETO">Model!$Y$154</definedName>
    <definedName name="v_12_XINORG">Model!$AW$154</definedName>
    <definedName name="v_12_XMEOLO">Model!$T$154</definedName>
    <definedName name="v_12_XN_B">Model!$AJ$154</definedName>
    <definedName name="v_12_XN_Be">Model!$AK$154</definedName>
    <definedName name="v_12_XN_U">Model!$AL$154</definedName>
    <definedName name="v_12_XNOB">Model!$V$154</definedName>
    <definedName name="v_12_XOHO">Model!$R$154</definedName>
    <definedName name="v_12_XP_B">Model!$AP$154</definedName>
    <definedName name="v_12_XP_Be">Model!$AQ$154</definedName>
    <definedName name="v_12_XP_U">Model!$AR$154</definedName>
    <definedName name="v_12_XPFOA">Model!$BX$154</definedName>
    <definedName name="v_12_XPFOS">Model!$BZ$154</definedName>
    <definedName name="v_12_XPHA_GAO">Model!$O$154</definedName>
    <definedName name="v_12_XPHA_PAO">Model!$N$154</definedName>
    <definedName name="v_12_XPP">Model!$AN$154</definedName>
    <definedName name="v_12_XSTR">Model!$BU$154</definedName>
    <definedName name="v_12_XU">Model!$M$154</definedName>
    <definedName name="v_12_XVivi">Model!$BV$154</definedName>
    <definedName name="v_120_CB">Model!$H$262</definedName>
    <definedName name="v_120_CU">Model!$L$262</definedName>
    <definedName name="v_120_GCH4">Model!$CE$262</definedName>
    <definedName name="v_120_GCH4_atm">Model!$CM$262</definedName>
    <definedName name="v_120_GCO2">Model!$CD$262</definedName>
    <definedName name="v_120_GCO2_atm">Model!$CL$262</definedName>
    <definedName name="v_120_GH2">Model!$CF$262</definedName>
    <definedName name="v_120_GH2_atm">Model!$CN$262</definedName>
    <definedName name="v_120_GN2">Model!$CK$262</definedName>
    <definedName name="v_120_GN2_atm">Model!$CS$262</definedName>
    <definedName name="v_120_GN2O">Model!$CJ$262</definedName>
    <definedName name="v_120_GN2O_atm">Model!$CR$262</definedName>
    <definedName name="v_120_GNH3">Model!$CH$262</definedName>
    <definedName name="v_120_GNH3_atm">Model!$CP$262</definedName>
    <definedName name="v_120_GNO">Model!$CI$262</definedName>
    <definedName name="v_120_GNO_atm">Model!$CQ$262</definedName>
    <definedName name="v_120_GO2">Model!$CG$262</definedName>
    <definedName name="v_120_GO2_atm">Model!$CO$262</definedName>
    <definedName name="v_120_SALPHA">Model!$CB$262</definedName>
    <definedName name="v_120_SAN">Model!$AY$262</definedName>
    <definedName name="v_120_SB">Model!$F$262</definedName>
    <definedName name="v_120_SCa">Model!$AZ$262</definedName>
    <definedName name="v_120_SCAT">Model!$AX$262</definedName>
    <definedName name="v_120_SCH4">Model!$AT$262</definedName>
    <definedName name="v_120_SCO2">Model!$AV$262</definedName>
    <definedName name="v_120_SFe2">Model!$BC$262</definedName>
    <definedName name="v_120_SH">Model!$CA$262</definedName>
    <definedName name="v_120_SH2">Model!$AU$262</definedName>
    <definedName name="v_120_SK">Model!$BB$262</definedName>
    <definedName name="v_120_SMEOL">Model!$G$262</definedName>
    <definedName name="v_120_SMg">Model!$BA$262</definedName>
    <definedName name="v_120_SN_B">Model!$AI$262</definedName>
    <definedName name="v_120_SN2">Model!$AH$262</definedName>
    <definedName name="v_120_SN2O">Model!$AG$262</definedName>
    <definedName name="v_120_SNH2OH">Model!$AB$262</definedName>
    <definedName name="v_120_SNHx">Model!$AA$262</definedName>
    <definedName name="v_120_SNO_AOB">Model!$AE$262</definedName>
    <definedName name="v_120_SNO_OHO">Model!$AF$262</definedName>
    <definedName name="v_120_SNO2">Model!$AD$262</definedName>
    <definedName name="v_120_SNO3">Model!$AC$262</definedName>
    <definedName name="v_120_SO2">Model!$AS$262</definedName>
    <definedName name="v_120_SORPswitch">Model!$CC$262</definedName>
    <definedName name="v_120_SP_B">Model!$AO$262</definedName>
    <definedName name="v_120_SPFOA">Model!$BW$262</definedName>
    <definedName name="v_120_SPFOS">Model!$BY$262</definedName>
    <definedName name="v_120_SPO4">Model!$AM$262</definedName>
    <definedName name="v_120_SU">Model!$K$262</definedName>
    <definedName name="v_120_SVFA">Model!$E$262</definedName>
    <definedName name="v_120_XACP">Model!$BS$262</definedName>
    <definedName name="v_120_XALGAE">Model!$Z$262</definedName>
    <definedName name="v_120_XAMETO">Model!$X$262</definedName>
    <definedName name="v_120_XAMX">Model!$W$262</definedName>
    <definedName name="v_120_XAOB">Model!$U$262</definedName>
    <definedName name="v_120_XB">Model!$I$262</definedName>
    <definedName name="v_120_XB_e">Model!$J$262</definedName>
    <definedName name="v_120_XBSH">Model!$BT$262</definedName>
    <definedName name="v_120_XCaCO3">Model!$BR$262</definedName>
    <definedName name="v_120_XCASTO">Model!$S$262</definedName>
    <definedName name="v_120_XE">Model!$P$262</definedName>
    <definedName name="v_120_XE_ana">Model!$Q$262</definedName>
    <definedName name="v_120_XHAO_H">Model!$BK$262</definedName>
    <definedName name="v_120_XHAO_H_P">Model!$BN$262</definedName>
    <definedName name="v_120_XHAO_H_P_old">Model!$BP$262</definedName>
    <definedName name="v_120_XHAO_L">Model!$BL$262</definedName>
    <definedName name="v_120_XHAO_L_P">Model!$BO$262</definedName>
    <definedName name="v_120_XHAO_L_P_old">Model!$BQ$262</definedName>
    <definedName name="v_120_XHAO_old">Model!$BM$262</definedName>
    <definedName name="v_120_XHFO_H">Model!$BD$262</definedName>
    <definedName name="v_120_XHFO_H_P">Model!$BG$262</definedName>
    <definedName name="v_120_XHFO_H_P_old">Model!$BI$262</definedName>
    <definedName name="v_120_XHFO_L">Model!$BE$262</definedName>
    <definedName name="v_120_XHFO_L_P">Model!$BH$262</definedName>
    <definedName name="v_120_XHFO_L_P_old">Model!$BJ$262</definedName>
    <definedName name="v_120_XHFO_old">Model!$BF$262</definedName>
    <definedName name="v_120_XHMETO">Model!$Y$262</definedName>
    <definedName name="v_120_XINORG">Model!$AW$262</definedName>
    <definedName name="v_120_XMEOLO">Model!$T$262</definedName>
    <definedName name="v_120_XN_B">Model!$AJ$262</definedName>
    <definedName name="v_120_XN_Be">Model!$AK$262</definedName>
    <definedName name="v_120_XN_U">Model!$AL$262</definedName>
    <definedName name="v_120_XNOB">Model!$V$262</definedName>
    <definedName name="v_120_XOHO">Model!$R$262</definedName>
    <definedName name="v_120_XP_B">Model!$AP$262</definedName>
    <definedName name="v_120_XP_Be">Model!$AQ$262</definedName>
    <definedName name="v_120_XP_U">Model!$AR$262</definedName>
    <definedName name="v_120_XPFOA">Model!$BX$262</definedName>
    <definedName name="v_120_XPFOS">Model!$BZ$262</definedName>
    <definedName name="v_120_XPHA_GAO">Model!$O$262</definedName>
    <definedName name="v_120_XPHA_PAO">Model!$N$262</definedName>
    <definedName name="v_120_XPP">Model!$AN$262</definedName>
    <definedName name="v_120_XSTR">Model!$BU$262</definedName>
    <definedName name="v_120_XU">Model!$M$262</definedName>
    <definedName name="v_120_XVivi">Model!$BV$262</definedName>
    <definedName name="v_13_CB">Model!$H$155</definedName>
    <definedName name="v_13_CU">Model!$L$155</definedName>
    <definedName name="v_13_GCH4">Model!$CE$155</definedName>
    <definedName name="v_13_GCH4_atm">Model!$CM$155</definedName>
    <definedName name="v_13_GCO2">Model!$CD$155</definedName>
    <definedName name="v_13_GCO2_atm">Model!$CL$155</definedName>
    <definedName name="v_13_GH2">Model!$CF$155</definedName>
    <definedName name="v_13_GH2_atm">Model!$CN$155</definedName>
    <definedName name="v_13_GN2">Model!$CK$155</definedName>
    <definedName name="v_13_GN2_atm">Model!$CS$155</definedName>
    <definedName name="v_13_GN2O">Model!$CJ$155</definedName>
    <definedName name="v_13_GN2O_atm">Model!$CR$155</definedName>
    <definedName name="v_13_GNH3">Model!$CH$155</definedName>
    <definedName name="v_13_GNH3_atm">Model!$CP$155</definedName>
    <definedName name="v_13_GNO">Model!$CI$155</definedName>
    <definedName name="v_13_GNO_atm">Model!$CQ$155</definedName>
    <definedName name="v_13_GO2">Model!$CG$155</definedName>
    <definedName name="v_13_GO2_atm">Model!$CO$155</definedName>
    <definedName name="v_13_SALPHA">Model!$CB$155</definedName>
    <definedName name="v_13_SAN">Model!$AY$155</definedName>
    <definedName name="v_13_SB">Model!$F$155</definedName>
    <definedName name="v_13_SCa">Model!$AZ$155</definedName>
    <definedName name="v_13_SCAT">Model!$AX$155</definedName>
    <definedName name="v_13_SCH4">Model!$AT$155</definedName>
    <definedName name="v_13_SCO2">Model!$AV$155</definedName>
    <definedName name="v_13_SFe2">Model!$BC$155</definedName>
    <definedName name="v_13_SH">Model!$CA$155</definedName>
    <definedName name="v_13_SH2">Model!$AU$155</definedName>
    <definedName name="v_13_SK">Model!$BB$155</definedName>
    <definedName name="v_13_SMEOL">Model!$G$155</definedName>
    <definedName name="v_13_SMg">Model!$BA$155</definedName>
    <definedName name="v_13_SN_B">Model!$AI$155</definedName>
    <definedName name="v_13_SN2">Model!$AH$155</definedName>
    <definedName name="v_13_SN2O">Model!$AG$155</definedName>
    <definedName name="v_13_SNH2OH">Model!$AB$155</definedName>
    <definedName name="v_13_SNHx">Model!$AA$155</definedName>
    <definedName name="v_13_SNO_AOB">Model!$AE$155</definedName>
    <definedName name="v_13_SNO_OHO">Model!$AF$155</definedName>
    <definedName name="v_13_SNO2">Model!$AD$155</definedName>
    <definedName name="v_13_SNO3">Model!$AC$155</definedName>
    <definedName name="v_13_SO2">Model!$AS$155</definedName>
    <definedName name="v_13_SORPswitch">Model!$CC$155</definedName>
    <definedName name="v_13_SP_B">Model!$AO$155</definedName>
    <definedName name="v_13_SPFOA">Model!$BW$155</definedName>
    <definedName name="v_13_SPFOS">Model!$BY$155</definedName>
    <definedName name="v_13_SPO4">Model!$AM$155</definedName>
    <definedName name="v_13_SU">Model!$K$155</definedName>
    <definedName name="v_13_SVFA">Model!$E$155</definedName>
    <definedName name="v_13_XACP">Model!$BS$155</definedName>
    <definedName name="v_13_XALGAE">Model!$Z$155</definedName>
    <definedName name="v_13_XAMETO">Model!$X$155</definedName>
    <definedName name="v_13_XAMX">Model!$W$155</definedName>
    <definedName name="v_13_XAOB">Model!$U$155</definedName>
    <definedName name="v_13_XB">Model!$I$155</definedName>
    <definedName name="v_13_XB_e">Model!$J$155</definedName>
    <definedName name="v_13_XBSH">Model!$BT$155</definedName>
    <definedName name="v_13_XCaCO3">Model!$BR$155</definedName>
    <definedName name="v_13_XCASTO">Model!$S$155</definedName>
    <definedName name="v_13_XE">Model!$P$155</definedName>
    <definedName name="v_13_XE_ana">Model!$Q$155</definedName>
    <definedName name="v_13_XHAO_H">Model!$BK$155</definedName>
    <definedName name="v_13_XHAO_H_P">Model!$BN$155</definedName>
    <definedName name="v_13_XHAO_H_P_old">Model!$BP$155</definedName>
    <definedName name="v_13_XHAO_L">Model!$BL$155</definedName>
    <definedName name="v_13_XHAO_L_P">Model!$BO$155</definedName>
    <definedName name="v_13_XHAO_L_P_old">Model!$BQ$155</definedName>
    <definedName name="v_13_XHAO_old">Model!$BM$155</definedName>
    <definedName name="v_13_XHFO_H">Model!$BD$155</definedName>
    <definedName name="v_13_XHFO_H_P">Model!$BG$155</definedName>
    <definedName name="v_13_XHFO_H_P_old">Model!$BI$155</definedName>
    <definedName name="v_13_XHFO_L">Model!$BE$155</definedName>
    <definedName name="v_13_XHFO_L_P">Model!$BH$155</definedName>
    <definedName name="v_13_XHFO_L_P_old">Model!$BJ$155</definedName>
    <definedName name="v_13_XHFO_old">Model!$BF$155</definedName>
    <definedName name="v_13_XHMETO">Model!$Y$155</definedName>
    <definedName name="v_13_XINORG">Model!$AW$155</definedName>
    <definedName name="v_13_XMEOLO">Model!$T$155</definedName>
    <definedName name="v_13_XN_B">Model!$AJ$155</definedName>
    <definedName name="v_13_XN_Be">Model!$AK$155</definedName>
    <definedName name="v_13_XN_U">Model!$AL$155</definedName>
    <definedName name="v_13_XNOB">Model!$V$155</definedName>
    <definedName name="v_13_XOHO">Model!$R$155</definedName>
    <definedName name="v_13_XP_B">Model!$AP$155</definedName>
    <definedName name="v_13_XP_Be">Model!$AQ$155</definedName>
    <definedName name="v_13_XP_U">Model!$AR$155</definedName>
    <definedName name="v_13_XPFOA">Model!$BX$155</definedName>
    <definedName name="v_13_XPFOS">Model!$BZ$155</definedName>
    <definedName name="v_13_XPHA_GAO">Model!$O$155</definedName>
    <definedName name="v_13_XPHA_PAO">Model!$N$155</definedName>
    <definedName name="v_13_XPP">Model!$AN$155</definedName>
    <definedName name="v_13_XSTR">Model!$BU$155</definedName>
    <definedName name="v_13_XU">Model!$M$155</definedName>
    <definedName name="v_13_XVivi">Model!$BV$155</definedName>
    <definedName name="v_14_CB">Model!$H$156</definedName>
    <definedName name="v_14_CU">Model!$L$156</definedName>
    <definedName name="v_14_GCH4">Model!$CE$156</definedName>
    <definedName name="v_14_GCH4_atm">Model!$CM$156</definedName>
    <definedName name="v_14_GCO2">Model!$CD$156</definedName>
    <definedName name="v_14_GCO2_atm">Model!$CL$156</definedName>
    <definedName name="v_14_GH2">Model!$CF$156</definedName>
    <definedName name="v_14_GH2_atm">Model!$CN$156</definedName>
    <definedName name="v_14_GN2">Model!$CK$156</definedName>
    <definedName name="v_14_GN2_atm">Model!$CS$156</definedName>
    <definedName name="v_14_GN2O">Model!$CJ$156</definedName>
    <definedName name="v_14_GN2O_atm">Model!$CR$156</definedName>
    <definedName name="v_14_GNH3">Model!$CH$156</definedName>
    <definedName name="v_14_GNH3_atm">Model!$CP$156</definedName>
    <definedName name="v_14_GNO">Model!$CI$156</definedName>
    <definedName name="v_14_GNO_atm">Model!$CQ$156</definedName>
    <definedName name="v_14_GO2">Model!$CG$156</definedName>
    <definedName name="v_14_GO2_atm">Model!$CO$156</definedName>
    <definedName name="v_14_SALPHA">Model!$CB$156</definedName>
    <definedName name="v_14_SAN">Model!$AY$156</definedName>
    <definedName name="v_14_SB">Model!$F$156</definedName>
    <definedName name="v_14_SCa">Model!$AZ$156</definedName>
    <definedName name="v_14_SCAT">Model!$AX$156</definedName>
    <definedName name="v_14_SCH4">Model!$AT$156</definedName>
    <definedName name="v_14_SCO2">Model!$AV$156</definedName>
    <definedName name="v_14_SFe2">Model!$BC$156</definedName>
    <definedName name="v_14_SH">Model!$CA$156</definedName>
    <definedName name="v_14_SH2">Model!$AU$156</definedName>
    <definedName name="v_14_SK">Model!$BB$156</definedName>
    <definedName name="v_14_SMEOL">Model!$G$156</definedName>
    <definedName name="v_14_SMg">Model!$BA$156</definedName>
    <definedName name="v_14_SN_B">Model!$AI$156</definedName>
    <definedName name="v_14_SN2">Model!$AH$156</definedName>
    <definedName name="v_14_SN2O">Model!$AG$156</definedName>
    <definedName name="v_14_SNH2OH">Model!$AB$156</definedName>
    <definedName name="v_14_SNHx">Model!$AA$156</definedName>
    <definedName name="v_14_SNO_AOB">Model!$AE$156</definedName>
    <definedName name="v_14_SNO_OHO">Model!$AF$156</definedName>
    <definedName name="v_14_SNO2">Model!$AD$156</definedName>
    <definedName name="v_14_SNO3">Model!$AC$156</definedName>
    <definedName name="v_14_SO2">Model!$AS$156</definedName>
    <definedName name="v_14_SORPswitch">Model!$CC$156</definedName>
    <definedName name="v_14_SP_B">Model!$AO$156</definedName>
    <definedName name="v_14_SPFOA">Model!$BW$156</definedName>
    <definedName name="v_14_SPFOS">Model!$BY$156</definedName>
    <definedName name="v_14_SPO4">Model!$AM$156</definedName>
    <definedName name="v_14_SU">Model!$K$156</definedName>
    <definedName name="v_14_SVFA">Model!$E$156</definedName>
    <definedName name="v_14_XACP">Model!$BS$156</definedName>
    <definedName name="v_14_XALGAE">Model!$Z$156</definedName>
    <definedName name="v_14_XAMETO">Model!$X$156</definedName>
    <definedName name="v_14_XAMX">Model!$W$156</definedName>
    <definedName name="v_14_XAOB">Model!$U$156</definedName>
    <definedName name="v_14_XB">Model!$I$156</definedName>
    <definedName name="v_14_XB_e">Model!$J$156</definedName>
    <definedName name="v_14_XBSH">Model!$BT$156</definedName>
    <definedName name="v_14_XCaCO3">Model!$BR$156</definedName>
    <definedName name="v_14_XCASTO">Model!$S$156</definedName>
    <definedName name="v_14_XE">Model!$P$156</definedName>
    <definedName name="v_14_XE_ana">Model!$Q$156</definedName>
    <definedName name="v_14_XHAO_H">Model!$BK$156</definedName>
    <definedName name="v_14_XHAO_H_P">Model!$BN$156</definedName>
    <definedName name="v_14_XHAO_H_P_old">Model!$BP$156</definedName>
    <definedName name="v_14_XHAO_L">Model!$BL$156</definedName>
    <definedName name="v_14_XHAO_L_P">Model!$BO$156</definedName>
    <definedName name="v_14_XHAO_L_P_old">Model!$BQ$156</definedName>
    <definedName name="v_14_XHAO_old">Model!$BM$156</definedName>
    <definedName name="v_14_XHFO_H">Model!$BD$156</definedName>
    <definedName name="v_14_XHFO_H_P">Model!$BG$156</definedName>
    <definedName name="v_14_XHFO_H_P_old">Model!$BI$156</definedName>
    <definedName name="v_14_XHFO_L">Model!$BE$156</definedName>
    <definedName name="v_14_XHFO_L_P">Model!$BH$156</definedName>
    <definedName name="v_14_XHFO_L_P_old">Model!$BJ$156</definedName>
    <definedName name="v_14_XHFO_old">Model!$BF$156</definedName>
    <definedName name="v_14_XHMETO">Model!$Y$156</definedName>
    <definedName name="v_14_XINORG">Model!$AW$156</definedName>
    <definedName name="v_14_XMEOLO">Model!$T$156</definedName>
    <definedName name="v_14_XN_B">Model!$AJ$156</definedName>
    <definedName name="v_14_XN_Be">Model!$AK$156</definedName>
    <definedName name="v_14_XN_U">Model!$AL$156</definedName>
    <definedName name="v_14_XNOB">Model!$V$156</definedName>
    <definedName name="v_14_XOHO">Model!$R$156</definedName>
    <definedName name="v_14_XP_B">Model!$AP$156</definedName>
    <definedName name="v_14_XP_Be">Model!$AQ$156</definedName>
    <definedName name="v_14_XP_U">Model!$AR$156</definedName>
    <definedName name="v_14_XPFOA">Model!$BX$156</definedName>
    <definedName name="v_14_XPFOS">Model!$BZ$156</definedName>
    <definedName name="v_14_XPHA_GAO">Model!$O$156</definedName>
    <definedName name="v_14_XPHA_PAO">Model!$N$156</definedName>
    <definedName name="v_14_XPP">Model!$AN$156</definedName>
    <definedName name="v_14_XSTR">Model!$BU$156</definedName>
    <definedName name="v_14_XU">Model!$M$156</definedName>
    <definedName name="v_14_XVivi">Model!$BV$156</definedName>
    <definedName name="v_15_CB">Model!$H$157</definedName>
    <definedName name="v_15_CU">Model!$L$157</definedName>
    <definedName name="v_15_GCH4">Model!$CE$157</definedName>
    <definedName name="v_15_GCH4_atm">Model!$CM$157</definedName>
    <definedName name="v_15_GCO2">Model!$CD$157</definedName>
    <definedName name="v_15_GCO2_atm">Model!$CL$157</definedName>
    <definedName name="v_15_GH2">Model!$CF$157</definedName>
    <definedName name="v_15_GH2_atm">Model!$CN$157</definedName>
    <definedName name="v_15_GN2">Model!$CK$157</definedName>
    <definedName name="v_15_GN2_atm">Model!$CS$157</definedName>
    <definedName name="v_15_GN2O">Model!$CJ$157</definedName>
    <definedName name="v_15_GN2O_atm">Model!$CR$157</definedName>
    <definedName name="v_15_GNH3">Model!$CH$157</definedName>
    <definedName name="v_15_GNH3_atm">Model!$CP$157</definedName>
    <definedName name="v_15_GNO">Model!$CI$157</definedName>
    <definedName name="v_15_GNO_atm">Model!$CQ$157</definedName>
    <definedName name="v_15_GO2">Model!$CG$157</definedName>
    <definedName name="v_15_GO2_atm">Model!$CO$157</definedName>
    <definedName name="v_15_SALPHA">Model!$CB$157</definedName>
    <definedName name="v_15_SAN">Model!$AY$157</definedName>
    <definedName name="v_15_SB">Model!$F$157</definedName>
    <definedName name="v_15_SCa">Model!$AZ$157</definedName>
    <definedName name="v_15_SCAT">Model!$AX$157</definedName>
    <definedName name="v_15_SCH4">Model!$AT$157</definedName>
    <definedName name="v_15_SCO2">Model!$AV$157</definedName>
    <definedName name="v_15_SFe2">Model!$BC$157</definedName>
    <definedName name="v_15_SH">Model!$CA$157</definedName>
    <definedName name="v_15_SH2">Model!$AU$157</definedName>
    <definedName name="v_15_SK">Model!$BB$157</definedName>
    <definedName name="v_15_SMEOL">Model!$G$157</definedName>
    <definedName name="v_15_SMg">Model!$BA$157</definedName>
    <definedName name="v_15_SN_B">Model!$AI$157</definedName>
    <definedName name="v_15_SN2">Model!$AH$157</definedName>
    <definedName name="v_15_SN2O">Model!$AG$157</definedName>
    <definedName name="v_15_SNH2OH">Model!$AB$157</definedName>
    <definedName name="v_15_SNHx">Model!$AA$157</definedName>
    <definedName name="v_15_SNO_AOB">Model!$AE$157</definedName>
    <definedName name="v_15_SNO_OHO">Model!$AF$157</definedName>
    <definedName name="v_15_SNO2">Model!$AD$157</definedName>
    <definedName name="v_15_SNO3">Model!$AC$157</definedName>
    <definedName name="v_15_SO2">Model!$AS$157</definedName>
    <definedName name="v_15_SORPswitch">Model!$CC$157</definedName>
    <definedName name="v_15_SP_B">Model!$AO$157</definedName>
    <definedName name="v_15_SPFOA">Model!$BW$157</definedName>
    <definedName name="v_15_SPFOS">Model!$BY$157</definedName>
    <definedName name="v_15_SPO4">Model!$AM$157</definedName>
    <definedName name="v_15_SU">Model!$K$157</definedName>
    <definedName name="v_15_SVFA">Model!$E$157</definedName>
    <definedName name="v_15_XACP">Model!$BS$157</definedName>
    <definedName name="v_15_XALGAE">Model!$Z$157</definedName>
    <definedName name="v_15_XAMETO">Model!$X$157</definedName>
    <definedName name="v_15_XAMX">Model!$W$157</definedName>
    <definedName name="v_15_XAOB">Model!$U$157</definedName>
    <definedName name="v_15_XB">Model!$I$157</definedName>
    <definedName name="v_15_XB_e">Model!$J$157</definedName>
    <definedName name="v_15_XBSH">Model!$BT$157</definedName>
    <definedName name="v_15_XCaCO3">Model!$BR$157</definedName>
    <definedName name="v_15_XCASTO">Model!$S$157</definedName>
    <definedName name="v_15_XE">Model!$P$157</definedName>
    <definedName name="v_15_XE_ana">Model!$Q$157</definedName>
    <definedName name="v_15_XHAO_H">Model!$BK$157</definedName>
    <definedName name="v_15_XHAO_H_P">Model!$BN$157</definedName>
    <definedName name="v_15_XHAO_H_P_old">Model!$BP$157</definedName>
    <definedName name="v_15_XHAO_L">Model!$BL$157</definedName>
    <definedName name="v_15_XHAO_L_P">Model!$BO$157</definedName>
    <definedName name="v_15_XHAO_L_P_old">Model!$BQ$157</definedName>
    <definedName name="v_15_XHAO_old">Model!$BM$157</definedName>
    <definedName name="v_15_XHFO_H">Model!$BD$157</definedName>
    <definedName name="v_15_XHFO_H_P">Model!$BG$157</definedName>
    <definedName name="v_15_XHFO_H_P_old">Model!$BI$157</definedName>
    <definedName name="v_15_XHFO_L">Model!$BE$157</definedName>
    <definedName name="v_15_XHFO_L_P">Model!$BH$157</definedName>
    <definedName name="v_15_XHFO_L_P_old">Model!$BJ$157</definedName>
    <definedName name="v_15_XHFO_old">Model!$BF$157</definedName>
    <definedName name="v_15_XHMETO">Model!$Y$157</definedName>
    <definedName name="v_15_XINORG">Model!$AW$157</definedName>
    <definedName name="v_15_XMEOLO">Model!$T$157</definedName>
    <definedName name="v_15_XN_B">Model!$AJ$157</definedName>
    <definedName name="v_15_XN_Be">Model!$AK$157</definedName>
    <definedName name="v_15_XN_U">Model!$AL$157</definedName>
    <definedName name="v_15_XNOB">Model!$V$157</definedName>
    <definedName name="v_15_XOHO">Model!$R$157</definedName>
    <definedName name="v_15_XP_B">Model!$AP$157</definedName>
    <definedName name="v_15_XP_Be">Model!$AQ$157</definedName>
    <definedName name="v_15_XP_U">Model!$AR$157</definedName>
    <definedName name="v_15_XPFOA">Model!$BX$157</definedName>
    <definedName name="v_15_XPFOS">Model!$BZ$157</definedName>
    <definedName name="v_15_XPHA_GAO">Model!$O$157</definedName>
    <definedName name="v_15_XPHA_PAO">Model!$N$157</definedName>
    <definedName name="v_15_XPP">Model!$AN$157</definedName>
    <definedName name="v_15_XSTR">Model!$BU$157</definedName>
    <definedName name="v_15_XU">Model!$M$157</definedName>
    <definedName name="v_15_XVivi">Model!$BV$157</definedName>
    <definedName name="v_16_CB">Model!$H$158</definedName>
    <definedName name="v_16_CU">Model!$L$158</definedName>
    <definedName name="v_16_GCH4">Model!$CE$158</definedName>
    <definedName name="v_16_GCH4_atm">Model!$CM$158</definedName>
    <definedName name="v_16_GCO2">Model!$CD$158</definedName>
    <definedName name="v_16_GCO2_atm">Model!$CL$158</definedName>
    <definedName name="v_16_GH2">Model!$CF$158</definedName>
    <definedName name="v_16_GH2_atm">Model!$CN$158</definedName>
    <definedName name="v_16_GN2">Model!$CK$158</definedName>
    <definedName name="v_16_GN2_atm">Model!$CS$158</definedName>
    <definedName name="v_16_GN2O">Model!$CJ$158</definedName>
    <definedName name="v_16_GN2O_atm">Model!$CR$158</definedName>
    <definedName name="v_16_GNH3">Model!$CH$158</definedName>
    <definedName name="v_16_GNH3_atm">Model!$CP$158</definedName>
    <definedName name="v_16_GNO">Model!$CI$158</definedName>
    <definedName name="v_16_GNO_atm">Model!$CQ$158</definedName>
    <definedName name="v_16_GO2">Model!$CG$158</definedName>
    <definedName name="v_16_GO2_atm">Model!$CO$158</definedName>
    <definedName name="v_16_SALPHA">Model!$CB$158</definedName>
    <definedName name="v_16_SAN">Model!$AY$158</definedName>
    <definedName name="v_16_SB">Model!$F$158</definedName>
    <definedName name="v_16_SCa">Model!$AZ$158</definedName>
    <definedName name="v_16_SCAT">Model!$AX$158</definedName>
    <definedName name="v_16_SCH4">Model!$AT$158</definedName>
    <definedName name="v_16_SCO2">Model!$AV$158</definedName>
    <definedName name="v_16_SFe2">Model!$BC$158</definedName>
    <definedName name="v_16_SH">Model!$CA$158</definedName>
    <definedName name="v_16_SH2">Model!$AU$158</definedName>
    <definedName name="v_16_SK">Model!$BB$158</definedName>
    <definedName name="v_16_SMEOL">Model!$G$158</definedName>
    <definedName name="v_16_SMg">Model!$BA$158</definedName>
    <definedName name="v_16_SN_B">Model!$AI$158</definedName>
    <definedName name="v_16_SN2">Model!$AH$158</definedName>
    <definedName name="v_16_SN2O">Model!$AG$158</definedName>
    <definedName name="v_16_SNH2OH">Model!$AB$158</definedName>
    <definedName name="v_16_SNHx">Model!$AA$158</definedName>
    <definedName name="v_16_SNO_AOB">Model!$AE$158</definedName>
    <definedName name="v_16_SNO_OHO">Model!$AF$158</definedName>
    <definedName name="v_16_SNO2">Model!$AD$158</definedName>
    <definedName name="v_16_SNO3">Model!$AC$158</definedName>
    <definedName name="v_16_SO2">Model!$AS$158</definedName>
    <definedName name="v_16_SORPswitch">Model!$CC$158</definedName>
    <definedName name="v_16_SP_B">Model!$AO$158</definedName>
    <definedName name="v_16_SPFOA">Model!$BW$158</definedName>
    <definedName name="v_16_SPFOS">Model!$BY$158</definedName>
    <definedName name="v_16_SPO4">Model!$AM$158</definedName>
    <definedName name="v_16_SU">Model!$K$158</definedName>
    <definedName name="v_16_SVFA">Model!$E$158</definedName>
    <definedName name="v_16_XACP">Model!$BS$158</definedName>
    <definedName name="v_16_XALGAE">Model!$Z$158</definedName>
    <definedName name="v_16_XAMETO">Model!$X$158</definedName>
    <definedName name="v_16_XAMX">Model!$W$158</definedName>
    <definedName name="v_16_XAOB">Model!$U$158</definedName>
    <definedName name="v_16_XB">Model!$I$158</definedName>
    <definedName name="v_16_XB_e">Model!$J$158</definedName>
    <definedName name="v_16_XBSH">Model!$BT$158</definedName>
    <definedName name="v_16_XCaCO3">Model!$BR$158</definedName>
    <definedName name="v_16_XCASTO">Model!$S$158</definedName>
    <definedName name="v_16_XE">Model!$P$158</definedName>
    <definedName name="v_16_XE_ana">Model!$Q$158</definedName>
    <definedName name="v_16_XHAO_H">Model!$BK$158</definedName>
    <definedName name="v_16_XHAO_H_P">Model!$BN$158</definedName>
    <definedName name="v_16_XHAO_H_P_old">Model!$BP$158</definedName>
    <definedName name="v_16_XHAO_L">Model!$BL$158</definedName>
    <definedName name="v_16_XHAO_L_P">Model!$BO$158</definedName>
    <definedName name="v_16_XHAO_L_P_old">Model!$BQ$158</definedName>
    <definedName name="v_16_XHAO_old">Model!$BM$158</definedName>
    <definedName name="v_16_XHFO_H">Model!$BD$158</definedName>
    <definedName name="v_16_XHFO_H_P">Model!$BG$158</definedName>
    <definedName name="v_16_XHFO_H_P_old">Model!$BI$158</definedName>
    <definedName name="v_16_XHFO_L">Model!$BE$158</definedName>
    <definedName name="v_16_XHFO_L_P">Model!$BH$158</definedName>
    <definedName name="v_16_XHFO_L_P_old">Model!$BJ$158</definedName>
    <definedName name="v_16_XHFO_old">Model!$BF$158</definedName>
    <definedName name="v_16_XHMETO">Model!$Y$158</definedName>
    <definedName name="v_16_XINORG">Model!$AW$158</definedName>
    <definedName name="v_16_XMEOLO">Model!$T$158</definedName>
    <definedName name="v_16_XN_B">Model!$AJ$158</definedName>
    <definedName name="v_16_XN_Be">Model!$AK$158</definedName>
    <definedName name="v_16_XN_U">Model!$AL$158</definedName>
    <definedName name="v_16_XNOB">Model!$V$158</definedName>
    <definedName name="v_16_XOHO">Model!$R$158</definedName>
    <definedName name="v_16_XP_B">Model!$AP$158</definedName>
    <definedName name="v_16_XP_Be">Model!$AQ$158</definedName>
    <definedName name="v_16_XP_U">Model!$AR$158</definedName>
    <definedName name="v_16_XPFOA">Model!$BX$158</definedName>
    <definedName name="v_16_XPFOS">Model!$BZ$158</definedName>
    <definedName name="v_16_XPHA_GAO">Model!$O$158</definedName>
    <definedName name="v_16_XPHA_PAO">Model!$N$158</definedName>
    <definedName name="v_16_XPP">Model!$AN$158</definedName>
    <definedName name="v_16_XSTR">Model!$BU$158</definedName>
    <definedName name="v_16_XU">Model!$M$158</definedName>
    <definedName name="v_16_XVivi">Model!$BV$158</definedName>
    <definedName name="v_17_CB">Model!$H$159</definedName>
    <definedName name="v_17_CU">Model!$L$159</definedName>
    <definedName name="v_17_GCH4">Model!$CE$159</definedName>
    <definedName name="v_17_GCH4_atm">Model!$CM$159</definedName>
    <definedName name="v_17_GCO2">Model!$CD$159</definedName>
    <definedName name="v_17_GCO2_atm">Model!$CL$159</definedName>
    <definedName name="v_17_GH2">Model!$CF$159</definedName>
    <definedName name="v_17_GH2_atm">Model!$CN$159</definedName>
    <definedName name="v_17_GN2">Model!$CK$159</definedName>
    <definedName name="v_17_GN2_atm">Model!$CS$159</definedName>
    <definedName name="v_17_GN2O">Model!$CJ$159</definedName>
    <definedName name="v_17_GN2O_atm">Model!$CR$159</definedName>
    <definedName name="v_17_GNH3">Model!$CH$159</definedName>
    <definedName name="v_17_GNH3_atm">Model!$CP$159</definedName>
    <definedName name="v_17_GNO">Model!$CI$159</definedName>
    <definedName name="v_17_GNO_atm">Model!$CQ$159</definedName>
    <definedName name="v_17_GO2">Model!$CG$159</definedName>
    <definedName name="v_17_GO2_atm">Model!$CO$159</definedName>
    <definedName name="v_17_SALPHA">Model!$CB$159</definedName>
    <definedName name="v_17_SAN">Model!$AY$159</definedName>
    <definedName name="v_17_SB">Model!$F$159</definedName>
    <definedName name="v_17_SCa">Model!$AZ$159</definedName>
    <definedName name="v_17_SCAT">Model!$AX$159</definedName>
    <definedName name="v_17_SCH4">Model!$AT$159</definedName>
    <definedName name="v_17_SCO2">Model!$AV$159</definedName>
    <definedName name="v_17_SFe2">Model!$BC$159</definedName>
    <definedName name="v_17_SH">Model!$CA$159</definedName>
    <definedName name="v_17_SH2">Model!$AU$159</definedName>
    <definedName name="v_17_SK">Model!$BB$159</definedName>
    <definedName name="v_17_SMEOL">Model!$G$159</definedName>
    <definedName name="v_17_SMg">Model!$BA$159</definedName>
    <definedName name="v_17_SN_B">Model!$AI$159</definedName>
    <definedName name="v_17_SN2">Model!$AH$159</definedName>
    <definedName name="v_17_SN2O">Model!$AG$159</definedName>
    <definedName name="v_17_SNH2OH">Model!$AB$159</definedName>
    <definedName name="v_17_SNHx">Model!$AA$159</definedName>
    <definedName name="v_17_SNO_AOB">Model!$AE$159</definedName>
    <definedName name="v_17_SNO_OHO">Model!$AF$159</definedName>
    <definedName name="v_17_SNO2">Model!$AD$159</definedName>
    <definedName name="v_17_SNO3">Model!$AC$159</definedName>
    <definedName name="v_17_SO2">Model!$AS$159</definedName>
    <definedName name="v_17_SORPswitch">Model!$CC$159</definedName>
    <definedName name="v_17_SP_B">Model!$AO$159</definedName>
    <definedName name="v_17_SPFOA">Model!$BW$159</definedName>
    <definedName name="v_17_SPFOS">Model!$BY$159</definedName>
    <definedName name="v_17_SPO4">Model!$AM$159</definedName>
    <definedName name="v_17_SU">Model!$K$159</definedName>
    <definedName name="v_17_SVFA">Model!$E$159</definedName>
    <definedName name="v_17_XACP">Model!$BS$159</definedName>
    <definedName name="v_17_XALGAE">Model!$Z$159</definedName>
    <definedName name="v_17_XAMETO">Model!$X$159</definedName>
    <definedName name="v_17_XAMX">Model!$W$159</definedName>
    <definedName name="v_17_XAOB">Model!$U$159</definedName>
    <definedName name="v_17_XB">Model!$I$159</definedName>
    <definedName name="v_17_XB_e">Model!$J$159</definedName>
    <definedName name="v_17_XBSH">Model!$BT$159</definedName>
    <definedName name="v_17_XCaCO3">Model!$BR$159</definedName>
    <definedName name="v_17_XCASTO">Model!$S$159</definedName>
    <definedName name="v_17_XE">Model!$P$159</definedName>
    <definedName name="v_17_XE_ana">Model!$Q$159</definedName>
    <definedName name="v_17_XHAO_H">Model!$BK$159</definedName>
    <definedName name="v_17_XHAO_H_P">Model!$BN$159</definedName>
    <definedName name="v_17_XHAO_H_P_old">Model!$BP$159</definedName>
    <definedName name="v_17_XHAO_L">Model!$BL$159</definedName>
    <definedName name="v_17_XHAO_L_P">Model!$BO$159</definedName>
    <definedName name="v_17_XHAO_L_P_old">Model!$BQ$159</definedName>
    <definedName name="v_17_XHAO_old">Model!$BM$159</definedName>
    <definedName name="v_17_XHFO_H">Model!$BD$159</definedName>
    <definedName name="v_17_XHFO_H_P">Model!$BG$159</definedName>
    <definedName name="v_17_XHFO_H_P_old">Model!$BI$159</definedName>
    <definedName name="v_17_XHFO_L">Model!$BE$159</definedName>
    <definedName name="v_17_XHFO_L_P">Model!$BH$159</definedName>
    <definedName name="v_17_XHFO_L_P_old">Model!$BJ$159</definedName>
    <definedName name="v_17_XHFO_old">Model!$BF$159</definedName>
    <definedName name="v_17_XHMETO">Model!$Y$159</definedName>
    <definedName name="v_17_XINORG">Model!$AW$159</definedName>
    <definedName name="v_17_XMEOLO">Model!$T$159</definedName>
    <definedName name="v_17_XN_B">Model!$AJ$159</definedName>
    <definedName name="v_17_XN_Be">Model!$AK$159</definedName>
    <definedName name="v_17_XN_U">Model!$AL$159</definedName>
    <definedName name="v_17_XNOB">Model!$V$159</definedName>
    <definedName name="v_17_XOHO">Model!$R$159</definedName>
    <definedName name="v_17_XP_B">Model!$AP$159</definedName>
    <definedName name="v_17_XP_Be">Model!$AQ$159</definedName>
    <definedName name="v_17_XP_U">Model!$AR$159</definedName>
    <definedName name="v_17_XPFOA">Model!$BX$159</definedName>
    <definedName name="v_17_XPFOS">Model!$BZ$159</definedName>
    <definedName name="v_17_XPHA_GAO">Model!$O$159</definedName>
    <definedName name="v_17_XPHA_PAO">Model!$N$159</definedName>
    <definedName name="v_17_XPP">Model!$AN$159</definedName>
    <definedName name="v_17_XSTR">Model!$BU$159</definedName>
    <definedName name="v_17_XU">Model!$M$159</definedName>
    <definedName name="v_17_XVivi">Model!$BV$159</definedName>
    <definedName name="v_18_CB">Model!$H$160</definedName>
    <definedName name="v_18_CU">Model!$L$160</definedName>
    <definedName name="v_18_GCH4">Model!$CE$160</definedName>
    <definedName name="v_18_GCH4_atm">Model!$CM$160</definedName>
    <definedName name="v_18_GCO2">Model!$CD$160</definedName>
    <definedName name="v_18_GCO2_atm">Model!$CL$160</definedName>
    <definedName name="v_18_GH2">Model!$CF$160</definedName>
    <definedName name="v_18_GH2_atm">Model!$CN$160</definedName>
    <definedName name="v_18_GN2">Model!$CK$160</definedName>
    <definedName name="v_18_GN2_atm">Model!$CS$160</definedName>
    <definedName name="v_18_GN2O">Model!$CJ$160</definedName>
    <definedName name="v_18_GN2O_atm">Model!$CR$160</definedName>
    <definedName name="v_18_GNH3">Model!$CH$160</definedName>
    <definedName name="v_18_GNH3_atm">Model!$CP$160</definedName>
    <definedName name="v_18_GNO">Model!$CI$160</definedName>
    <definedName name="v_18_GNO_atm">Model!$CQ$160</definedName>
    <definedName name="v_18_GO2">Model!$CG$160</definedName>
    <definedName name="v_18_GO2_atm">Model!$CO$160</definedName>
    <definedName name="v_18_SALPHA">Model!$CB$160</definedName>
    <definedName name="v_18_SAN">Model!$AY$160</definedName>
    <definedName name="v_18_SB">Model!$F$160</definedName>
    <definedName name="v_18_SCa">Model!$AZ$160</definedName>
    <definedName name="v_18_SCAT">Model!$AX$160</definedName>
    <definedName name="v_18_SCH4">Model!$AT$160</definedName>
    <definedName name="v_18_SCO2">Model!$AV$160</definedName>
    <definedName name="v_18_SFe2">Model!$BC$160</definedName>
    <definedName name="v_18_SH">Model!$CA$160</definedName>
    <definedName name="v_18_SH2">Model!$AU$160</definedName>
    <definedName name="v_18_SK">Model!$BB$160</definedName>
    <definedName name="v_18_SMEOL">Model!$G$160</definedName>
    <definedName name="v_18_SMg">Model!$BA$160</definedName>
    <definedName name="v_18_SN_B">Model!$AI$160</definedName>
    <definedName name="v_18_SN2">Model!$AH$160</definedName>
    <definedName name="v_18_SN2O">Model!$AG$160</definedName>
    <definedName name="v_18_SNH2OH">Model!$AB$160</definedName>
    <definedName name="v_18_SNHx">Model!$AA$160</definedName>
    <definedName name="v_18_SNO_AOB">Model!$AE$160</definedName>
    <definedName name="v_18_SNO_OHO">Model!$AF$160</definedName>
    <definedName name="v_18_SNO2">Model!$AD$160</definedName>
    <definedName name="v_18_SNO3">Model!$AC$160</definedName>
    <definedName name="v_18_SO2">Model!$AS$160</definedName>
    <definedName name="v_18_SORPswitch">Model!$CC$160</definedName>
    <definedName name="v_18_SP_B">Model!$AO$160</definedName>
    <definedName name="v_18_SPFOA">Model!$BW$160</definedName>
    <definedName name="v_18_SPFOS">Model!$BY$160</definedName>
    <definedName name="v_18_SPO4">Model!$AM$160</definedName>
    <definedName name="v_18_SU">Model!$K$160</definedName>
    <definedName name="v_18_SVFA">Model!$E$160</definedName>
    <definedName name="v_18_XACP">Model!$BS$160</definedName>
    <definedName name="v_18_XALGAE">Model!$Z$160</definedName>
    <definedName name="v_18_XAMETO">Model!$X$160</definedName>
    <definedName name="v_18_XAMX">Model!$W$160</definedName>
    <definedName name="v_18_XAOB">Model!$U$160</definedName>
    <definedName name="v_18_XB">Model!$I$160</definedName>
    <definedName name="v_18_XB_e">Model!$J$160</definedName>
    <definedName name="v_18_XBSH">Model!$BT$160</definedName>
    <definedName name="v_18_XCaCO3">Model!$BR$160</definedName>
    <definedName name="v_18_XCASTO">Model!$S$160</definedName>
    <definedName name="v_18_XE">Model!$P$160</definedName>
    <definedName name="v_18_XE_ana">Model!$Q$160</definedName>
    <definedName name="v_18_XHAO_H">Model!$BK$160</definedName>
    <definedName name="v_18_XHAO_H_P">Model!$BN$160</definedName>
    <definedName name="v_18_XHAO_H_P_old">Model!$BP$160</definedName>
    <definedName name="v_18_XHAO_L">Model!$BL$160</definedName>
    <definedName name="v_18_XHAO_L_P">Model!$BO$160</definedName>
    <definedName name="v_18_XHAO_L_P_old">Model!$BQ$160</definedName>
    <definedName name="v_18_XHAO_old">Model!$BM$160</definedName>
    <definedName name="v_18_XHFO_H">Model!$BD$160</definedName>
    <definedName name="v_18_XHFO_H_P">Model!$BG$160</definedName>
    <definedName name="v_18_XHFO_H_P_old">Model!$BI$160</definedName>
    <definedName name="v_18_XHFO_L">Model!$BE$160</definedName>
    <definedName name="v_18_XHFO_L_P">Model!$BH$160</definedName>
    <definedName name="v_18_XHFO_L_P_old">Model!$BJ$160</definedName>
    <definedName name="v_18_XHFO_old">Model!$BF$160</definedName>
    <definedName name="v_18_XHMETO">Model!$Y$160</definedName>
    <definedName name="v_18_XINORG">Model!$AW$160</definedName>
    <definedName name="v_18_XMEOLO">Model!$T$160</definedName>
    <definedName name="v_18_XN_B">Model!$AJ$160</definedName>
    <definedName name="v_18_XN_Be">Model!$AK$160</definedName>
    <definedName name="v_18_XN_U">Model!$AL$160</definedName>
    <definedName name="v_18_XNOB">Model!$V$160</definedName>
    <definedName name="v_18_XOHO">Model!$R$160</definedName>
    <definedName name="v_18_XP_B">Model!$AP$160</definedName>
    <definedName name="v_18_XP_Be">Model!$AQ$160</definedName>
    <definedName name="v_18_XP_U">Model!$AR$160</definedName>
    <definedName name="v_18_XPFOA">Model!$BX$160</definedName>
    <definedName name="v_18_XPFOS">Model!$BZ$160</definedName>
    <definedName name="v_18_XPHA_GAO">Model!$O$160</definedName>
    <definedName name="v_18_XPHA_PAO">Model!$N$160</definedName>
    <definedName name="v_18_XPP">Model!$AN$160</definedName>
    <definedName name="v_18_XSTR">Model!$BU$160</definedName>
    <definedName name="v_18_XU">Model!$M$160</definedName>
    <definedName name="v_18_XVivi">Model!$BV$160</definedName>
    <definedName name="v_19_CB">Model!$H$161</definedName>
    <definedName name="v_19_CU">Model!$L$161</definedName>
    <definedName name="v_19_GCH4">Model!$CE$161</definedName>
    <definedName name="v_19_GCH4_atm">Model!$CM$161</definedName>
    <definedName name="v_19_GCO2">Model!$CD$161</definedName>
    <definedName name="v_19_GCO2_atm">Model!$CL$161</definedName>
    <definedName name="v_19_GH2">Model!$CF$161</definedName>
    <definedName name="v_19_GH2_atm">Model!$CN$161</definedName>
    <definedName name="v_19_GN2">Model!$CK$161</definedName>
    <definedName name="v_19_GN2_atm">Model!$CS$161</definedName>
    <definedName name="v_19_GN2O">Model!$CJ$161</definedName>
    <definedName name="v_19_GN2O_atm">Model!$CR$161</definedName>
    <definedName name="v_19_GNH3">Model!$CH$161</definedName>
    <definedName name="v_19_GNH3_atm">Model!$CP$161</definedName>
    <definedName name="v_19_GNO">Model!$CI$161</definedName>
    <definedName name="v_19_GNO_atm">Model!$CQ$161</definedName>
    <definedName name="v_19_GO2">Model!$CG$161</definedName>
    <definedName name="v_19_GO2_atm">Model!$CO$161</definedName>
    <definedName name="v_19_SALPHA">Model!$CB$161</definedName>
    <definedName name="v_19_SAN">Model!$AY$161</definedName>
    <definedName name="v_19_SB">Model!$F$161</definedName>
    <definedName name="v_19_SCa">Model!$AZ$161</definedName>
    <definedName name="v_19_SCAT">Model!$AX$161</definedName>
    <definedName name="v_19_SCH4">Model!$AT$161</definedName>
    <definedName name="v_19_SCO2">Model!$AV$161</definedName>
    <definedName name="v_19_SFe2">Model!$BC$161</definedName>
    <definedName name="v_19_SH">Model!$CA$161</definedName>
    <definedName name="v_19_SH2">Model!$AU$161</definedName>
    <definedName name="v_19_SK">Model!$BB$161</definedName>
    <definedName name="v_19_SMEOL">Model!$G$161</definedName>
    <definedName name="v_19_SMg">Model!$BA$161</definedName>
    <definedName name="v_19_SN_B">Model!$AI$161</definedName>
    <definedName name="v_19_SN2">Model!$AH$161</definedName>
    <definedName name="v_19_SN2O">Model!$AG$161</definedName>
    <definedName name="v_19_SNH2OH">Model!$AB$161</definedName>
    <definedName name="v_19_SNHx">Model!$AA$161</definedName>
    <definedName name="v_19_SNO_AOB">Model!$AE$161</definedName>
    <definedName name="v_19_SNO_OHO">Model!$AF$161</definedName>
    <definedName name="v_19_SNO2">Model!$AD$161</definedName>
    <definedName name="v_19_SNO3">Model!$AC$161</definedName>
    <definedName name="v_19_SO2">Model!$AS$161</definedName>
    <definedName name="v_19_SORPswitch">Model!$CC$161</definedName>
    <definedName name="v_19_SP_B">Model!$AO$161</definedName>
    <definedName name="v_19_SPFOA">Model!$BW$161</definedName>
    <definedName name="v_19_SPFOS">Model!$BY$161</definedName>
    <definedName name="v_19_SPO4">Model!$AM$161</definedName>
    <definedName name="v_19_SU">Model!$K$161</definedName>
    <definedName name="v_19_SVFA">Model!$E$161</definedName>
    <definedName name="v_19_XACP">Model!$BS$161</definedName>
    <definedName name="v_19_XALGAE">Model!$Z$161</definedName>
    <definedName name="v_19_XAMETO">Model!$X$161</definedName>
    <definedName name="v_19_XAMX">Model!$W$161</definedName>
    <definedName name="v_19_XAOB">Model!$U$161</definedName>
    <definedName name="v_19_XB">Model!$I$161</definedName>
    <definedName name="v_19_XB_e">Model!$J$161</definedName>
    <definedName name="v_19_XBSH">Model!$BT$161</definedName>
    <definedName name="v_19_XCaCO3">Model!$BR$161</definedName>
    <definedName name="v_19_XCASTO">Model!$S$161</definedName>
    <definedName name="v_19_XE">Model!$P$161</definedName>
    <definedName name="v_19_XE_ana">Model!$Q$161</definedName>
    <definedName name="v_19_XHAO_H">Model!$BK$161</definedName>
    <definedName name="v_19_XHAO_H_P">Model!$BN$161</definedName>
    <definedName name="v_19_XHAO_H_P_old">Model!$BP$161</definedName>
    <definedName name="v_19_XHAO_L">Model!$BL$161</definedName>
    <definedName name="v_19_XHAO_L_P">Model!$BO$161</definedName>
    <definedName name="v_19_XHAO_L_P_old">Model!$BQ$161</definedName>
    <definedName name="v_19_XHAO_old">Model!$BM$161</definedName>
    <definedName name="v_19_XHFO_H">Model!$BD$161</definedName>
    <definedName name="v_19_XHFO_H_P">Model!$BG$161</definedName>
    <definedName name="v_19_XHFO_H_P_old">Model!$BI$161</definedName>
    <definedName name="v_19_XHFO_L">Model!$BE$161</definedName>
    <definedName name="v_19_XHFO_L_P">Model!$BH$161</definedName>
    <definedName name="v_19_XHFO_L_P_old">Model!$BJ$161</definedName>
    <definedName name="v_19_XHFO_old">Model!$BF$161</definedName>
    <definedName name="v_19_XHMETO">Model!$Y$161</definedName>
    <definedName name="v_19_XINORG">Model!$AW$161</definedName>
    <definedName name="v_19_XMEOLO">Model!$T$161</definedName>
    <definedName name="v_19_XN_B">Model!$AJ$161</definedName>
    <definedName name="v_19_XN_Be">Model!$AK$161</definedName>
    <definedName name="v_19_XN_U">Model!$AL$161</definedName>
    <definedName name="v_19_XNOB">Model!$V$161</definedName>
    <definedName name="v_19_XOHO">Model!$R$161</definedName>
    <definedName name="v_19_XP_B">Model!$AP$161</definedName>
    <definedName name="v_19_XP_Be">Model!$AQ$161</definedName>
    <definedName name="v_19_XP_U">Model!$AR$161</definedName>
    <definedName name="v_19_XPFOA">Model!$BX$161</definedName>
    <definedName name="v_19_XPFOS">Model!$BZ$161</definedName>
    <definedName name="v_19_XPHA_GAO">Model!$O$161</definedName>
    <definedName name="v_19_XPHA_PAO">Model!$N$161</definedName>
    <definedName name="v_19_XPP">Model!$AN$161</definedName>
    <definedName name="v_19_XSTR">Model!$BU$161</definedName>
    <definedName name="v_19_XU">Model!$M$161</definedName>
    <definedName name="v_19_XVivi">Model!$BV$161</definedName>
    <definedName name="v_2_CB">Model!$H$144</definedName>
    <definedName name="v_2_CU">Model!$L$144</definedName>
    <definedName name="v_2_GCH4">Model!$CE$144</definedName>
    <definedName name="v_2_GCH4_atm">Model!$CM$144</definedName>
    <definedName name="v_2_GCO2">Model!$CD$144</definedName>
    <definedName name="v_2_GCO2_atm">Model!$CL$144</definedName>
    <definedName name="v_2_GH2">Model!$CF$144</definedName>
    <definedName name="v_2_GH2_atm">Model!$CN$144</definedName>
    <definedName name="v_2_GN2">Model!$CK$144</definedName>
    <definedName name="v_2_GN2_atm">Model!$CS$144</definedName>
    <definedName name="v_2_GN2O">Model!$CJ$144</definedName>
    <definedName name="v_2_GN2O_atm">Model!$CR$144</definedName>
    <definedName name="v_2_GNH3">Model!$CH$144</definedName>
    <definedName name="v_2_GNH3_atm">Model!$CP$144</definedName>
    <definedName name="v_2_GNO">Model!$CI$144</definedName>
    <definedName name="v_2_GNO_atm">Model!$CQ$144</definedName>
    <definedName name="v_2_GO2">Model!$CG$144</definedName>
    <definedName name="v_2_GO2_atm">Model!$CO$144</definedName>
    <definedName name="v_2_SALPHA">Model!$CB$144</definedName>
    <definedName name="v_2_SAN">Model!$AY$144</definedName>
    <definedName name="v_2_SB">Model!$F$144</definedName>
    <definedName name="v_2_SCa">Model!$AZ$144</definedName>
    <definedName name="v_2_SCAT">Model!$AX$144</definedName>
    <definedName name="v_2_SCH4">Model!$AT$144</definedName>
    <definedName name="v_2_SCO2">Model!$AV$144</definedName>
    <definedName name="v_2_SFe2">Model!$BC$144</definedName>
    <definedName name="v_2_SH">Model!$CA$144</definedName>
    <definedName name="v_2_SH2">Model!$AU$144</definedName>
    <definedName name="v_2_SK">Model!$BB$144</definedName>
    <definedName name="v_2_SMEOL">Model!$G$144</definedName>
    <definedName name="v_2_SMg">Model!$BA$144</definedName>
    <definedName name="v_2_SN_B">Model!$AI$144</definedName>
    <definedName name="v_2_SN2">Model!$AH$144</definedName>
    <definedName name="v_2_SN2O">Model!$AG$144</definedName>
    <definedName name="v_2_SNH2OH">Model!$AB$144</definedName>
    <definedName name="v_2_SNHx">Model!$AA$144</definedName>
    <definedName name="v_2_SNO_AOB">Model!$AE$144</definedName>
    <definedName name="v_2_SNO_OHO">Model!$AF$144</definedName>
    <definedName name="v_2_SNO2">Model!$AD$144</definedName>
    <definedName name="v_2_SNO3">Model!$AC$144</definedName>
    <definedName name="v_2_SO2">Model!$AS$144</definedName>
    <definedName name="v_2_SORPswitch">Model!$CC$144</definedName>
    <definedName name="v_2_SP_B">Model!$AO$144</definedName>
    <definedName name="v_2_SPFOA">Model!$BW$144</definedName>
    <definedName name="v_2_SPFOS">Model!$BY$144</definedName>
    <definedName name="v_2_SPO4">Model!$AM$144</definedName>
    <definedName name="v_2_SU">Model!$K$144</definedName>
    <definedName name="v_2_SVFA">Model!$E$144</definedName>
    <definedName name="v_2_XACP">Model!$BS$144</definedName>
    <definedName name="v_2_XALGAE">Model!$Z$144</definedName>
    <definedName name="v_2_XAMETO">Model!$X$144</definedName>
    <definedName name="v_2_XAMX">Model!$W$144</definedName>
    <definedName name="v_2_XAOB">Model!$U$144</definedName>
    <definedName name="v_2_XB">Model!$I$144</definedName>
    <definedName name="v_2_XB_e">Model!$J$144</definedName>
    <definedName name="v_2_XBSH">Model!$BT$144</definedName>
    <definedName name="v_2_XCaCO3">Model!$BR$144</definedName>
    <definedName name="v_2_XCASTO">Model!$S$144</definedName>
    <definedName name="v_2_XE">Model!$P$144</definedName>
    <definedName name="v_2_XE_ana">Model!$Q$144</definedName>
    <definedName name="v_2_XHAO_H">Model!$BK$144</definedName>
    <definedName name="v_2_XHAO_H_P">Model!$BN$144</definedName>
    <definedName name="v_2_XHAO_H_P_old">Model!$BP$144</definedName>
    <definedName name="v_2_XHAO_L">Model!$BL$144</definedName>
    <definedName name="v_2_XHAO_L_P">Model!$BO$144</definedName>
    <definedName name="v_2_XHAO_L_P_old">Model!$BQ$144</definedName>
    <definedName name="v_2_XHAO_old">Model!$BM$144</definedName>
    <definedName name="v_2_XHFO_H">Model!$BD$144</definedName>
    <definedName name="v_2_XHFO_H_P">Model!$BG$144</definedName>
    <definedName name="v_2_XHFO_H_P_old">Model!$BI$144</definedName>
    <definedName name="v_2_XHFO_L">Model!$BE$144</definedName>
    <definedName name="v_2_XHFO_L_P">Model!$BH$144</definedName>
    <definedName name="v_2_XHFO_L_P_old">Model!$BJ$144</definedName>
    <definedName name="v_2_XHFO_old">Model!$BF$144</definedName>
    <definedName name="v_2_XHMETO">Model!$Y$144</definedName>
    <definedName name="v_2_XINORG">Model!$AW$144</definedName>
    <definedName name="v_2_XMEOLO">Model!$T$144</definedName>
    <definedName name="v_2_XN_B">Model!$AJ$144</definedName>
    <definedName name="v_2_XN_Be">Model!$AK$144</definedName>
    <definedName name="v_2_XN_U">Model!$AL$144</definedName>
    <definedName name="v_2_XNOB">Model!$V$144</definedName>
    <definedName name="v_2_XOHO">Model!$R$144</definedName>
    <definedName name="v_2_XP_B">Model!$AP$144</definedName>
    <definedName name="v_2_XP_Be">Model!$AQ$144</definedName>
    <definedName name="v_2_XP_U">Model!$AR$144</definedName>
    <definedName name="v_2_XPFOA">Model!$BX$144</definedName>
    <definedName name="v_2_XPFOS">Model!$BZ$144</definedName>
    <definedName name="v_2_XPHA_GAO">Model!$O$144</definedName>
    <definedName name="v_2_XPHA_PAO">Model!$N$144</definedName>
    <definedName name="v_2_XPP">Model!$AN$144</definedName>
    <definedName name="v_2_XSTR">Model!$BU$144</definedName>
    <definedName name="v_2_XU">Model!$M$144</definedName>
    <definedName name="v_2_XVivi">Model!$BV$144</definedName>
    <definedName name="v_20_CB">Model!$H$162</definedName>
    <definedName name="v_20_CU">Model!$L$162</definedName>
    <definedName name="v_20_GCH4">Model!$CE$162</definedName>
    <definedName name="v_20_GCH4_atm">Model!$CM$162</definedName>
    <definedName name="v_20_GCO2">Model!$CD$162</definedName>
    <definedName name="v_20_GCO2_atm">Model!$CL$162</definedName>
    <definedName name="v_20_GH2">Model!$CF$162</definedName>
    <definedName name="v_20_GH2_atm">Model!$CN$162</definedName>
    <definedName name="v_20_GN2">Model!$CK$162</definedName>
    <definedName name="v_20_GN2_atm">Model!$CS$162</definedName>
    <definedName name="v_20_GN2O">Model!$CJ$162</definedName>
    <definedName name="v_20_GN2O_atm">Model!$CR$162</definedName>
    <definedName name="v_20_GNH3">Model!$CH$162</definedName>
    <definedName name="v_20_GNH3_atm">Model!$CP$162</definedName>
    <definedName name="v_20_GNO">Model!$CI$162</definedName>
    <definedName name="v_20_GNO_atm">Model!$CQ$162</definedName>
    <definedName name="v_20_GO2">Model!$CG$162</definedName>
    <definedName name="v_20_GO2_atm">Model!$CO$162</definedName>
    <definedName name="v_20_SALPHA">Model!$CB$162</definedName>
    <definedName name="v_20_SAN">Model!$AY$162</definedName>
    <definedName name="v_20_SB">Model!$F$162</definedName>
    <definedName name="v_20_SCa">Model!$AZ$162</definedName>
    <definedName name="v_20_SCAT">Model!$AX$162</definedName>
    <definedName name="v_20_SCH4">Model!$AT$162</definedName>
    <definedName name="v_20_SCO2">Model!$AV$162</definedName>
    <definedName name="v_20_SFe2">Model!$BC$162</definedName>
    <definedName name="v_20_SH">Model!$CA$162</definedName>
    <definedName name="v_20_SH2">Model!$AU$162</definedName>
    <definedName name="v_20_SK">Model!$BB$162</definedName>
    <definedName name="v_20_SMEOL">Model!$G$162</definedName>
    <definedName name="v_20_SMg">Model!$BA$162</definedName>
    <definedName name="v_20_SN_B">Model!$AI$162</definedName>
    <definedName name="v_20_SN2">Model!$AH$162</definedName>
    <definedName name="v_20_SN2O">Model!$AG$162</definedName>
    <definedName name="v_20_SNH2OH">Model!$AB$162</definedName>
    <definedName name="v_20_SNHx">Model!$AA$162</definedName>
    <definedName name="v_20_SNO_AOB">Model!$AE$162</definedName>
    <definedName name="v_20_SNO_OHO">Model!$AF$162</definedName>
    <definedName name="v_20_SNO2">Model!$AD$162</definedName>
    <definedName name="v_20_SNO3">Model!$AC$162</definedName>
    <definedName name="v_20_SO2">Model!$AS$162</definedName>
    <definedName name="v_20_SORPswitch">Model!$CC$162</definedName>
    <definedName name="v_20_SP_B">Model!$AO$162</definedName>
    <definedName name="v_20_SPFOA">Model!$BW$162</definedName>
    <definedName name="v_20_SPFOS">Model!$BY$162</definedName>
    <definedName name="v_20_SPO4">Model!$AM$162</definedName>
    <definedName name="v_20_SU">Model!$K$162</definedName>
    <definedName name="v_20_SVFA">Model!$E$162</definedName>
    <definedName name="v_20_XACP">Model!$BS$162</definedName>
    <definedName name="v_20_XALGAE">Model!$Z$162</definedName>
    <definedName name="v_20_XAMETO">Model!$X$162</definedName>
    <definedName name="v_20_XAMX">Model!$W$162</definedName>
    <definedName name="v_20_XAOB">Model!$U$162</definedName>
    <definedName name="v_20_XB">Model!$I$162</definedName>
    <definedName name="v_20_XB_e">Model!$J$162</definedName>
    <definedName name="v_20_XBSH">Model!$BT$162</definedName>
    <definedName name="v_20_XCaCO3">Model!$BR$162</definedName>
    <definedName name="v_20_XCASTO">Model!$S$162</definedName>
    <definedName name="v_20_XE">Model!$P$162</definedName>
    <definedName name="v_20_XE_ana">Model!$Q$162</definedName>
    <definedName name="v_20_XHAO_H">Model!$BK$162</definedName>
    <definedName name="v_20_XHAO_H_P">Model!$BN$162</definedName>
    <definedName name="v_20_XHAO_H_P_old">Model!$BP$162</definedName>
    <definedName name="v_20_XHAO_L">Model!$BL$162</definedName>
    <definedName name="v_20_XHAO_L_P">Model!$BO$162</definedName>
    <definedName name="v_20_XHAO_L_P_old">Model!$BQ$162</definedName>
    <definedName name="v_20_XHAO_old">Model!$BM$162</definedName>
    <definedName name="v_20_XHFO_H">Model!$BD$162</definedName>
    <definedName name="v_20_XHFO_H_P">Model!$BG$162</definedName>
    <definedName name="v_20_XHFO_H_P_old">Model!$BI$162</definedName>
    <definedName name="v_20_XHFO_L">Model!$BE$162</definedName>
    <definedName name="v_20_XHFO_L_P">Model!$BH$162</definedName>
    <definedName name="v_20_XHFO_L_P_old">Model!$BJ$162</definedName>
    <definedName name="v_20_XHFO_old">Model!$BF$162</definedName>
    <definedName name="v_20_XHMETO">Model!$Y$162</definedName>
    <definedName name="v_20_XINORG">Model!$AW$162</definedName>
    <definedName name="v_20_XMEOLO">Model!$T$162</definedName>
    <definedName name="v_20_XN_B">Model!$AJ$162</definedName>
    <definedName name="v_20_XN_Be">Model!$AK$162</definedName>
    <definedName name="v_20_XN_U">Model!$AL$162</definedName>
    <definedName name="v_20_XNOB">Model!$V$162</definedName>
    <definedName name="v_20_XOHO">Model!$R$162</definedName>
    <definedName name="v_20_XP_B">Model!$AP$162</definedName>
    <definedName name="v_20_XP_Be">Model!$AQ$162</definedName>
    <definedName name="v_20_XP_U">Model!$AR$162</definedName>
    <definedName name="v_20_XPFOA">Model!$BX$162</definedName>
    <definedName name="v_20_XPFOS">Model!$BZ$162</definedName>
    <definedName name="v_20_XPHA_GAO">Model!$O$162</definedName>
    <definedName name="v_20_XPHA_PAO">Model!$N$162</definedName>
    <definedName name="v_20_XPP">Model!$AN$162</definedName>
    <definedName name="v_20_XSTR">Model!$BU$162</definedName>
    <definedName name="v_20_XU">Model!$M$162</definedName>
    <definedName name="v_20_XVivi">Model!$BV$162</definedName>
    <definedName name="v_21_CB">Model!$H$163</definedName>
    <definedName name="v_21_CU">Model!$L$163</definedName>
    <definedName name="v_21_GCH4">Model!$CE$163</definedName>
    <definedName name="v_21_GCH4_atm">Model!$CM$163</definedName>
    <definedName name="v_21_GCO2">Model!$CD$163</definedName>
    <definedName name="v_21_GCO2_atm">Model!$CL$163</definedName>
    <definedName name="v_21_GH2">Model!$CF$163</definedName>
    <definedName name="v_21_GH2_atm">Model!$CN$163</definedName>
    <definedName name="v_21_GN2">Model!$CK$163</definedName>
    <definedName name="v_21_GN2_atm">Model!$CS$163</definedName>
    <definedName name="v_21_GN2O">Model!$CJ$163</definedName>
    <definedName name="v_21_GN2O_atm">Model!$CR$163</definedName>
    <definedName name="v_21_GNH3">Model!$CH$163</definedName>
    <definedName name="v_21_GNH3_atm">Model!$CP$163</definedName>
    <definedName name="v_21_GNO">Model!$CI$163</definedName>
    <definedName name="v_21_GNO_atm">Model!$CQ$163</definedName>
    <definedName name="v_21_GO2">Model!$CG$163</definedName>
    <definedName name="v_21_GO2_atm">Model!$CO$163</definedName>
    <definedName name="v_21_SALPHA">Model!$CB$163</definedName>
    <definedName name="v_21_SAN">Model!$AY$163</definedName>
    <definedName name="v_21_SB">Model!$F$163</definedName>
    <definedName name="v_21_SCa">Model!$AZ$163</definedName>
    <definedName name="v_21_SCAT">Model!$AX$163</definedName>
    <definedName name="v_21_SCH4">Model!$AT$163</definedName>
    <definedName name="v_21_SCO2">Model!$AV$163</definedName>
    <definedName name="v_21_SFe2">Model!$BC$163</definedName>
    <definedName name="v_21_SH">Model!$CA$163</definedName>
    <definedName name="v_21_SH2">Model!$AU$163</definedName>
    <definedName name="v_21_SK">Model!$BB$163</definedName>
    <definedName name="v_21_SMEOL">Model!$G$163</definedName>
    <definedName name="v_21_SMg">Model!$BA$163</definedName>
    <definedName name="v_21_SN_B">Model!$AI$163</definedName>
    <definedName name="v_21_SN2">Model!$AH$163</definedName>
    <definedName name="v_21_SN2O">Model!$AG$163</definedName>
    <definedName name="v_21_SNH2OH">Model!$AB$163</definedName>
    <definedName name="v_21_SNHx">Model!$AA$163</definedName>
    <definedName name="v_21_SNO_AOB">Model!$AE$163</definedName>
    <definedName name="v_21_SNO_OHO">Model!$AF$163</definedName>
    <definedName name="v_21_SNO2">Model!$AD$163</definedName>
    <definedName name="v_21_SNO3">Model!$AC$163</definedName>
    <definedName name="v_21_SO2">Model!$AS$163</definedName>
    <definedName name="v_21_SORPswitch">Model!$CC$163</definedName>
    <definedName name="v_21_SP_B">Model!$AO$163</definedName>
    <definedName name="v_21_SPFOA">Model!$BW$163</definedName>
    <definedName name="v_21_SPFOS">Model!$BY$163</definedName>
    <definedName name="v_21_SPO4">Model!$AM$163</definedName>
    <definedName name="v_21_SU">Model!$K$163</definedName>
    <definedName name="v_21_SVFA">Model!$E$163</definedName>
    <definedName name="v_21_XACP">Model!$BS$163</definedName>
    <definedName name="v_21_XALGAE">Model!$Z$163</definedName>
    <definedName name="v_21_XAMETO">Model!$X$163</definedName>
    <definedName name="v_21_XAMX">Model!$W$163</definedName>
    <definedName name="v_21_XAOB">Model!$U$163</definedName>
    <definedName name="v_21_XB">Model!$I$163</definedName>
    <definedName name="v_21_XB_e">Model!$J$163</definedName>
    <definedName name="v_21_XBSH">Model!$BT$163</definedName>
    <definedName name="v_21_XCaCO3">Model!$BR$163</definedName>
    <definedName name="v_21_XCASTO">Model!$S$163</definedName>
    <definedName name="v_21_XE">Model!$P$163</definedName>
    <definedName name="v_21_XE_ana">Model!$Q$163</definedName>
    <definedName name="v_21_XHAO_H">Model!$BK$163</definedName>
    <definedName name="v_21_XHAO_H_P">Model!$BN$163</definedName>
    <definedName name="v_21_XHAO_H_P_old">Model!$BP$163</definedName>
    <definedName name="v_21_XHAO_L">Model!$BL$163</definedName>
    <definedName name="v_21_XHAO_L_P">Model!$BO$163</definedName>
    <definedName name="v_21_XHAO_L_P_old">Model!$BQ$163</definedName>
    <definedName name="v_21_XHAO_old">Model!$BM$163</definedName>
    <definedName name="v_21_XHFO_H">Model!$BD$163</definedName>
    <definedName name="v_21_XHFO_H_P">Model!$BG$163</definedName>
    <definedName name="v_21_XHFO_H_P_old">Model!$BI$163</definedName>
    <definedName name="v_21_XHFO_L">Model!$BE$163</definedName>
    <definedName name="v_21_XHFO_L_P">Model!$BH$163</definedName>
    <definedName name="v_21_XHFO_L_P_old">Model!$BJ$163</definedName>
    <definedName name="v_21_XHFO_old">Model!$BF$163</definedName>
    <definedName name="v_21_XHMETO">Model!$Y$163</definedName>
    <definedName name="v_21_XINORG">Model!$AW$163</definedName>
    <definedName name="v_21_XMEOLO">Model!$T$163</definedName>
    <definedName name="v_21_XN_B">Model!$AJ$163</definedName>
    <definedName name="v_21_XN_Be">Model!$AK$163</definedName>
    <definedName name="v_21_XN_U">Model!$AL$163</definedName>
    <definedName name="v_21_XNOB">Model!$V$163</definedName>
    <definedName name="v_21_XOHO">Model!$R$163</definedName>
    <definedName name="v_21_XP_B">Model!$AP$163</definedName>
    <definedName name="v_21_XP_Be">Model!$AQ$163</definedName>
    <definedName name="v_21_XP_U">Model!$AR$163</definedName>
    <definedName name="v_21_XPFOA">Model!$BX$163</definedName>
    <definedName name="v_21_XPFOS">Model!$BZ$163</definedName>
    <definedName name="v_21_XPHA_GAO">Model!$O$163</definedName>
    <definedName name="v_21_XPHA_PAO">Model!$N$163</definedName>
    <definedName name="v_21_XPP">Model!$AN$163</definedName>
    <definedName name="v_21_XSTR">Model!$BU$163</definedName>
    <definedName name="v_21_XU">Model!$M$163</definedName>
    <definedName name="v_21_XVivi">Model!$BV$163</definedName>
    <definedName name="v_22_CB">Model!$H$164</definedName>
    <definedName name="v_22_CU">Model!$L$164</definedName>
    <definedName name="v_22_GCH4">Model!$CE$164</definedName>
    <definedName name="v_22_GCH4_atm">Model!$CM$164</definedName>
    <definedName name="v_22_GCO2">Model!$CD$164</definedName>
    <definedName name="v_22_GCO2_atm">Model!$CL$164</definedName>
    <definedName name="v_22_GH2">Model!$CF$164</definedName>
    <definedName name="v_22_GH2_atm">Model!$CN$164</definedName>
    <definedName name="v_22_GN2">Model!$CK$164</definedName>
    <definedName name="v_22_GN2_atm">Model!$CS$164</definedName>
    <definedName name="v_22_GN2O">Model!$CJ$164</definedName>
    <definedName name="v_22_GN2O_atm">Model!$CR$164</definedName>
    <definedName name="v_22_GNH3">Model!$CH$164</definedName>
    <definedName name="v_22_GNH3_atm">Model!$CP$164</definedName>
    <definedName name="v_22_GNO">Model!$CI$164</definedName>
    <definedName name="v_22_GNO_atm">Model!$CQ$164</definedName>
    <definedName name="v_22_GO2">Model!$CG$164</definedName>
    <definedName name="v_22_GO2_atm">Model!$CO$164</definedName>
    <definedName name="v_22_SALPHA">Model!$CB$164</definedName>
    <definedName name="v_22_SAN">Model!$AY$164</definedName>
    <definedName name="v_22_SB">Model!$F$164</definedName>
    <definedName name="v_22_SCa">Model!$AZ$164</definedName>
    <definedName name="v_22_SCAT">Model!$AX$164</definedName>
    <definedName name="v_22_SCH4">Model!$AT$164</definedName>
    <definedName name="v_22_SCO2">Model!$AV$164</definedName>
    <definedName name="v_22_SFe2">Model!$BC$164</definedName>
    <definedName name="v_22_SH">Model!$CA$164</definedName>
    <definedName name="v_22_SH2">Model!$AU$164</definedName>
    <definedName name="v_22_SK">Model!$BB$164</definedName>
    <definedName name="v_22_SMEOL">Model!$G$164</definedName>
    <definedName name="v_22_SMg">Model!$BA$164</definedName>
    <definedName name="v_22_SN_B">Model!$AI$164</definedName>
    <definedName name="v_22_SN2">Model!$AH$164</definedName>
    <definedName name="v_22_SN2O">Model!$AG$164</definedName>
    <definedName name="v_22_SNH2OH">Model!$AB$164</definedName>
    <definedName name="v_22_SNHx">Model!$AA$164</definedName>
    <definedName name="v_22_SNO_AOB">Model!$AE$164</definedName>
    <definedName name="v_22_SNO_OHO">Model!$AF$164</definedName>
    <definedName name="v_22_SNO2">Model!$AD$164</definedName>
    <definedName name="v_22_SNO3">Model!$AC$164</definedName>
    <definedName name="v_22_SO2">Model!$AS$164</definedName>
    <definedName name="v_22_SORPswitch">Model!$CC$164</definedName>
    <definedName name="v_22_SP_B">Model!$AO$164</definedName>
    <definedName name="v_22_SPFOA">Model!$BW$164</definedName>
    <definedName name="v_22_SPFOS">Model!$BY$164</definedName>
    <definedName name="v_22_SPO4">Model!$AM$164</definedName>
    <definedName name="v_22_SU">Model!$K$164</definedName>
    <definedName name="v_22_SVFA">Model!$E$164</definedName>
    <definedName name="v_22_XACP">Model!$BS$164</definedName>
    <definedName name="v_22_XALGAE">Model!$Z$164</definedName>
    <definedName name="v_22_XAMETO">Model!$X$164</definedName>
    <definedName name="v_22_XAMX">Model!$W$164</definedName>
    <definedName name="v_22_XAOB">Model!$U$164</definedName>
    <definedName name="v_22_XB">Model!$I$164</definedName>
    <definedName name="v_22_XB_e">Model!$J$164</definedName>
    <definedName name="v_22_XBSH">Model!$BT$164</definedName>
    <definedName name="v_22_XCaCO3">Model!$BR$164</definedName>
    <definedName name="v_22_XCASTO">Model!$S$164</definedName>
    <definedName name="v_22_XE">Model!$P$164</definedName>
    <definedName name="v_22_XE_ana">Model!$Q$164</definedName>
    <definedName name="v_22_XHAO_H">Model!$BK$164</definedName>
    <definedName name="v_22_XHAO_H_P">Model!$BN$164</definedName>
    <definedName name="v_22_XHAO_H_P_old">Model!$BP$164</definedName>
    <definedName name="v_22_XHAO_L">Model!$BL$164</definedName>
    <definedName name="v_22_XHAO_L_P">Model!$BO$164</definedName>
    <definedName name="v_22_XHAO_L_P_old">Model!$BQ$164</definedName>
    <definedName name="v_22_XHAO_old">Model!$BM$164</definedName>
    <definedName name="v_22_XHFO_H">Model!$BD$164</definedName>
    <definedName name="v_22_XHFO_H_P">Model!$BG$164</definedName>
    <definedName name="v_22_XHFO_H_P_old">Model!$BI$164</definedName>
    <definedName name="v_22_XHFO_L">Model!$BE$164</definedName>
    <definedName name="v_22_XHFO_L_P">Model!$BH$164</definedName>
    <definedName name="v_22_XHFO_L_P_old">Model!$BJ$164</definedName>
    <definedName name="v_22_XHFO_old">Model!$BF$164</definedName>
    <definedName name="v_22_XHMETO">Model!$Y$164</definedName>
    <definedName name="v_22_XINORG">Model!$AW$164</definedName>
    <definedName name="v_22_XMEOLO">Model!$T$164</definedName>
    <definedName name="v_22_XN_B">Model!$AJ$164</definedName>
    <definedName name="v_22_XN_Be">Model!$AK$164</definedName>
    <definedName name="v_22_XN_U">Model!$AL$164</definedName>
    <definedName name="v_22_XNOB">Model!$V$164</definedName>
    <definedName name="v_22_XOHO">Model!$R$164</definedName>
    <definedName name="v_22_XP_B">Model!$AP$164</definedName>
    <definedName name="v_22_XP_Be">Model!$AQ$164</definedName>
    <definedName name="v_22_XP_U">Model!$AR$164</definedName>
    <definedName name="v_22_XPFOA">Model!$BX$164</definedName>
    <definedName name="v_22_XPFOS">Model!$BZ$164</definedName>
    <definedName name="v_22_XPHA_GAO">Model!$O$164</definedName>
    <definedName name="v_22_XPHA_PAO">Model!$N$164</definedName>
    <definedName name="v_22_XPP">Model!$AN$164</definedName>
    <definedName name="v_22_XSTR">Model!$BU$164</definedName>
    <definedName name="v_22_XU">Model!$M$164</definedName>
    <definedName name="v_22_XVivi">Model!$BV$164</definedName>
    <definedName name="v_23_CB">Model!$H$165</definedName>
    <definedName name="v_23_CU">Model!$L$165</definedName>
    <definedName name="v_23_GCH4">Model!$CE$165</definedName>
    <definedName name="v_23_GCH4_atm">Model!$CM$165</definedName>
    <definedName name="v_23_GCO2">Model!$CD$165</definedName>
    <definedName name="v_23_GCO2_atm">Model!$CL$165</definedName>
    <definedName name="v_23_GH2">Model!$CF$165</definedName>
    <definedName name="v_23_GH2_atm">Model!$CN$165</definedName>
    <definedName name="v_23_GN2">Model!$CK$165</definedName>
    <definedName name="v_23_GN2_atm">Model!$CS$165</definedName>
    <definedName name="v_23_GN2O">Model!$CJ$165</definedName>
    <definedName name="v_23_GN2O_atm">Model!$CR$165</definedName>
    <definedName name="v_23_GNH3">Model!$CH$165</definedName>
    <definedName name="v_23_GNH3_atm">Model!$CP$165</definedName>
    <definedName name="v_23_GNO">Model!$CI$165</definedName>
    <definedName name="v_23_GNO_atm">Model!$CQ$165</definedName>
    <definedName name="v_23_GO2">Model!$CG$165</definedName>
    <definedName name="v_23_GO2_atm">Model!$CO$165</definedName>
    <definedName name="v_23_SALPHA">Model!$CB$165</definedName>
    <definedName name="v_23_SAN">Model!$AY$165</definedName>
    <definedName name="v_23_SB">Model!$F$165</definedName>
    <definedName name="v_23_SCa">Model!$AZ$165</definedName>
    <definedName name="v_23_SCAT">Model!$AX$165</definedName>
    <definedName name="v_23_SCH4">Model!$AT$165</definedName>
    <definedName name="v_23_SCO2">Model!$AV$165</definedName>
    <definedName name="v_23_SFe2">Model!$BC$165</definedName>
    <definedName name="v_23_SH">Model!$CA$165</definedName>
    <definedName name="v_23_SH2">Model!$AU$165</definedName>
    <definedName name="v_23_SK">Model!$BB$165</definedName>
    <definedName name="v_23_SMEOL">Model!$G$165</definedName>
    <definedName name="v_23_SMg">Model!$BA$165</definedName>
    <definedName name="v_23_SN_B">Model!$AI$165</definedName>
    <definedName name="v_23_SN2">Model!$AH$165</definedName>
    <definedName name="v_23_SN2O">Model!$AG$165</definedName>
    <definedName name="v_23_SNH2OH">Model!$AB$165</definedName>
    <definedName name="v_23_SNHx">Model!$AA$165</definedName>
    <definedName name="v_23_SNO_AOB">Model!$AE$165</definedName>
    <definedName name="v_23_SNO_OHO">Model!$AF$165</definedName>
    <definedName name="v_23_SNO2">Model!$AD$165</definedName>
    <definedName name="v_23_SNO3">Model!$AC$165</definedName>
    <definedName name="v_23_SO2">Model!$AS$165</definedName>
    <definedName name="v_23_SORPswitch">Model!$CC$165</definedName>
    <definedName name="v_23_SP_B">Model!$AO$165</definedName>
    <definedName name="v_23_SPFOA">Model!$BW$165</definedName>
    <definedName name="v_23_SPFOS">Model!$BY$165</definedName>
    <definedName name="v_23_SPO4">Model!$AM$165</definedName>
    <definedName name="v_23_SU">Model!$K$165</definedName>
    <definedName name="v_23_SVFA">Model!$E$165</definedName>
    <definedName name="v_23_XACP">Model!$BS$165</definedName>
    <definedName name="v_23_XALGAE">Model!$Z$165</definedName>
    <definedName name="v_23_XAMETO">Model!$X$165</definedName>
    <definedName name="v_23_XAMX">Model!$W$165</definedName>
    <definedName name="v_23_XAOB">Model!$U$165</definedName>
    <definedName name="v_23_XB">Model!$I$165</definedName>
    <definedName name="v_23_XB_e">Model!$J$165</definedName>
    <definedName name="v_23_XBSH">Model!$BT$165</definedName>
    <definedName name="v_23_XCaCO3">Model!$BR$165</definedName>
    <definedName name="v_23_XCASTO">Model!$S$165</definedName>
    <definedName name="v_23_XE">Model!$P$165</definedName>
    <definedName name="v_23_XE_ana">Model!$Q$165</definedName>
    <definedName name="v_23_XHAO_H">Model!$BK$165</definedName>
    <definedName name="v_23_XHAO_H_P">Model!$BN$165</definedName>
    <definedName name="v_23_XHAO_H_P_old">Model!$BP$165</definedName>
    <definedName name="v_23_XHAO_L">Model!$BL$165</definedName>
    <definedName name="v_23_XHAO_L_P">Model!$BO$165</definedName>
    <definedName name="v_23_XHAO_L_P_old">Model!$BQ$165</definedName>
    <definedName name="v_23_XHAO_old">Model!$BM$165</definedName>
    <definedName name="v_23_XHFO_H">Model!$BD$165</definedName>
    <definedName name="v_23_XHFO_H_P">Model!$BG$165</definedName>
    <definedName name="v_23_XHFO_H_P_old">Model!$BI$165</definedName>
    <definedName name="v_23_XHFO_L">Model!$BE$165</definedName>
    <definedName name="v_23_XHFO_L_P">Model!$BH$165</definedName>
    <definedName name="v_23_XHFO_L_P_old">Model!$BJ$165</definedName>
    <definedName name="v_23_XHFO_old">Model!$BF$165</definedName>
    <definedName name="v_23_XHMETO">Model!$Y$165</definedName>
    <definedName name="v_23_XINORG">Model!$AW$165</definedName>
    <definedName name="v_23_XMEOLO">Model!$T$165</definedName>
    <definedName name="v_23_XN_B">Model!$AJ$165</definedName>
    <definedName name="v_23_XN_Be">Model!$AK$165</definedName>
    <definedName name="v_23_XN_U">Model!$AL$165</definedName>
    <definedName name="v_23_XNOB">Model!$V$165</definedName>
    <definedName name="v_23_XOHO">Model!$R$165</definedName>
    <definedName name="v_23_XP_B">Model!$AP$165</definedName>
    <definedName name="v_23_XP_Be">Model!$AQ$165</definedName>
    <definedName name="v_23_XP_U">Model!$AR$165</definedName>
    <definedName name="v_23_XPFOA">Model!$BX$165</definedName>
    <definedName name="v_23_XPFOS">Model!$BZ$165</definedName>
    <definedName name="v_23_XPHA_GAO">Model!$O$165</definedName>
    <definedName name="v_23_XPHA_PAO">Model!$N$165</definedName>
    <definedName name="v_23_XPP">Model!$AN$165</definedName>
    <definedName name="v_23_XSTR">Model!$BU$165</definedName>
    <definedName name="v_23_XU">Model!$M$165</definedName>
    <definedName name="v_23_XVivi">Model!$BV$165</definedName>
    <definedName name="v_24_CB">Model!$H$166</definedName>
    <definedName name="v_24_CU">Model!$L$166</definedName>
    <definedName name="v_24_GCH4">Model!$CE$166</definedName>
    <definedName name="v_24_GCH4_atm">Model!$CM$166</definedName>
    <definedName name="v_24_GCO2">Model!$CD$166</definedName>
    <definedName name="v_24_GCO2_atm">Model!$CL$166</definedName>
    <definedName name="v_24_GH2">Model!$CF$166</definedName>
    <definedName name="v_24_GH2_atm">Model!$CN$166</definedName>
    <definedName name="v_24_GN2">Model!$CK$166</definedName>
    <definedName name="v_24_GN2_atm">Model!$CS$166</definedName>
    <definedName name="v_24_GN2O">Model!$CJ$166</definedName>
    <definedName name="v_24_GN2O_atm">Model!$CR$166</definedName>
    <definedName name="v_24_GNH3">Model!$CH$166</definedName>
    <definedName name="v_24_GNH3_atm">Model!$CP$166</definedName>
    <definedName name="v_24_GNO">Model!$CI$166</definedName>
    <definedName name="v_24_GNO_atm">Model!$CQ$166</definedName>
    <definedName name="v_24_GO2">Model!$CG$166</definedName>
    <definedName name="v_24_GO2_atm">Model!$CO$166</definedName>
    <definedName name="v_24_SALPHA">Model!$CB$166</definedName>
    <definedName name="v_24_SAN">Model!$AY$166</definedName>
    <definedName name="v_24_SB">Model!$F$166</definedName>
    <definedName name="v_24_SCa">Model!$AZ$166</definedName>
    <definedName name="v_24_SCAT">Model!$AX$166</definedName>
    <definedName name="v_24_SCH4">Model!$AT$166</definedName>
    <definedName name="v_24_SCO2">Model!$AV$166</definedName>
    <definedName name="v_24_SFe2">Model!$BC$166</definedName>
    <definedName name="v_24_SH">Model!$CA$166</definedName>
    <definedName name="v_24_SH2">Model!$AU$166</definedName>
    <definedName name="v_24_SK">Model!$BB$166</definedName>
    <definedName name="v_24_SMEOL">Model!$G$166</definedName>
    <definedName name="v_24_SMg">Model!$BA$166</definedName>
    <definedName name="v_24_SN_B">Model!$AI$166</definedName>
    <definedName name="v_24_SN2">Model!$AH$166</definedName>
    <definedName name="v_24_SN2O">Model!$AG$166</definedName>
    <definedName name="v_24_SNH2OH">Model!$AB$166</definedName>
    <definedName name="v_24_SNHx">Model!$AA$166</definedName>
    <definedName name="v_24_SNO_AOB">Model!$AE$166</definedName>
    <definedName name="v_24_SNO_OHO">Model!$AF$166</definedName>
    <definedName name="v_24_SNO2">Model!$AD$166</definedName>
    <definedName name="v_24_SNO3">Model!$AC$166</definedName>
    <definedName name="v_24_SO2">Model!$AS$166</definedName>
    <definedName name="v_24_SORPswitch">Model!$CC$166</definedName>
    <definedName name="v_24_SP_B">Model!$AO$166</definedName>
    <definedName name="v_24_SPFOA">Model!$BW$166</definedName>
    <definedName name="v_24_SPFOS">Model!$BY$166</definedName>
    <definedName name="v_24_SPO4">Model!$AM$166</definedName>
    <definedName name="v_24_SU">Model!$K$166</definedName>
    <definedName name="v_24_SVFA">Model!$E$166</definedName>
    <definedName name="v_24_XACP">Model!$BS$166</definedName>
    <definedName name="v_24_XALGAE">Model!$Z$166</definedName>
    <definedName name="v_24_XAMETO">Model!$X$166</definedName>
    <definedName name="v_24_XAMX">Model!$W$166</definedName>
    <definedName name="v_24_XAOB">Model!$U$166</definedName>
    <definedName name="v_24_XB">Model!$I$166</definedName>
    <definedName name="v_24_XB_e">Model!$J$166</definedName>
    <definedName name="v_24_XBSH">Model!$BT$166</definedName>
    <definedName name="v_24_XCaCO3">Model!$BR$166</definedName>
    <definedName name="v_24_XCASTO">Model!$S$166</definedName>
    <definedName name="v_24_XE">Model!$P$166</definedName>
    <definedName name="v_24_XE_ana">Model!$Q$166</definedName>
    <definedName name="v_24_XHAO_H">Model!$BK$166</definedName>
    <definedName name="v_24_XHAO_H_P">Model!$BN$166</definedName>
    <definedName name="v_24_XHAO_H_P_old">Model!$BP$166</definedName>
    <definedName name="v_24_XHAO_L">Model!$BL$166</definedName>
    <definedName name="v_24_XHAO_L_P">Model!$BO$166</definedName>
    <definedName name="v_24_XHAO_L_P_old">Model!$BQ$166</definedName>
    <definedName name="v_24_XHAO_old">Model!$BM$166</definedName>
    <definedName name="v_24_XHFO_H">Model!$BD$166</definedName>
    <definedName name="v_24_XHFO_H_P">Model!$BG$166</definedName>
    <definedName name="v_24_XHFO_H_P_old">Model!$BI$166</definedName>
    <definedName name="v_24_XHFO_L">Model!$BE$166</definedName>
    <definedName name="v_24_XHFO_L_P">Model!$BH$166</definedName>
    <definedName name="v_24_XHFO_L_P_old">Model!$BJ$166</definedName>
    <definedName name="v_24_XHFO_old">Model!$BF$166</definedName>
    <definedName name="v_24_XHMETO">Model!$Y$166</definedName>
    <definedName name="v_24_XINORG">Model!$AW$166</definedName>
    <definedName name="v_24_XMEOLO">Model!$T$166</definedName>
    <definedName name="v_24_XN_B">Model!$AJ$166</definedName>
    <definedName name="v_24_XN_Be">Model!$AK$166</definedName>
    <definedName name="v_24_XN_U">Model!$AL$166</definedName>
    <definedName name="v_24_XNOB">Model!$V$166</definedName>
    <definedName name="v_24_XOHO">Model!$R$166</definedName>
    <definedName name="v_24_XP_B">Model!$AP$166</definedName>
    <definedName name="v_24_XP_Be">Model!$AQ$166</definedName>
    <definedName name="v_24_XP_U">Model!$AR$166</definedName>
    <definedName name="v_24_XPFOA">Model!$BX$166</definedName>
    <definedName name="v_24_XPFOS">Model!$BZ$166</definedName>
    <definedName name="v_24_XPHA_GAO">Model!$O$166</definedName>
    <definedName name="v_24_XPHA_PAO">Model!$N$166</definedName>
    <definedName name="v_24_XPP">Model!$AN$166</definedName>
    <definedName name="v_24_XSTR">Model!$BU$166</definedName>
    <definedName name="v_24_XU">Model!$M$166</definedName>
    <definedName name="v_24_XVivi">Model!$BV$166</definedName>
    <definedName name="v_25_CB">Model!$H$167</definedName>
    <definedName name="v_25_CU">Model!$L$167</definedName>
    <definedName name="v_25_GCH4">Model!$CE$167</definedName>
    <definedName name="v_25_GCH4_atm">Model!$CM$167</definedName>
    <definedName name="v_25_GCO2">Model!$CD$167</definedName>
    <definedName name="v_25_GCO2_atm">Model!$CL$167</definedName>
    <definedName name="v_25_GH2">Model!$CF$167</definedName>
    <definedName name="v_25_GH2_atm">Model!$CN$167</definedName>
    <definedName name="v_25_GN2">Model!$CK$167</definedName>
    <definedName name="v_25_GN2_atm">Model!$CS$167</definedName>
    <definedName name="v_25_GN2O">Model!$CJ$167</definedName>
    <definedName name="v_25_GN2O_atm">Model!$CR$167</definedName>
    <definedName name="v_25_GNH3">Model!$CH$167</definedName>
    <definedName name="v_25_GNH3_atm">Model!$CP$167</definedName>
    <definedName name="v_25_GNO">Model!$CI$167</definedName>
    <definedName name="v_25_GNO_atm">Model!$CQ$167</definedName>
    <definedName name="v_25_GO2">Model!$CG$167</definedName>
    <definedName name="v_25_GO2_atm">Model!$CO$167</definedName>
    <definedName name="v_25_SALPHA">Model!$CB$167</definedName>
    <definedName name="v_25_SAN">Model!$AY$167</definedName>
    <definedName name="v_25_SB">Model!$F$167</definedName>
    <definedName name="v_25_SCa">Model!$AZ$167</definedName>
    <definedName name="v_25_SCAT">Model!$AX$167</definedName>
    <definedName name="v_25_SCH4">Model!$AT$167</definedName>
    <definedName name="v_25_SCO2">Model!$AV$167</definedName>
    <definedName name="v_25_SFe2">Model!$BC$167</definedName>
    <definedName name="v_25_SH">Model!$CA$167</definedName>
    <definedName name="v_25_SH2">Model!$AU$167</definedName>
    <definedName name="v_25_SK">Model!$BB$167</definedName>
    <definedName name="v_25_SMEOL">Model!$G$167</definedName>
    <definedName name="v_25_SMg">Model!$BA$167</definedName>
    <definedName name="v_25_SN_B">Model!$AI$167</definedName>
    <definedName name="v_25_SN2">Model!$AH$167</definedName>
    <definedName name="v_25_SN2O">Model!$AG$167</definedName>
    <definedName name="v_25_SNH2OH">Model!$AB$167</definedName>
    <definedName name="v_25_SNHx">Model!$AA$167</definedName>
    <definedName name="v_25_SNO_AOB">Model!$AE$167</definedName>
    <definedName name="v_25_SNO_OHO">Model!$AF$167</definedName>
    <definedName name="v_25_SNO2">Model!$AD$167</definedName>
    <definedName name="v_25_SNO3">Model!$AC$167</definedName>
    <definedName name="v_25_SO2">Model!$AS$167</definedName>
    <definedName name="v_25_SORPswitch">Model!$CC$167</definedName>
    <definedName name="v_25_SP_B">Model!$AO$167</definedName>
    <definedName name="v_25_SPFOA">Model!$BW$167</definedName>
    <definedName name="v_25_SPFOS">Model!$BY$167</definedName>
    <definedName name="v_25_SPO4">Model!$AM$167</definedName>
    <definedName name="v_25_SU">Model!$K$167</definedName>
    <definedName name="v_25_SVFA">Model!$E$167</definedName>
    <definedName name="v_25_XACP">Model!$BS$167</definedName>
    <definedName name="v_25_XALGAE">Model!$Z$167</definedName>
    <definedName name="v_25_XAMETO">Model!$X$167</definedName>
    <definedName name="v_25_XAMX">Model!$W$167</definedName>
    <definedName name="v_25_XAOB">Model!$U$167</definedName>
    <definedName name="v_25_XB">Model!$I$167</definedName>
    <definedName name="v_25_XB_e">Model!$J$167</definedName>
    <definedName name="v_25_XBSH">Model!$BT$167</definedName>
    <definedName name="v_25_XCaCO3">Model!$BR$167</definedName>
    <definedName name="v_25_XCASTO">Model!$S$167</definedName>
    <definedName name="v_25_XE">Model!$P$167</definedName>
    <definedName name="v_25_XE_ana">Model!$Q$167</definedName>
    <definedName name="v_25_XHAO_H">Model!$BK$167</definedName>
    <definedName name="v_25_XHAO_H_P">Model!$BN$167</definedName>
    <definedName name="v_25_XHAO_H_P_old">Model!$BP$167</definedName>
    <definedName name="v_25_XHAO_L">Model!$BL$167</definedName>
    <definedName name="v_25_XHAO_L_P">Model!$BO$167</definedName>
    <definedName name="v_25_XHAO_L_P_old">Model!$BQ$167</definedName>
    <definedName name="v_25_XHAO_old">Model!$BM$167</definedName>
    <definedName name="v_25_XHFO_H">Model!$BD$167</definedName>
    <definedName name="v_25_XHFO_H_P">Model!$BG$167</definedName>
    <definedName name="v_25_XHFO_H_P_old">Model!$BI$167</definedName>
    <definedName name="v_25_XHFO_L">Model!$BE$167</definedName>
    <definedName name="v_25_XHFO_L_P">Model!$BH$167</definedName>
    <definedName name="v_25_XHFO_L_P_old">Model!$BJ$167</definedName>
    <definedName name="v_25_XHFO_old">Model!$BF$167</definedName>
    <definedName name="v_25_XHMETO">Model!$Y$167</definedName>
    <definedName name="v_25_XINORG">Model!$AW$167</definedName>
    <definedName name="v_25_XMEOLO">Model!$T$167</definedName>
    <definedName name="v_25_XN_B">Model!$AJ$167</definedName>
    <definedName name="v_25_XN_Be">Model!$AK$167</definedName>
    <definedName name="v_25_XN_U">Model!$AL$167</definedName>
    <definedName name="v_25_XNOB">Model!$V$167</definedName>
    <definedName name="v_25_XOHO">Model!$R$167</definedName>
    <definedName name="v_25_XP_B">Model!$AP$167</definedName>
    <definedName name="v_25_XP_Be">Model!$AQ$167</definedName>
    <definedName name="v_25_XP_U">Model!$AR$167</definedName>
    <definedName name="v_25_XPFOA">Model!$BX$167</definedName>
    <definedName name="v_25_XPFOS">Model!$BZ$167</definedName>
    <definedName name="v_25_XPHA_GAO">Model!$O$167</definedName>
    <definedName name="v_25_XPHA_PAO">Model!$N$167</definedName>
    <definedName name="v_25_XPP">Model!$AN$167</definedName>
    <definedName name="v_25_XSTR">Model!$BU$167</definedName>
    <definedName name="v_25_XU">Model!$M$167</definedName>
    <definedName name="v_25_XVivi">Model!$BV$167</definedName>
    <definedName name="v_26_CB">Model!$H$168</definedName>
    <definedName name="v_26_CU">Model!$L$168</definedName>
    <definedName name="v_26_GCH4">Model!$CE$168</definedName>
    <definedName name="v_26_GCH4_atm">Model!$CM$168</definedName>
    <definedName name="v_26_GCO2">Model!$CD$168</definedName>
    <definedName name="v_26_GCO2_atm">Model!$CL$168</definedName>
    <definedName name="v_26_GH2">Model!$CF$168</definedName>
    <definedName name="v_26_GH2_atm">Model!$CN$168</definedName>
    <definedName name="v_26_GN2">Model!$CK$168</definedName>
    <definedName name="v_26_GN2_atm">Model!$CS$168</definedName>
    <definedName name="v_26_GN2O">Model!$CJ$168</definedName>
    <definedName name="v_26_GN2O_atm">Model!$CR$168</definedName>
    <definedName name="v_26_GNH3">Model!$CH$168</definedName>
    <definedName name="v_26_GNH3_atm">Model!$CP$168</definedName>
    <definedName name="v_26_GNO">Model!$CI$168</definedName>
    <definedName name="v_26_GNO_atm">Model!$CQ$168</definedName>
    <definedName name="v_26_GO2">Model!$CG$168</definedName>
    <definedName name="v_26_GO2_atm">Model!$CO$168</definedName>
    <definedName name="v_26_SALPHA">Model!$CB$168</definedName>
    <definedName name="v_26_SAN">Model!$AY$168</definedName>
    <definedName name="v_26_SB">Model!$F$168</definedName>
    <definedName name="v_26_SCa">Model!$AZ$168</definedName>
    <definedName name="v_26_SCAT">Model!$AX$168</definedName>
    <definedName name="v_26_SCH4">Model!$AT$168</definedName>
    <definedName name="v_26_SCO2">Model!$AV$168</definedName>
    <definedName name="v_26_SFe2">Model!$BC$168</definedName>
    <definedName name="v_26_SH">Model!$CA$168</definedName>
    <definedName name="v_26_SH2">Model!$AU$168</definedName>
    <definedName name="v_26_SK">Model!$BB$168</definedName>
    <definedName name="v_26_SMEOL">Model!$G$168</definedName>
    <definedName name="v_26_SMg">Model!$BA$168</definedName>
    <definedName name="v_26_SN_B">Model!$AI$168</definedName>
    <definedName name="v_26_SN2">Model!$AH$168</definedName>
    <definedName name="v_26_SN2O">Model!$AG$168</definedName>
    <definedName name="v_26_SNH2OH">Model!$AB$168</definedName>
    <definedName name="v_26_SNHx">Model!$AA$168</definedName>
    <definedName name="v_26_SNO_AOB">Model!$AE$168</definedName>
    <definedName name="v_26_SNO_OHO">Model!$AF$168</definedName>
    <definedName name="v_26_SNO2">Model!$AD$168</definedName>
    <definedName name="v_26_SNO3">Model!$AC$168</definedName>
    <definedName name="v_26_SO2">Model!$AS$168</definedName>
    <definedName name="v_26_SORPswitch">Model!$CC$168</definedName>
    <definedName name="v_26_SP_B">Model!$AO$168</definedName>
    <definedName name="v_26_SPFOA">Model!$BW$168</definedName>
    <definedName name="v_26_SPFOS">Model!$BY$168</definedName>
    <definedName name="v_26_SPO4">Model!$AM$168</definedName>
    <definedName name="v_26_SU">Model!$K$168</definedName>
    <definedName name="v_26_SVFA">Model!$E$168</definedName>
    <definedName name="v_26_XACP">Model!$BS$168</definedName>
    <definedName name="v_26_XALGAE">Model!$Z$168</definedName>
    <definedName name="v_26_XAMETO">Model!$X$168</definedName>
    <definedName name="v_26_XAMX">Model!$W$168</definedName>
    <definedName name="v_26_XAOB">Model!$U$168</definedName>
    <definedName name="v_26_XB">Model!$I$168</definedName>
    <definedName name="v_26_XB_e">Model!$J$168</definedName>
    <definedName name="v_26_XBSH">Model!$BT$168</definedName>
    <definedName name="v_26_XCaCO3">Model!$BR$168</definedName>
    <definedName name="v_26_XCASTO">Model!$S$168</definedName>
    <definedName name="v_26_XE">Model!$P$168</definedName>
    <definedName name="v_26_XE_ana">Model!$Q$168</definedName>
    <definedName name="v_26_XHAO_H">Model!$BK$168</definedName>
    <definedName name="v_26_XHAO_H_P">Model!$BN$168</definedName>
    <definedName name="v_26_XHAO_H_P_old">Model!$BP$168</definedName>
    <definedName name="v_26_XHAO_L">Model!$BL$168</definedName>
    <definedName name="v_26_XHAO_L_P">Model!$BO$168</definedName>
    <definedName name="v_26_XHAO_L_P_old">Model!$BQ$168</definedName>
    <definedName name="v_26_XHAO_old">Model!$BM$168</definedName>
    <definedName name="v_26_XHFO_H">Model!$BD$168</definedName>
    <definedName name="v_26_XHFO_H_P">Model!$BG$168</definedName>
    <definedName name="v_26_XHFO_H_P_old">Model!$BI$168</definedName>
    <definedName name="v_26_XHFO_L">Model!$BE$168</definedName>
    <definedName name="v_26_XHFO_L_P">Model!$BH$168</definedName>
    <definedName name="v_26_XHFO_L_P_old">Model!$BJ$168</definedName>
    <definedName name="v_26_XHFO_old">Model!$BF$168</definedName>
    <definedName name="v_26_XHMETO">Model!$Y$168</definedName>
    <definedName name="v_26_XINORG">Model!$AW$168</definedName>
    <definedName name="v_26_XMEOLO">Model!$T$168</definedName>
    <definedName name="v_26_XN_B">Model!$AJ$168</definedName>
    <definedName name="v_26_XN_Be">Model!$AK$168</definedName>
    <definedName name="v_26_XN_U">Model!$AL$168</definedName>
    <definedName name="v_26_XNOB">Model!$V$168</definedName>
    <definedName name="v_26_XOHO">Model!$R$168</definedName>
    <definedName name="v_26_XP_B">Model!$AP$168</definedName>
    <definedName name="v_26_XP_Be">Model!$AQ$168</definedName>
    <definedName name="v_26_XP_U">Model!$AR$168</definedName>
    <definedName name="v_26_XPFOA">Model!$BX$168</definedName>
    <definedName name="v_26_XPFOS">Model!$BZ$168</definedName>
    <definedName name="v_26_XPHA_GAO">Model!$O$168</definedName>
    <definedName name="v_26_XPHA_PAO">Model!$N$168</definedName>
    <definedName name="v_26_XPP">Model!$AN$168</definedName>
    <definedName name="v_26_XSTR">Model!$BU$168</definedName>
    <definedName name="v_26_XU">Model!$M$168</definedName>
    <definedName name="v_26_XVivi">Model!$BV$168</definedName>
    <definedName name="v_27_CB">Model!$H$169</definedName>
    <definedName name="v_27_CU">Model!$L$169</definedName>
    <definedName name="v_27_GCH4">Model!$CE$169</definedName>
    <definedName name="v_27_GCH4_atm">Model!$CM$169</definedName>
    <definedName name="v_27_GCO2">Model!$CD$169</definedName>
    <definedName name="v_27_GCO2_atm">Model!$CL$169</definedName>
    <definedName name="v_27_GH2">Model!$CF$169</definedName>
    <definedName name="v_27_GH2_atm">Model!$CN$169</definedName>
    <definedName name="v_27_GN2">Model!$CK$169</definedName>
    <definedName name="v_27_GN2_atm">Model!$CS$169</definedName>
    <definedName name="v_27_GN2O">Model!$CJ$169</definedName>
    <definedName name="v_27_GN2O_atm">Model!$CR$169</definedName>
    <definedName name="v_27_GNH3">Model!$CH$169</definedName>
    <definedName name="v_27_GNH3_atm">Model!$CP$169</definedName>
    <definedName name="v_27_GNO">Model!$CI$169</definedName>
    <definedName name="v_27_GNO_atm">Model!$CQ$169</definedName>
    <definedName name="v_27_GO2">Model!$CG$169</definedName>
    <definedName name="v_27_GO2_atm">Model!$CO$169</definedName>
    <definedName name="v_27_SALPHA">Model!$CB$169</definedName>
    <definedName name="v_27_SAN">Model!$AY$169</definedName>
    <definedName name="v_27_SB">Model!$F$169</definedName>
    <definedName name="v_27_SCa">Model!$AZ$169</definedName>
    <definedName name="v_27_SCAT">Model!$AX$169</definedName>
    <definedName name="v_27_SCH4">Model!$AT$169</definedName>
    <definedName name="v_27_SCO2">Model!$AV$169</definedName>
    <definedName name="v_27_SFe2">Model!$BC$169</definedName>
    <definedName name="v_27_SH">Model!$CA$169</definedName>
    <definedName name="v_27_SH2">Model!$AU$169</definedName>
    <definedName name="v_27_SK">Model!$BB$169</definedName>
    <definedName name="v_27_SMEOL">Model!$G$169</definedName>
    <definedName name="v_27_SMg">Model!$BA$169</definedName>
    <definedName name="v_27_SN_B">Model!$AI$169</definedName>
    <definedName name="v_27_SN2">Model!$AH$169</definedName>
    <definedName name="v_27_SN2O">Model!$AG$169</definedName>
    <definedName name="v_27_SNH2OH">Model!$AB$169</definedName>
    <definedName name="v_27_SNHx">Model!$AA$169</definedName>
    <definedName name="v_27_SNO_AOB">Model!$AE$169</definedName>
    <definedName name="v_27_SNO_OHO">Model!$AF$169</definedName>
    <definedName name="v_27_SNO2">Model!$AD$169</definedName>
    <definedName name="v_27_SNO3">Model!$AC$169</definedName>
    <definedName name="v_27_SO2">Model!$AS$169</definedName>
    <definedName name="v_27_SORPswitch">Model!$CC$169</definedName>
    <definedName name="v_27_SP_B">Model!$AO$169</definedName>
    <definedName name="v_27_SPFOA">Model!$BW$169</definedName>
    <definedName name="v_27_SPFOS">Model!$BY$169</definedName>
    <definedName name="v_27_SPO4">Model!$AM$169</definedName>
    <definedName name="v_27_SU">Model!$K$169</definedName>
    <definedName name="v_27_SVFA">Model!$E$169</definedName>
    <definedName name="v_27_XACP">Model!$BS$169</definedName>
    <definedName name="v_27_XALGAE">Model!$Z$169</definedName>
    <definedName name="v_27_XAMETO">Model!$X$169</definedName>
    <definedName name="v_27_XAMX">Model!$W$169</definedName>
    <definedName name="v_27_XAOB">Model!$U$169</definedName>
    <definedName name="v_27_XB">Model!$I$169</definedName>
    <definedName name="v_27_XB_e">Model!$J$169</definedName>
    <definedName name="v_27_XBSH">Model!$BT$169</definedName>
    <definedName name="v_27_XCaCO3">Model!$BR$169</definedName>
    <definedName name="v_27_XCASTO">Model!$S$169</definedName>
    <definedName name="v_27_XE">Model!$P$169</definedName>
    <definedName name="v_27_XE_ana">Model!$Q$169</definedName>
    <definedName name="v_27_XHAO_H">Model!$BK$169</definedName>
    <definedName name="v_27_XHAO_H_P">Model!$BN$169</definedName>
    <definedName name="v_27_XHAO_H_P_old">Model!$BP$169</definedName>
    <definedName name="v_27_XHAO_L">Model!$BL$169</definedName>
    <definedName name="v_27_XHAO_L_P">Model!$BO$169</definedName>
    <definedName name="v_27_XHAO_L_P_old">Model!$BQ$169</definedName>
    <definedName name="v_27_XHAO_old">Model!$BM$169</definedName>
    <definedName name="v_27_XHFO_H">Model!$BD$169</definedName>
    <definedName name="v_27_XHFO_H_P">Model!$BG$169</definedName>
    <definedName name="v_27_XHFO_H_P_old">Model!$BI$169</definedName>
    <definedName name="v_27_XHFO_L">Model!$BE$169</definedName>
    <definedName name="v_27_XHFO_L_P">Model!$BH$169</definedName>
    <definedName name="v_27_XHFO_L_P_old">Model!$BJ$169</definedName>
    <definedName name="v_27_XHFO_old">Model!$BF$169</definedName>
    <definedName name="v_27_XHMETO">Model!$Y$169</definedName>
    <definedName name="v_27_XINORG">Model!$AW$169</definedName>
    <definedName name="v_27_XMEOLO">Model!$T$169</definedName>
    <definedName name="v_27_XN_B">Model!$AJ$169</definedName>
    <definedName name="v_27_XN_Be">Model!$AK$169</definedName>
    <definedName name="v_27_XN_U">Model!$AL$169</definedName>
    <definedName name="v_27_XNOB">Model!$V$169</definedName>
    <definedName name="v_27_XOHO">Model!$R$169</definedName>
    <definedName name="v_27_XP_B">Model!$AP$169</definedName>
    <definedName name="v_27_XP_Be">Model!$AQ$169</definedName>
    <definedName name="v_27_XP_U">Model!$AR$169</definedName>
    <definedName name="v_27_XPFOA">Model!$BX$169</definedName>
    <definedName name="v_27_XPFOS">Model!$BZ$169</definedName>
    <definedName name="v_27_XPHA_GAO">Model!$O$169</definedName>
    <definedName name="v_27_XPHA_PAO">Model!$N$169</definedName>
    <definedName name="v_27_XPP">Model!$AN$169</definedName>
    <definedName name="v_27_XSTR">Model!$BU$169</definedName>
    <definedName name="v_27_XU">Model!$M$169</definedName>
    <definedName name="v_27_XVivi">Model!$BV$169</definedName>
    <definedName name="v_28_CB">Model!$H$170</definedName>
    <definedName name="v_28_CU">Model!$L$170</definedName>
    <definedName name="v_28_GCH4">Model!$CE$170</definedName>
    <definedName name="v_28_GCH4_atm">Model!$CM$170</definedName>
    <definedName name="v_28_GCO2">Model!$CD$170</definedName>
    <definedName name="v_28_GCO2_atm">Model!$CL$170</definedName>
    <definedName name="v_28_GH2">Model!$CF$170</definedName>
    <definedName name="v_28_GH2_atm">Model!$CN$170</definedName>
    <definedName name="v_28_GN2">Model!$CK$170</definedName>
    <definedName name="v_28_GN2_atm">Model!$CS$170</definedName>
    <definedName name="v_28_GN2O">Model!$CJ$170</definedName>
    <definedName name="v_28_GN2O_atm">Model!$CR$170</definedName>
    <definedName name="v_28_GNH3">Model!$CH$170</definedName>
    <definedName name="v_28_GNH3_atm">Model!$CP$170</definedName>
    <definedName name="v_28_GNO">Model!$CI$170</definedName>
    <definedName name="v_28_GNO_atm">Model!$CQ$170</definedName>
    <definedName name="v_28_GO2">Model!$CG$170</definedName>
    <definedName name="v_28_GO2_atm">Model!$CO$170</definedName>
    <definedName name="v_28_SALPHA">Model!$CB$170</definedName>
    <definedName name="v_28_SAN">Model!$AY$170</definedName>
    <definedName name="v_28_SB">Model!$F$170</definedName>
    <definedName name="v_28_SCa">Model!$AZ$170</definedName>
    <definedName name="v_28_SCAT">Model!$AX$170</definedName>
    <definedName name="v_28_SCH4">Model!$AT$170</definedName>
    <definedName name="v_28_SCO2">Model!$AV$170</definedName>
    <definedName name="v_28_SFe2">Model!$BC$170</definedName>
    <definedName name="v_28_SH">Model!$CA$170</definedName>
    <definedName name="v_28_SH2">Model!$AU$170</definedName>
    <definedName name="v_28_SK">Model!$BB$170</definedName>
    <definedName name="v_28_SMEOL">Model!$G$170</definedName>
    <definedName name="v_28_SMg">Model!$BA$170</definedName>
    <definedName name="v_28_SN_B">Model!$AI$170</definedName>
    <definedName name="v_28_SN2">Model!$AH$170</definedName>
    <definedName name="v_28_SN2O">Model!$AG$170</definedName>
    <definedName name="v_28_SNH2OH">Model!$AB$170</definedName>
    <definedName name="v_28_SNHx">Model!$AA$170</definedName>
    <definedName name="v_28_SNO_AOB">Model!$AE$170</definedName>
    <definedName name="v_28_SNO_OHO">Model!$AF$170</definedName>
    <definedName name="v_28_SNO2">Model!$AD$170</definedName>
    <definedName name="v_28_SNO3">Model!$AC$170</definedName>
    <definedName name="v_28_SO2">Model!$AS$170</definedName>
    <definedName name="v_28_SORPswitch">Model!$CC$170</definedName>
    <definedName name="v_28_SP_B">Model!$AO$170</definedName>
    <definedName name="v_28_SPFOA">Model!$BW$170</definedName>
    <definedName name="v_28_SPFOS">Model!$BY$170</definedName>
    <definedName name="v_28_SPO4">Model!$AM$170</definedName>
    <definedName name="v_28_SU">Model!$K$170</definedName>
    <definedName name="v_28_SVFA">Model!$E$170</definedName>
    <definedName name="v_28_XACP">Model!$BS$170</definedName>
    <definedName name="v_28_XALGAE">Model!$Z$170</definedName>
    <definedName name="v_28_XAMETO">Model!$X$170</definedName>
    <definedName name="v_28_XAMX">Model!$W$170</definedName>
    <definedName name="v_28_XAOB">Model!$U$170</definedName>
    <definedName name="v_28_XB">Model!$I$170</definedName>
    <definedName name="v_28_XB_e">Model!$J$170</definedName>
    <definedName name="v_28_XBSH">Model!$BT$170</definedName>
    <definedName name="v_28_XCaCO3">Model!$BR$170</definedName>
    <definedName name="v_28_XCASTO">Model!$S$170</definedName>
    <definedName name="v_28_XE">Model!$P$170</definedName>
    <definedName name="v_28_XE_ana">Model!$Q$170</definedName>
    <definedName name="v_28_XHAO_H">Model!$BK$170</definedName>
    <definedName name="v_28_XHAO_H_P">Model!$BN$170</definedName>
    <definedName name="v_28_XHAO_H_P_old">Model!$BP$170</definedName>
    <definedName name="v_28_XHAO_L">Model!$BL$170</definedName>
    <definedName name="v_28_XHAO_L_P">Model!$BO$170</definedName>
    <definedName name="v_28_XHAO_L_P_old">Model!$BQ$170</definedName>
    <definedName name="v_28_XHAO_old">Model!$BM$170</definedName>
    <definedName name="v_28_XHFO_H">Model!$BD$170</definedName>
    <definedName name="v_28_XHFO_H_P">Model!$BG$170</definedName>
    <definedName name="v_28_XHFO_H_P_old">Model!$BI$170</definedName>
    <definedName name="v_28_XHFO_L">Model!$BE$170</definedName>
    <definedName name="v_28_XHFO_L_P">Model!$BH$170</definedName>
    <definedName name="v_28_XHFO_L_P_old">Model!$BJ$170</definedName>
    <definedName name="v_28_XHFO_old">Model!$BF$170</definedName>
    <definedName name="v_28_XHMETO">Model!$Y$170</definedName>
    <definedName name="v_28_XINORG">Model!$AW$170</definedName>
    <definedName name="v_28_XMEOLO">Model!$T$170</definedName>
    <definedName name="v_28_XN_B">Model!$AJ$170</definedName>
    <definedName name="v_28_XN_Be">Model!$AK$170</definedName>
    <definedName name="v_28_XN_U">Model!$AL$170</definedName>
    <definedName name="v_28_XNOB">Model!$V$170</definedName>
    <definedName name="v_28_XOHO">Model!$R$170</definedName>
    <definedName name="v_28_XP_B">Model!$AP$170</definedName>
    <definedName name="v_28_XP_Be">Model!$AQ$170</definedName>
    <definedName name="v_28_XP_U">Model!$AR$170</definedName>
    <definedName name="v_28_XPFOA">Model!$BX$170</definedName>
    <definedName name="v_28_XPFOS">Model!$BZ$170</definedName>
    <definedName name="v_28_XPHA_GAO">Model!$O$170</definedName>
    <definedName name="v_28_XPHA_PAO">Model!$N$170</definedName>
    <definedName name="v_28_XPP">Model!$AN$170</definedName>
    <definedName name="v_28_XSTR">Model!$BU$170</definedName>
    <definedName name="v_28_XU">Model!$M$170</definedName>
    <definedName name="v_28_XVivi">Model!$BV$170</definedName>
    <definedName name="v_29_CB">Model!$H$171</definedName>
    <definedName name="v_29_CU">Model!$L$171</definedName>
    <definedName name="v_29_GCH4">Model!$CE$171</definedName>
    <definedName name="v_29_GCH4_atm">Model!$CM$171</definedName>
    <definedName name="v_29_GCO2">Model!$CD$171</definedName>
    <definedName name="v_29_GCO2_atm">Model!$CL$171</definedName>
    <definedName name="v_29_GH2">Model!$CF$171</definedName>
    <definedName name="v_29_GH2_atm">Model!$CN$171</definedName>
    <definedName name="v_29_GN2">Model!$CK$171</definedName>
    <definedName name="v_29_GN2_atm">Model!$CS$171</definedName>
    <definedName name="v_29_GN2O">Model!$CJ$171</definedName>
    <definedName name="v_29_GN2O_atm">Model!$CR$171</definedName>
    <definedName name="v_29_GNH3">Model!$CH$171</definedName>
    <definedName name="v_29_GNH3_atm">Model!$CP$171</definedName>
    <definedName name="v_29_GNO">Model!$CI$171</definedName>
    <definedName name="v_29_GNO_atm">Model!$CQ$171</definedName>
    <definedName name="v_29_GO2">Model!$CG$171</definedName>
    <definedName name="v_29_GO2_atm">Model!$CO$171</definedName>
    <definedName name="v_29_SALPHA">Model!$CB$171</definedName>
    <definedName name="v_29_SAN">Model!$AY$171</definedName>
    <definedName name="v_29_SB">Model!$F$171</definedName>
    <definedName name="v_29_SCa">Model!$AZ$171</definedName>
    <definedName name="v_29_SCAT">Model!$AX$171</definedName>
    <definedName name="v_29_SCH4">Model!$AT$171</definedName>
    <definedName name="v_29_SCO2">Model!$AV$171</definedName>
    <definedName name="v_29_SFe2">Model!$BC$171</definedName>
    <definedName name="v_29_SH">Model!$CA$171</definedName>
    <definedName name="v_29_SH2">Model!$AU$171</definedName>
    <definedName name="v_29_SK">Model!$BB$171</definedName>
    <definedName name="v_29_SMEOL">Model!$G$171</definedName>
    <definedName name="v_29_SMg">Model!$BA$171</definedName>
    <definedName name="v_29_SN_B">Model!$AI$171</definedName>
    <definedName name="v_29_SN2">Model!$AH$171</definedName>
    <definedName name="v_29_SN2O">Model!$AG$171</definedName>
    <definedName name="v_29_SNH2OH">Model!$AB$171</definedName>
    <definedName name="v_29_SNHx">Model!$AA$171</definedName>
    <definedName name="v_29_SNO_AOB">Model!$AE$171</definedName>
    <definedName name="v_29_SNO_OHO">Model!$AF$171</definedName>
    <definedName name="v_29_SNO2">Model!$AD$171</definedName>
    <definedName name="v_29_SNO3">Model!$AC$171</definedName>
    <definedName name="v_29_SO2">Model!$AS$171</definedName>
    <definedName name="v_29_SORPswitch">Model!$CC$171</definedName>
    <definedName name="v_29_SP_B">Model!$AO$171</definedName>
    <definedName name="v_29_SPFOA">Model!$BW$171</definedName>
    <definedName name="v_29_SPFOS">Model!$BY$171</definedName>
    <definedName name="v_29_SPO4">Model!$AM$171</definedName>
    <definedName name="v_29_SU">Model!$K$171</definedName>
    <definedName name="v_29_SVFA">Model!$E$171</definedName>
    <definedName name="v_29_XACP">Model!$BS$171</definedName>
    <definedName name="v_29_XALGAE">Model!$Z$171</definedName>
    <definedName name="v_29_XAMETO">Model!$X$171</definedName>
    <definedName name="v_29_XAMX">Model!$W$171</definedName>
    <definedName name="v_29_XAOB">Model!$U$171</definedName>
    <definedName name="v_29_XB">Model!$I$171</definedName>
    <definedName name="v_29_XB_e">Model!$J$171</definedName>
    <definedName name="v_29_XBSH">Model!$BT$171</definedName>
    <definedName name="v_29_XCaCO3">Model!$BR$171</definedName>
    <definedName name="v_29_XCASTO">Model!$S$171</definedName>
    <definedName name="v_29_XE">Model!$P$171</definedName>
    <definedName name="v_29_XE_ana">Model!$Q$171</definedName>
    <definedName name="v_29_XHAO_H">Model!$BK$171</definedName>
    <definedName name="v_29_XHAO_H_P">Model!$BN$171</definedName>
    <definedName name="v_29_XHAO_H_P_old">Model!$BP$171</definedName>
    <definedName name="v_29_XHAO_L">Model!$BL$171</definedName>
    <definedName name="v_29_XHAO_L_P">Model!$BO$171</definedName>
    <definedName name="v_29_XHAO_L_P_old">Model!$BQ$171</definedName>
    <definedName name="v_29_XHAO_old">Model!$BM$171</definedName>
    <definedName name="v_29_XHFO_H">Model!$BD$171</definedName>
    <definedName name="v_29_XHFO_H_P">Model!$BG$171</definedName>
    <definedName name="v_29_XHFO_H_P_old">Model!$BI$171</definedName>
    <definedName name="v_29_XHFO_L">Model!$BE$171</definedName>
    <definedName name="v_29_XHFO_L_P">Model!$BH$171</definedName>
    <definedName name="v_29_XHFO_L_P_old">Model!$BJ$171</definedName>
    <definedName name="v_29_XHFO_old">Model!$BF$171</definedName>
    <definedName name="v_29_XHMETO">Model!$Y$171</definedName>
    <definedName name="v_29_XINORG">Model!$AW$171</definedName>
    <definedName name="v_29_XMEOLO">Model!$T$171</definedName>
    <definedName name="v_29_XN_B">Model!$AJ$171</definedName>
    <definedName name="v_29_XN_Be">Model!$AK$171</definedName>
    <definedName name="v_29_XN_U">Model!$AL$171</definedName>
    <definedName name="v_29_XNOB">Model!$V$171</definedName>
    <definedName name="v_29_XOHO">Model!$R$171</definedName>
    <definedName name="v_29_XP_B">Model!$AP$171</definedName>
    <definedName name="v_29_XP_Be">Model!$AQ$171</definedName>
    <definedName name="v_29_XP_U">Model!$AR$171</definedName>
    <definedName name="v_29_XPFOA">Model!$BX$171</definedName>
    <definedName name="v_29_XPFOS">Model!$BZ$171</definedName>
    <definedName name="v_29_XPHA_GAO">Model!$O$171</definedName>
    <definedName name="v_29_XPHA_PAO">Model!$N$171</definedName>
    <definedName name="v_29_XPP">Model!$AN$171</definedName>
    <definedName name="v_29_XSTR">Model!$BU$171</definedName>
    <definedName name="v_29_XU">Model!$M$171</definedName>
    <definedName name="v_29_XVivi">Model!$BV$171</definedName>
    <definedName name="v_3_CB">Model!$H$145</definedName>
    <definedName name="v_3_CU">Model!$L$145</definedName>
    <definedName name="v_3_GCH4">Model!$CE$145</definedName>
    <definedName name="v_3_GCH4_atm">Model!$CM$145</definedName>
    <definedName name="v_3_GCO2">Model!$CD$145</definedName>
    <definedName name="v_3_GCO2_atm">Model!$CL$145</definedName>
    <definedName name="v_3_GH2">Model!$CF$145</definedName>
    <definedName name="v_3_GH2_atm">Model!$CN$145</definedName>
    <definedName name="v_3_GN2">Model!$CK$145</definedName>
    <definedName name="v_3_GN2_atm">Model!$CS$145</definedName>
    <definedName name="v_3_GN2O">Model!$CJ$145</definedName>
    <definedName name="v_3_GN2O_atm">Model!$CR$145</definedName>
    <definedName name="v_3_GNH3">Model!$CH$145</definedName>
    <definedName name="v_3_GNH3_atm">Model!$CP$145</definedName>
    <definedName name="v_3_GNO">Model!$CI$145</definedName>
    <definedName name="v_3_GNO_atm">Model!$CQ$145</definedName>
    <definedName name="v_3_GO2">Model!$CG$145</definedName>
    <definedName name="v_3_GO2_atm">Model!$CO$145</definedName>
    <definedName name="v_3_SALPHA">Model!$CB$145</definedName>
    <definedName name="v_3_SAN">Model!$AY$145</definedName>
    <definedName name="v_3_SB">Model!$F$145</definedName>
    <definedName name="v_3_SCa">Model!$AZ$145</definedName>
    <definedName name="v_3_SCAT">Model!$AX$145</definedName>
    <definedName name="v_3_SCH4">Model!$AT$145</definedName>
    <definedName name="v_3_SCO2">Model!$AV$145</definedName>
    <definedName name="v_3_SFe2">Model!$BC$145</definedName>
    <definedName name="v_3_SH">Model!$CA$145</definedName>
    <definedName name="v_3_SH2">Model!$AU$145</definedName>
    <definedName name="v_3_SK">Model!$BB$145</definedName>
    <definedName name="v_3_SMEOL">Model!$G$145</definedName>
    <definedName name="v_3_SMg">Model!$BA$145</definedName>
    <definedName name="v_3_SN_B">Model!$AI$145</definedName>
    <definedName name="v_3_SN2">Model!$AH$145</definedName>
    <definedName name="v_3_SN2O">Model!$AG$145</definedName>
    <definedName name="v_3_SNH2OH">Model!$AB$145</definedName>
    <definedName name="v_3_SNHx">Model!$AA$145</definedName>
    <definedName name="v_3_SNO_AOB">Model!$AE$145</definedName>
    <definedName name="v_3_SNO_OHO">Model!$AF$145</definedName>
    <definedName name="v_3_SNO2">Model!$AD$145</definedName>
    <definedName name="v_3_SNO3">Model!$AC$145</definedName>
    <definedName name="v_3_SO2">Model!$AS$145</definedName>
    <definedName name="v_3_SORPswitch">Model!$CC$145</definedName>
    <definedName name="v_3_SP_B">Model!$AO$145</definedName>
    <definedName name="v_3_SPFOA">Model!$BW$145</definedName>
    <definedName name="v_3_SPFOS">Model!$BY$145</definedName>
    <definedName name="v_3_SPO4">Model!$AM$145</definedName>
    <definedName name="v_3_SU">Model!$K$145</definedName>
    <definedName name="v_3_SVFA">Model!$E$145</definedName>
    <definedName name="v_3_XACP">Model!$BS$145</definedName>
    <definedName name="v_3_XALGAE">Model!$Z$145</definedName>
    <definedName name="v_3_XAMETO">Model!$X$145</definedName>
    <definedName name="v_3_XAMX">Model!$W$145</definedName>
    <definedName name="v_3_XAOB">Model!$U$145</definedName>
    <definedName name="v_3_XB">Model!$I$145</definedName>
    <definedName name="v_3_XB_e">Model!$J$145</definedName>
    <definedName name="v_3_XBSH">Model!$BT$145</definedName>
    <definedName name="v_3_XCaCO3">Model!$BR$145</definedName>
    <definedName name="v_3_XCASTO">Model!$S$145</definedName>
    <definedName name="v_3_XE">Model!$P$145</definedName>
    <definedName name="v_3_XE_ana">Model!$Q$145</definedName>
    <definedName name="v_3_XHAO_H">Model!$BK$145</definedName>
    <definedName name="v_3_XHAO_H_P">Model!$BN$145</definedName>
    <definedName name="v_3_XHAO_H_P_old">Model!$BP$145</definedName>
    <definedName name="v_3_XHAO_L">Model!$BL$145</definedName>
    <definedName name="v_3_XHAO_L_P">Model!$BO$145</definedName>
    <definedName name="v_3_XHAO_L_P_old">Model!$BQ$145</definedName>
    <definedName name="v_3_XHAO_old">Model!$BM$145</definedName>
    <definedName name="v_3_XHFO_H">Model!$BD$145</definedName>
    <definedName name="v_3_XHFO_H_P">Model!$BG$145</definedName>
    <definedName name="v_3_XHFO_H_P_old">Model!$BI$145</definedName>
    <definedName name="v_3_XHFO_L">Model!$BE$145</definedName>
    <definedName name="v_3_XHFO_L_P">Model!$BH$145</definedName>
    <definedName name="v_3_XHFO_L_P_old">Model!$BJ$145</definedName>
    <definedName name="v_3_XHFO_old">Model!$BF$145</definedName>
    <definedName name="v_3_XHMETO">Model!$Y$145</definedName>
    <definedName name="v_3_XINORG">Model!$AW$145</definedName>
    <definedName name="v_3_XMEOLO">Model!$T$145</definedName>
    <definedName name="v_3_XN_B">Model!$AJ$145</definedName>
    <definedName name="v_3_XN_Be">Model!$AK$145</definedName>
    <definedName name="v_3_XN_U">Model!$AL$145</definedName>
    <definedName name="v_3_XNOB">Model!$V$145</definedName>
    <definedName name="v_3_XOHO">Model!$R$145</definedName>
    <definedName name="v_3_XP_B">Model!$AP$145</definedName>
    <definedName name="v_3_XP_Be">Model!$AQ$145</definedName>
    <definedName name="v_3_XP_U">Model!$AR$145</definedName>
    <definedName name="v_3_XPFOA">Model!$BX$145</definedName>
    <definedName name="v_3_XPFOS">Model!$BZ$145</definedName>
    <definedName name="v_3_XPHA_GAO">Model!$O$145</definedName>
    <definedName name="v_3_XPHA_PAO">Model!$N$145</definedName>
    <definedName name="v_3_XPP">Model!$AN$145</definedName>
    <definedName name="v_3_XSTR">Model!$BU$145</definedName>
    <definedName name="v_3_XU">Model!$M$145</definedName>
    <definedName name="v_3_XVivi">Model!$BV$145</definedName>
    <definedName name="v_30_CB">Model!$H$172</definedName>
    <definedName name="v_30_CU">Model!$L$172</definedName>
    <definedName name="v_30_GCH4">Model!$CE$172</definedName>
    <definedName name="v_30_GCH4_atm">Model!$CM$172</definedName>
    <definedName name="v_30_GCO2">Model!$CD$172</definedName>
    <definedName name="v_30_GCO2_atm">Model!$CL$172</definedName>
    <definedName name="v_30_GH2">Model!$CF$172</definedName>
    <definedName name="v_30_GH2_atm">Model!$CN$172</definedName>
    <definedName name="v_30_GN2">Model!$CK$172</definedName>
    <definedName name="v_30_GN2_atm">Model!$CS$172</definedName>
    <definedName name="v_30_GN2O">Model!$CJ$172</definedName>
    <definedName name="v_30_GN2O_atm">Model!$CR$172</definedName>
    <definedName name="v_30_GNH3">Model!$CH$172</definedName>
    <definedName name="v_30_GNH3_atm">Model!$CP$172</definedName>
    <definedName name="v_30_GNO">Model!$CI$172</definedName>
    <definedName name="v_30_GNO_atm">Model!$CQ$172</definedName>
    <definedName name="v_30_GO2">Model!$CG$172</definedName>
    <definedName name="v_30_GO2_atm">Model!$CO$172</definedName>
    <definedName name="v_30_SALPHA">Model!$CB$172</definedName>
    <definedName name="v_30_SAN">Model!$AY$172</definedName>
    <definedName name="v_30_SB">Model!$F$172</definedName>
    <definedName name="v_30_SCa">Model!$AZ$172</definedName>
    <definedName name="v_30_SCAT">Model!$AX$172</definedName>
    <definedName name="v_30_SCH4">Model!$AT$172</definedName>
    <definedName name="v_30_SCO2">Model!$AV$172</definedName>
    <definedName name="v_30_SFe2">Model!$BC$172</definedName>
    <definedName name="v_30_SH">Model!$CA$172</definedName>
    <definedName name="v_30_SH2">Model!$AU$172</definedName>
    <definedName name="v_30_SK">Model!$BB$172</definedName>
    <definedName name="v_30_SMEOL">Model!$G$172</definedName>
    <definedName name="v_30_SMg">Model!$BA$172</definedName>
    <definedName name="v_30_SN_B">Model!$AI$172</definedName>
    <definedName name="v_30_SN2">Model!$AH$172</definedName>
    <definedName name="v_30_SN2O">Model!$AG$172</definedName>
    <definedName name="v_30_SNH2OH">Model!$AB$172</definedName>
    <definedName name="v_30_SNHx">Model!$AA$172</definedName>
    <definedName name="v_30_SNO_AOB">Model!$AE$172</definedName>
    <definedName name="v_30_SNO_OHO">Model!$AF$172</definedName>
    <definedName name="v_30_SNO2">Model!$AD$172</definedName>
    <definedName name="v_30_SNO3">Model!$AC$172</definedName>
    <definedName name="v_30_SO2">Model!$AS$172</definedName>
    <definedName name="v_30_SORPswitch">Model!$CC$172</definedName>
    <definedName name="v_30_SP_B">Model!$AO$172</definedName>
    <definedName name="v_30_SPFOA">Model!$BW$172</definedName>
    <definedName name="v_30_SPFOS">Model!$BY$172</definedName>
    <definedName name="v_30_SPO4">Model!$AM$172</definedName>
    <definedName name="v_30_SU">Model!$K$172</definedName>
    <definedName name="v_30_SVFA">Model!$E$172</definedName>
    <definedName name="v_30_XACP">Model!$BS$172</definedName>
    <definedName name="v_30_XALGAE">Model!$Z$172</definedName>
    <definedName name="v_30_XAMETO">Model!$X$172</definedName>
    <definedName name="v_30_XAMX">Model!$W$172</definedName>
    <definedName name="v_30_XAOB">Model!$U$172</definedName>
    <definedName name="v_30_XB">Model!$I$172</definedName>
    <definedName name="v_30_XB_e">Model!$J$172</definedName>
    <definedName name="v_30_XBSH">Model!$BT$172</definedName>
    <definedName name="v_30_XCaCO3">Model!$BR$172</definedName>
    <definedName name="v_30_XCASTO">Model!$S$172</definedName>
    <definedName name="v_30_XE">Model!$P$172</definedName>
    <definedName name="v_30_XE_ana">Model!$Q$172</definedName>
    <definedName name="v_30_XHAO_H">Model!$BK$172</definedName>
    <definedName name="v_30_XHAO_H_P">Model!$BN$172</definedName>
    <definedName name="v_30_XHAO_H_P_old">Model!$BP$172</definedName>
    <definedName name="v_30_XHAO_L">Model!$BL$172</definedName>
    <definedName name="v_30_XHAO_L_P">Model!$BO$172</definedName>
    <definedName name="v_30_XHAO_L_P_old">Model!$BQ$172</definedName>
    <definedName name="v_30_XHAO_old">Model!$BM$172</definedName>
    <definedName name="v_30_XHFO_H">Model!$BD$172</definedName>
    <definedName name="v_30_XHFO_H_P">Model!$BG$172</definedName>
    <definedName name="v_30_XHFO_H_P_old">Model!$BI$172</definedName>
    <definedName name="v_30_XHFO_L">Model!$BE$172</definedName>
    <definedName name="v_30_XHFO_L_P">Model!$BH$172</definedName>
    <definedName name="v_30_XHFO_L_P_old">Model!$BJ$172</definedName>
    <definedName name="v_30_XHFO_old">Model!$BF$172</definedName>
    <definedName name="v_30_XHMETO">Model!$Y$172</definedName>
    <definedName name="v_30_XINORG">Model!$AW$172</definedName>
    <definedName name="v_30_XMEOLO">Model!$T$172</definedName>
    <definedName name="v_30_XN_B">Model!$AJ$172</definedName>
    <definedName name="v_30_XN_Be">Model!$AK$172</definedName>
    <definedName name="v_30_XN_U">Model!$AL$172</definedName>
    <definedName name="v_30_XNOB">Model!$V$172</definedName>
    <definedName name="v_30_XOHO">Model!$R$172</definedName>
    <definedName name="v_30_XP_B">Model!$AP$172</definedName>
    <definedName name="v_30_XP_Be">Model!$AQ$172</definedName>
    <definedName name="v_30_XP_U">Model!$AR$172</definedName>
    <definedName name="v_30_XPFOA">Model!$BX$172</definedName>
    <definedName name="v_30_XPFOS">Model!$BZ$172</definedName>
    <definedName name="v_30_XPHA_GAO">Model!$O$172</definedName>
    <definedName name="v_30_XPHA_PAO">Model!$N$172</definedName>
    <definedName name="v_30_XPP">Model!$AN$172</definedName>
    <definedName name="v_30_XSTR">Model!$BU$172</definedName>
    <definedName name="v_30_XU">Model!$M$172</definedName>
    <definedName name="v_30_XVivi">Model!$BV$172</definedName>
    <definedName name="v_31_CB">Model!$H$173</definedName>
    <definedName name="v_31_CU">Model!$L$173</definedName>
    <definedName name="v_31_GCH4">Model!$CE$173</definedName>
    <definedName name="v_31_GCH4_atm">Model!$CM$173</definedName>
    <definedName name="v_31_GCO2">Model!$CD$173</definedName>
    <definedName name="v_31_GCO2_atm">Model!$CL$173</definedName>
    <definedName name="v_31_GH2">Model!$CF$173</definedName>
    <definedName name="v_31_GH2_atm">Model!$CN$173</definedName>
    <definedName name="v_31_GN2">Model!$CK$173</definedName>
    <definedName name="v_31_GN2_atm">Model!$CS$173</definedName>
    <definedName name="v_31_GN2O">Model!$CJ$173</definedName>
    <definedName name="v_31_GN2O_atm">Model!$CR$173</definedName>
    <definedName name="v_31_GNH3">Model!$CH$173</definedName>
    <definedName name="v_31_GNH3_atm">Model!$CP$173</definedName>
    <definedName name="v_31_GNO">Model!$CI$173</definedName>
    <definedName name="v_31_GNO_atm">Model!$CQ$173</definedName>
    <definedName name="v_31_GO2">Model!$CG$173</definedName>
    <definedName name="v_31_GO2_atm">Model!$CO$173</definedName>
    <definedName name="v_31_SALPHA">Model!$CB$173</definedName>
    <definedName name="v_31_SAN">Model!$AY$173</definedName>
    <definedName name="v_31_SB">Model!$F$173</definedName>
    <definedName name="v_31_SCa">Model!$AZ$173</definedName>
    <definedName name="v_31_SCAT">Model!$AX$173</definedName>
    <definedName name="v_31_SCH4">Model!$AT$173</definedName>
    <definedName name="v_31_SCO2">Model!$AV$173</definedName>
    <definedName name="v_31_SFe2">Model!$BC$173</definedName>
    <definedName name="v_31_SH">Model!$CA$173</definedName>
    <definedName name="v_31_SH2">Model!$AU$173</definedName>
    <definedName name="v_31_SK">Model!$BB$173</definedName>
    <definedName name="v_31_SMEOL">Model!$G$173</definedName>
    <definedName name="v_31_SMg">Model!$BA$173</definedName>
    <definedName name="v_31_SN_B">Model!$AI$173</definedName>
    <definedName name="v_31_SN2">Model!$AH$173</definedName>
    <definedName name="v_31_SN2O">Model!$AG$173</definedName>
    <definedName name="v_31_SNH2OH">Model!$AB$173</definedName>
    <definedName name="v_31_SNHx">Model!$AA$173</definedName>
    <definedName name="v_31_SNO_AOB">Model!$AE$173</definedName>
    <definedName name="v_31_SNO_OHO">Model!$AF$173</definedName>
    <definedName name="v_31_SNO2">Model!$AD$173</definedName>
    <definedName name="v_31_SNO3">Model!$AC$173</definedName>
    <definedName name="v_31_SO2">Model!$AS$173</definedName>
    <definedName name="v_31_SORPswitch">Model!$CC$173</definedName>
    <definedName name="v_31_SP_B">Model!$AO$173</definedName>
    <definedName name="v_31_SPFOA">Model!$BW$173</definedName>
    <definedName name="v_31_SPFOS">Model!$BY$173</definedName>
    <definedName name="v_31_SPO4">Model!$AM$173</definedName>
    <definedName name="v_31_SU">Model!$K$173</definedName>
    <definedName name="v_31_SVFA">Model!$E$173</definedName>
    <definedName name="v_31_XACP">Model!$BS$173</definedName>
    <definedName name="v_31_XALGAE">Model!$Z$173</definedName>
    <definedName name="v_31_XAMETO">Model!$X$173</definedName>
    <definedName name="v_31_XAMX">Model!$W$173</definedName>
    <definedName name="v_31_XAOB">Model!$U$173</definedName>
    <definedName name="v_31_XB">Model!$I$173</definedName>
    <definedName name="v_31_XB_e">Model!$J$173</definedName>
    <definedName name="v_31_XBSH">Model!$BT$173</definedName>
    <definedName name="v_31_XCaCO3">Model!$BR$173</definedName>
    <definedName name="v_31_XCASTO">Model!$S$173</definedName>
    <definedName name="v_31_XE">Model!$P$173</definedName>
    <definedName name="v_31_XE_ana">Model!$Q$173</definedName>
    <definedName name="v_31_XHAO_H">Model!$BK$173</definedName>
    <definedName name="v_31_XHAO_H_P">Model!$BN$173</definedName>
    <definedName name="v_31_XHAO_H_P_old">Model!$BP$173</definedName>
    <definedName name="v_31_XHAO_L">Model!$BL$173</definedName>
    <definedName name="v_31_XHAO_L_P">Model!$BO$173</definedName>
    <definedName name="v_31_XHAO_L_P_old">Model!$BQ$173</definedName>
    <definedName name="v_31_XHAO_old">Model!$BM$173</definedName>
    <definedName name="v_31_XHFO_H">Model!$BD$173</definedName>
    <definedName name="v_31_XHFO_H_P">Model!$BG$173</definedName>
    <definedName name="v_31_XHFO_H_P_old">Model!$BI$173</definedName>
    <definedName name="v_31_XHFO_L">Model!$BE$173</definedName>
    <definedName name="v_31_XHFO_L_P">Model!$BH$173</definedName>
    <definedName name="v_31_XHFO_L_P_old">Model!$BJ$173</definedName>
    <definedName name="v_31_XHFO_old">Model!$BF$173</definedName>
    <definedName name="v_31_XHMETO">Model!$Y$173</definedName>
    <definedName name="v_31_XINORG">Model!$AW$173</definedName>
    <definedName name="v_31_XMEOLO">Model!$T$173</definedName>
    <definedName name="v_31_XN_B">Model!$AJ$173</definedName>
    <definedName name="v_31_XN_Be">Model!$AK$173</definedName>
    <definedName name="v_31_XN_U">Model!$AL$173</definedName>
    <definedName name="v_31_XNOB">Model!$V$173</definedName>
    <definedName name="v_31_XOHO">Model!$R$173</definedName>
    <definedName name="v_31_XP_B">Model!$AP$173</definedName>
    <definedName name="v_31_XP_Be">Model!$AQ$173</definedName>
    <definedName name="v_31_XP_U">Model!$AR$173</definedName>
    <definedName name="v_31_XPFOA">Model!$BX$173</definedName>
    <definedName name="v_31_XPFOS">Model!$BZ$173</definedName>
    <definedName name="v_31_XPHA_GAO">Model!$O$173</definedName>
    <definedName name="v_31_XPHA_PAO">Model!$N$173</definedName>
    <definedName name="v_31_XPP">Model!$AN$173</definedName>
    <definedName name="v_31_XSTR">Model!$BU$173</definedName>
    <definedName name="v_31_XU">Model!$M$173</definedName>
    <definedName name="v_31_XVivi">Model!$BV$173</definedName>
    <definedName name="v_32_CB">Model!$H$174</definedName>
    <definedName name="v_32_CU">Model!$L$174</definedName>
    <definedName name="v_32_GCH4">Model!$CE$174</definedName>
    <definedName name="v_32_GCH4_atm">Model!$CM$174</definedName>
    <definedName name="v_32_GCO2">Model!$CD$174</definedName>
    <definedName name="v_32_GCO2_atm">Model!$CL$174</definedName>
    <definedName name="v_32_GH2">Model!$CF$174</definedName>
    <definedName name="v_32_GH2_atm">Model!$CN$174</definedName>
    <definedName name="v_32_GN2">Model!$CK$174</definedName>
    <definedName name="v_32_GN2_atm">Model!$CS$174</definedName>
    <definedName name="v_32_GN2O">Model!$CJ$174</definedName>
    <definedName name="v_32_GN2O_atm">Model!$CR$174</definedName>
    <definedName name="v_32_GNH3">Model!$CH$174</definedName>
    <definedName name="v_32_GNH3_atm">Model!$CP$174</definedName>
    <definedName name="v_32_GNO">Model!$CI$174</definedName>
    <definedName name="v_32_GNO_atm">Model!$CQ$174</definedName>
    <definedName name="v_32_GO2">Model!$CG$174</definedName>
    <definedName name="v_32_GO2_atm">Model!$CO$174</definedName>
    <definedName name="v_32_SALPHA">Model!$CB$174</definedName>
    <definedName name="v_32_SAN">Model!$AY$174</definedName>
    <definedName name="v_32_SB">Model!$F$174</definedName>
    <definedName name="v_32_SCa">Model!$AZ$174</definedName>
    <definedName name="v_32_SCAT">Model!$AX$174</definedName>
    <definedName name="v_32_SCH4">Model!$AT$174</definedName>
    <definedName name="v_32_SCO2">Model!$AV$174</definedName>
    <definedName name="v_32_SFe2">Model!$BC$174</definedName>
    <definedName name="v_32_SH">Model!$CA$174</definedName>
    <definedName name="v_32_SH2">Model!$AU$174</definedName>
    <definedName name="v_32_SK">Model!$BB$174</definedName>
    <definedName name="v_32_SMEOL">Model!$G$174</definedName>
    <definedName name="v_32_SMg">Model!$BA$174</definedName>
    <definedName name="v_32_SN_B">Model!$AI$174</definedName>
    <definedName name="v_32_SN2">Model!$AH$174</definedName>
    <definedName name="v_32_SN2O">Model!$AG$174</definedName>
    <definedName name="v_32_SNH2OH">Model!$AB$174</definedName>
    <definedName name="v_32_SNHx">Model!$AA$174</definedName>
    <definedName name="v_32_SNO_AOB">Model!$AE$174</definedName>
    <definedName name="v_32_SNO_OHO">Model!$AF$174</definedName>
    <definedName name="v_32_SNO2">Model!$AD$174</definedName>
    <definedName name="v_32_SNO3">Model!$AC$174</definedName>
    <definedName name="v_32_SO2">Model!$AS$174</definedName>
    <definedName name="v_32_SORPswitch">Model!$CC$174</definedName>
    <definedName name="v_32_SP_B">Model!$AO$174</definedName>
    <definedName name="v_32_SPFOA">Model!$BW$174</definedName>
    <definedName name="v_32_SPFOS">Model!$BY$174</definedName>
    <definedName name="v_32_SPO4">Model!$AM$174</definedName>
    <definedName name="v_32_SU">Model!$K$174</definedName>
    <definedName name="v_32_SVFA">Model!$E$174</definedName>
    <definedName name="v_32_XACP">Model!$BS$174</definedName>
    <definedName name="v_32_XALGAE">Model!$Z$174</definedName>
    <definedName name="v_32_XAMETO">Model!$X$174</definedName>
    <definedName name="v_32_XAMX">Model!$W$174</definedName>
    <definedName name="v_32_XAOB">Model!$U$174</definedName>
    <definedName name="v_32_XB">Model!$I$174</definedName>
    <definedName name="v_32_XB_e">Model!$J$174</definedName>
    <definedName name="v_32_XBSH">Model!$BT$174</definedName>
    <definedName name="v_32_XCaCO3">Model!$BR$174</definedName>
    <definedName name="v_32_XCASTO">Model!$S$174</definedName>
    <definedName name="v_32_XE">Model!$P$174</definedName>
    <definedName name="v_32_XE_ana">Model!$Q$174</definedName>
    <definedName name="v_32_XHAO_H">Model!$BK$174</definedName>
    <definedName name="v_32_XHAO_H_P">Model!$BN$174</definedName>
    <definedName name="v_32_XHAO_H_P_old">Model!$BP$174</definedName>
    <definedName name="v_32_XHAO_L">Model!$BL$174</definedName>
    <definedName name="v_32_XHAO_L_P">Model!$BO$174</definedName>
    <definedName name="v_32_XHAO_L_P_old">Model!$BQ$174</definedName>
    <definedName name="v_32_XHAO_old">Model!$BM$174</definedName>
    <definedName name="v_32_XHFO_H">Model!$BD$174</definedName>
    <definedName name="v_32_XHFO_H_P">Model!$BG$174</definedName>
    <definedName name="v_32_XHFO_H_P_old">Model!$BI$174</definedName>
    <definedName name="v_32_XHFO_L">Model!$BE$174</definedName>
    <definedName name="v_32_XHFO_L_P">Model!$BH$174</definedName>
    <definedName name="v_32_XHFO_L_P_old">Model!$BJ$174</definedName>
    <definedName name="v_32_XHFO_old">Model!$BF$174</definedName>
    <definedName name="v_32_XHMETO">Model!$Y$174</definedName>
    <definedName name="v_32_XINORG">Model!$AW$174</definedName>
    <definedName name="v_32_XMEOLO">Model!$T$174</definedName>
    <definedName name="v_32_XN_B">Model!$AJ$174</definedName>
    <definedName name="v_32_XN_Be">Model!$AK$174</definedName>
    <definedName name="v_32_XN_U">Model!$AL$174</definedName>
    <definedName name="v_32_XNOB">Model!$V$174</definedName>
    <definedName name="v_32_XOHO">Model!$R$174</definedName>
    <definedName name="v_32_XP_B">Model!$AP$174</definedName>
    <definedName name="v_32_XP_Be">Model!$AQ$174</definedName>
    <definedName name="v_32_XP_U">Model!$AR$174</definedName>
    <definedName name="v_32_XPFOA">Model!$BX$174</definedName>
    <definedName name="v_32_XPFOS">Model!$BZ$174</definedName>
    <definedName name="v_32_XPHA_GAO">Model!$O$174</definedName>
    <definedName name="v_32_XPHA_PAO">Model!$N$174</definedName>
    <definedName name="v_32_XPP">Model!$AN$174</definedName>
    <definedName name="v_32_XSTR">Model!$BU$174</definedName>
    <definedName name="v_32_XU">Model!$M$174</definedName>
    <definedName name="v_32_XVivi">Model!$BV$174</definedName>
    <definedName name="v_33_CB">Model!$H$175</definedName>
    <definedName name="v_33_CU">Model!$L$175</definedName>
    <definedName name="v_33_GCH4">Model!$CE$175</definedName>
    <definedName name="v_33_GCH4_atm">Model!$CM$175</definedName>
    <definedName name="v_33_GCO2">Model!$CD$175</definedName>
    <definedName name="v_33_GCO2_atm">Model!$CL$175</definedName>
    <definedName name="v_33_GH2">Model!$CF$175</definedName>
    <definedName name="v_33_GH2_atm">Model!$CN$175</definedName>
    <definedName name="v_33_GN2">Model!$CK$175</definedName>
    <definedName name="v_33_GN2_atm">Model!$CS$175</definedName>
    <definedName name="v_33_GN2O">Model!$CJ$175</definedName>
    <definedName name="v_33_GN2O_atm">Model!$CR$175</definedName>
    <definedName name="v_33_GNH3">Model!$CH$175</definedName>
    <definedName name="v_33_GNH3_atm">Model!$CP$175</definedName>
    <definedName name="v_33_GNO">Model!$CI$175</definedName>
    <definedName name="v_33_GNO_atm">Model!$CQ$175</definedName>
    <definedName name="v_33_GO2">Model!$CG$175</definedName>
    <definedName name="v_33_GO2_atm">Model!$CO$175</definedName>
    <definedName name="v_33_SALPHA">Model!$CB$175</definedName>
    <definedName name="v_33_SAN">Model!$AY$175</definedName>
    <definedName name="v_33_SB">Model!$F$175</definedName>
    <definedName name="v_33_SCa">Model!$AZ$175</definedName>
    <definedName name="v_33_SCAT">Model!$AX$175</definedName>
    <definedName name="v_33_SCH4">Model!$AT$175</definedName>
    <definedName name="v_33_SCO2">Model!$AV$175</definedName>
    <definedName name="v_33_SFe2">Model!$BC$175</definedName>
    <definedName name="v_33_SH">Model!$CA$175</definedName>
    <definedName name="v_33_SH2">Model!$AU$175</definedName>
    <definedName name="v_33_SK">Model!$BB$175</definedName>
    <definedName name="v_33_SMEOL">Model!$G$175</definedName>
    <definedName name="v_33_SMg">Model!$BA$175</definedName>
    <definedName name="v_33_SN_B">Model!$AI$175</definedName>
    <definedName name="v_33_SN2">Model!$AH$175</definedName>
    <definedName name="v_33_SN2O">Model!$AG$175</definedName>
    <definedName name="v_33_SNH2OH">Model!$AB$175</definedName>
    <definedName name="v_33_SNHx">Model!$AA$175</definedName>
    <definedName name="v_33_SNO_AOB">Model!$AE$175</definedName>
    <definedName name="v_33_SNO_OHO">Model!$AF$175</definedName>
    <definedName name="v_33_SNO2">Model!$AD$175</definedName>
    <definedName name="v_33_SNO3">Model!$AC$175</definedName>
    <definedName name="v_33_SO2">Model!$AS$175</definedName>
    <definedName name="v_33_SORPswitch">Model!$CC$175</definedName>
    <definedName name="v_33_SP_B">Model!$AO$175</definedName>
    <definedName name="v_33_SPFOA">Model!$BW$175</definedName>
    <definedName name="v_33_SPFOS">Model!$BY$175</definedName>
    <definedName name="v_33_SPO4">Model!$AM$175</definedName>
    <definedName name="v_33_SU">Model!$K$175</definedName>
    <definedName name="v_33_SVFA">Model!$E$175</definedName>
    <definedName name="v_33_XACP">Model!$BS$175</definedName>
    <definedName name="v_33_XALGAE">Model!$Z$175</definedName>
    <definedName name="v_33_XAMETO">Model!$X$175</definedName>
    <definedName name="v_33_XAMX">Model!$W$175</definedName>
    <definedName name="v_33_XAOB">Model!$U$175</definedName>
    <definedName name="v_33_XB">Model!$I$175</definedName>
    <definedName name="v_33_XB_e">Model!$J$175</definedName>
    <definedName name="v_33_XBSH">Model!$BT$175</definedName>
    <definedName name="v_33_XCaCO3">Model!$BR$175</definedName>
    <definedName name="v_33_XCASTO">Model!$S$175</definedName>
    <definedName name="v_33_XE">Model!$P$175</definedName>
    <definedName name="v_33_XE_ana">Model!$Q$175</definedName>
    <definedName name="v_33_XHAO_H">Model!$BK$175</definedName>
    <definedName name="v_33_XHAO_H_P">Model!$BN$175</definedName>
    <definedName name="v_33_XHAO_H_P_old">Model!$BP$175</definedName>
    <definedName name="v_33_XHAO_L">Model!$BL$175</definedName>
    <definedName name="v_33_XHAO_L_P">Model!$BO$175</definedName>
    <definedName name="v_33_XHAO_L_P_old">Model!$BQ$175</definedName>
    <definedName name="v_33_XHAO_old">Model!$BM$175</definedName>
    <definedName name="v_33_XHFO_H">Model!$BD$175</definedName>
    <definedName name="v_33_XHFO_H_P">Model!$BG$175</definedName>
    <definedName name="v_33_XHFO_H_P_old">Model!$BI$175</definedName>
    <definedName name="v_33_XHFO_L">Model!$BE$175</definedName>
    <definedName name="v_33_XHFO_L_P">Model!$BH$175</definedName>
    <definedName name="v_33_XHFO_L_P_old">Model!$BJ$175</definedName>
    <definedName name="v_33_XHFO_old">Model!$BF$175</definedName>
    <definedName name="v_33_XHMETO">Model!$Y$175</definedName>
    <definedName name="v_33_XINORG">Model!$AW$175</definedName>
    <definedName name="v_33_XMEOLO">Model!$T$175</definedName>
    <definedName name="v_33_XN_B">Model!$AJ$175</definedName>
    <definedName name="v_33_XN_Be">Model!$AK$175</definedName>
    <definedName name="v_33_XN_U">Model!$AL$175</definedName>
    <definedName name="v_33_XNOB">Model!$V$175</definedName>
    <definedName name="v_33_XOHO">Model!$R$175</definedName>
    <definedName name="v_33_XP_B">Model!$AP$175</definedName>
    <definedName name="v_33_XP_Be">Model!$AQ$175</definedName>
    <definedName name="v_33_XP_U">Model!$AR$175</definedName>
    <definedName name="v_33_XPFOA">Model!$BX$175</definedName>
    <definedName name="v_33_XPFOS">Model!$BZ$175</definedName>
    <definedName name="v_33_XPHA_GAO">Model!$O$175</definedName>
    <definedName name="v_33_XPHA_PAO">Model!$N$175</definedName>
    <definedName name="v_33_XPP">Model!$AN$175</definedName>
    <definedName name="v_33_XSTR">Model!$BU$175</definedName>
    <definedName name="v_33_XU">Model!$M$175</definedName>
    <definedName name="v_33_XVivi">Model!$BV$175</definedName>
    <definedName name="v_34_CB">Model!$H$176</definedName>
    <definedName name="v_34_CU">Model!$L$176</definedName>
    <definedName name="v_34_GCH4">Model!$CE$176</definedName>
    <definedName name="v_34_GCH4_atm">Model!$CM$176</definedName>
    <definedName name="v_34_GCO2">Model!$CD$176</definedName>
    <definedName name="v_34_GCO2_atm">Model!$CL$176</definedName>
    <definedName name="v_34_GH2">Model!$CF$176</definedName>
    <definedName name="v_34_GH2_atm">Model!$CN$176</definedName>
    <definedName name="v_34_GN2">Model!$CK$176</definedName>
    <definedName name="v_34_GN2_atm">Model!$CS$176</definedName>
    <definedName name="v_34_GN2O">Model!$CJ$176</definedName>
    <definedName name="v_34_GN2O_atm">Model!$CR$176</definedName>
    <definedName name="v_34_GNH3">Model!$CH$176</definedName>
    <definedName name="v_34_GNH3_atm">Model!$CP$176</definedName>
    <definedName name="v_34_GNO">Model!$CI$176</definedName>
    <definedName name="v_34_GNO_atm">Model!$CQ$176</definedName>
    <definedName name="v_34_GO2">Model!$CG$176</definedName>
    <definedName name="v_34_GO2_atm">Model!$CO$176</definedName>
    <definedName name="v_34_SALPHA">Model!$CB$176</definedName>
    <definedName name="v_34_SAN">Model!$AY$176</definedName>
    <definedName name="v_34_SB">Model!$F$176</definedName>
    <definedName name="v_34_SCa">Model!$AZ$176</definedName>
    <definedName name="v_34_SCAT">Model!$AX$176</definedName>
    <definedName name="v_34_SCH4">Model!$AT$176</definedName>
    <definedName name="v_34_SCO2">Model!$AV$176</definedName>
    <definedName name="v_34_SFe2">Model!$BC$176</definedName>
    <definedName name="v_34_SH">Model!$CA$176</definedName>
    <definedName name="v_34_SH2">Model!$AU$176</definedName>
    <definedName name="v_34_SK">Model!$BB$176</definedName>
    <definedName name="v_34_SMEOL">Model!$G$176</definedName>
    <definedName name="v_34_SMg">Model!$BA$176</definedName>
    <definedName name="v_34_SN_B">Model!$AI$176</definedName>
    <definedName name="v_34_SN2">Model!$AH$176</definedName>
    <definedName name="v_34_SN2O">Model!$AG$176</definedName>
    <definedName name="v_34_SNH2OH">Model!$AB$176</definedName>
    <definedName name="v_34_SNHx">Model!$AA$176</definedName>
    <definedName name="v_34_SNO_AOB">Model!$AE$176</definedName>
    <definedName name="v_34_SNO_OHO">Model!$AF$176</definedName>
    <definedName name="v_34_SNO2">Model!$AD$176</definedName>
    <definedName name="v_34_SNO3">Model!$AC$176</definedName>
    <definedName name="v_34_SO2">Model!$AS$176</definedName>
    <definedName name="v_34_SORPswitch">Model!$CC$176</definedName>
    <definedName name="v_34_SP_B">Model!$AO$176</definedName>
    <definedName name="v_34_SPFOA">Model!$BW$176</definedName>
    <definedName name="v_34_SPFOS">Model!$BY$176</definedName>
    <definedName name="v_34_SPO4">Model!$AM$176</definedName>
    <definedName name="v_34_SU">Model!$K$176</definedName>
    <definedName name="v_34_SVFA">Model!$E$176</definedName>
    <definedName name="v_34_XACP">Model!$BS$176</definedName>
    <definedName name="v_34_XALGAE">Model!$Z$176</definedName>
    <definedName name="v_34_XAMETO">Model!$X$176</definedName>
    <definedName name="v_34_XAMX">Model!$W$176</definedName>
    <definedName name="v_34_XAOB">Model!$U$176</definedName>
    <definedName name="v_34_XB">Model!$I$176</definedName>
    <definedName name="v_34_XB_e">Model!$J$176</definedName>
    <definedName name="v_34_XBSH">Model!$BT$176</definedName>
    <definedName name="v_34_XCaCO3">Model!$BR$176</definedName>
    <definedName name="v_34_XCASTO">Model!$S$176</definedName>
    <definedName name="v_34_XE">Model!$P$176</definedName>
    <definedName name="v_34_XE_ana">Model!$Q$176</definedName>
    <definedName name="v_34_XHAO_H">Model!$BK$176</definedName>
    <definedName name="v_34_XHAO_H_P">Model!$BN$176</definedName>
    <definedName name="v_34_XHAO_H_P_old">Model!$BP$176</definedName>
    <definedName name="v_34_XHAO_L">Model!$BL$176</definedName>
    <definedName name="v_34_XHAO_L_P">Model!$BO$176</definedName>
    <definedName name="v_34_XHAO_L_P_old">Model!$BQ$176</definedName>
    <definedName name="v_34_XHAO_old">Model!$BM$176</definedName>
    <definedName name="v_34_XHFO_H">Model!$BD$176</definedName>
    <definedName name="v_34_XHFO_H_P">Model!$BG$176</definedName>
    <definedName name="v_34_XHFO_H_P_old">Model!$BI$176</definedName>
    <definedName name="v_34_XHFO_L">Model!$BE$176</definedName>
    <definedName name="v_34_XHFO_L_P">Model!$BH$176</definedName>
    <definedName name="v_34_XHFO_L_P_old">Model!$BJ$176</definedName>
    <definedName name="v_34_XHFO_old">Model!$BF$176</definedName>
    <definedName name="v_34_XHMETO">Model!$Y$176</definedName>
    <definedName name="v_34_XINORG">Model!$AW$176</definedName>
    <definedName name="v_34_XMEOLO">Model!$T$176</definedName>
    <definedName name="v_34_XN_B">Model!$AJ$176</definedName>
    <definedName name="v_34_XN_Be">Model!$AK$176</definedName>
    <definedName name="v_34_XN_U">Model!$AL$176</definedName>
    <definedName name="v_34_XNOB">Model!$V$176</definedName>
    <definedName name="v_34_XOHO">Model!$R$176</definedName>
    <definedName name="v_34_XP_B">Model!$AP$176</definedName>
    <definedName name="v_34_XP_Be">Model!$AQ$176</definedName>
    <definedName name="v_34_XP_U">Model!$AR$176</definedName>
    <definedName name="v_34_XPFOA">Model!$BX$176</definedName>
    <definedName name="v_34_XPFOS">Model!$BZ$176</definedName>
    <definedName name="v_34_XPHA_GAO">Model!$O$176</definedName>
    <definedName name="v_34_XPHA_PAO">Model!$N$176</definedName>
    <definedName name="v_34_XPP">Model!$AN$176</definedName>
    <definedName name="v_34_XSTR">Model!$BU$176</definedName>
    <definedName name="v_34_XU">Model!$M$176</definedName>
    <definedName name="v_34_XVivi">Model!$BV$176</definedName>
    <definedName name="v_35_CB">Model!$H$177</definedName>
    <definedName name="v_35_CU">Model!$L$177</definedName>
    <definedName name="v_35_GCH4">Model!$CE$177</definedName>
    <definedName name="v_35_GCH4_atm">Model!$CM$177</definedName>
    <definedName name="v_35_GCO2">Model!$CD$177</definedName>
    <definedName name="v_35_GCO2_atm">Model!$CL$177</definedName>
    <definedName name="v_35_GH2">Model!$CF$177</definedName>
    <definedName name="v_35_GH2_atm">Model!$CN$177</definedName>
    <definedName name="v_35_GN2">Model!$CK$177</definedName>
    <definedName name="v_35_GN2_atm">Model!$CS$177</definedName>
    <definedName name="v_35_GN2O">Model!$CJ$177</definedName>
    <definedName name="v_35_GN2O_atm">Model!$CR$177</definedName>
    <definedName name="v_35_GNH3">Model!$CH$177</definedName>
    <definedName name="v_35_GNH3_atm">Model!$CP$177</definedName>
    <definedName name="v_35_GNO">Model!$CI$177</definedName>
    <definedName name="v_35_GNO_atm">Model!$CQ$177</definedName>
    <definedName name="v_35_GO2">Model!$CG$177</definedName>
    <definedName name="v_35_GO2_atm">Model!$CO$177</definedName>
    <definedName name="v_35_SALPHA">Model!$CB$177</definedName>
    <definedName name="v_35_SAN">Model!$AY$177</definedName>
    <definedName name="v_35_SB">Model!$F$177</definedName>
    <definedName name="v_35_SCa">Model!$AZ$177</definedName>
    <definedName name="v_35_SCAT">Model!$AX$177</definedName>
    <definedName name="v_35_SCH4">Model!$AT$177</definedName>
    <definedName name="v_35_SCO2">Model!$AV$177</definedName>
    <definedName name="v_35_SFe2">Model!$BC$177</definedName>
    <definedName name="v_35_SH">Model!$CA$177</definedName>
    <definedName name="v_35_SH2">Model!$AU$177</definedName>
    <definedName name="v_35_SK">Model!$BB$177</definedName>
    <definedName name="v_35_SMEOL">Model!$G$177</definedName>
    <definedName name="v_35_SMg">Model!$BA$177</definedName>
    <definedName name="v_35_SN_B">Model!$AI$177</definedName>
    <definedName name="v_35_SN2">Model!$AH$177</definedName>
    <definedName name="v_35_SN2O">Model!$AG$177</definedName>
    <definedName name="v_35_SNH2OH">Model!$AB$177</definedName>
    <definedName name="v_35_SNHx">Model!$AA$177</definedName>
    <definedName name="v_35_SNO_AOB">Model!$AE$177</definedName>
    <definedName name="v_35_SNO_OHO">Model!$AF$177</definedName>
    <definedName name="v_35_SNO2">Model!$AD$177</definedName>
    <definedName name="v_35_SNO3">Model!$AC$177</definedName>
    <definedName name="v_35_SO2">Model!$AS$177</definedName>
    <definedName name="v_35_SORPswitch">Model!$CC$177</definedName>
    <definedName name="v_35_SP_B">Model!$AO$177</definedName>
    <definedName name="v_35_SPFOA">Model!$BW$177</definedName>
    <definedName name="v_35_SPFOS">Model!$BY$177</definedName>
    <definedName name="v_35_SPO4">Model!$AM$177</definedName>
    <definedName name="v_35_SU">Model!$K$177</definedName>
    <definedName name="v_35_SVFA">Model!$E$177</definedName>
    <definedName name="v_35_XACP">Model!$BS$177</definedName>
    <definedName name="v_35_XALGAE">Model!$Z$177</definedName>
    <definedName name="v_35_XAMETO">Model!$X$177</definedName>
    <definedName name="v_35_XAMX">Model!$W$177</definedName>
    <definedName name="v_35_XAOB">Model!$U$177</definedName>
    <definedName name="v_35_XB">Model!$I$177</definedName>
    <definedName name="v_35_XB_e">Model!$J$177</definedName>
    <definedName name="v_35_XBSH">Model!$BT$177</definedName>
    <definedName name="v_35_XCaCO3">Model!$BR$177</definedName>
    <definedName name="v_35_XCASTO">Model!$S$177</definedName>
    <definedName name="v_35_XE">Model!$P$177</definedName>
    <definedName name="v_35_XE_ana">Model!$Q$177</definedName>
    <definedName name="v_35_XHAO_H">Model!$BK$177</definedName>
    <definedName name="v_35_XHAO_H_P">Model!$BN$177</definedName>
    <definedName name="v_35_XHAO_H_P_old">Model!$BP$177</definedName>
    <definedName name="v_35_XHAO_L">Model!$BL$177</definedName>
    <definedName name="v_35_XHAO_L_P">Model!$BO$177</definedName>
    <definedName name="v_35_XHAO_L_P_old">Model!$BQ$177</definedName>
    <definedName name="v_35_XHAO_old">Model!$BM$177</definedName>
    <definedName name="v_35_XHFO_H">Model!$BD$177</definedName>
    <definedName name="v_35_XHFO_H_P">Model!$BG$177</definedName>
    <definedName name="v_35_XHFO_H_P_old">Model!$BI$177</definedName>
    <definedName name="v_35_XHFO_L">Model!$BE$177</definedName>
    <definedName name="v_35_XHFO_L_P">Model!$BH$177</definedName>
    <definedName name="v_35_XHFO_L_P_old">Model!$BJ$177</definedName>
    <definedName name="v_35_XHFO_old">Model!$BF$177</definedName>
    <definedName name="v_35_XHMETO">Model!$Y$177</definedName>
    <definedName name="v_35_XINORG">Model!$AW$177</definedName>
    <definedName name="v_35_XMEOLO">Model!$T$177</definedName>
    <definedName name="v_35_XN_B">Model!$AJ$177</definedName>
    <definedName name="v_35_XN_Be">Model!$AK$177</definedName>
    <definedName name="v_35_XN_U">Model!$AL$177</definedName>
    <definedName name="v_35_XNOB">Model!$V$177</definedName>
    <definedName name="v_35_XOHO">Model!$R$177</definedName>
    <definedName name="v_35_XP_B">Model!$AP$177</definedName>
    <definedName name="v_35_XP_Be">Model!$AQ$177</definedName>
    <definedName name="v_35_XP_U">Model!$AR$177</definedName>
    <definedName name="v_35_XPFOA">Model!$BX$177</definedName>
    <definedName name="v_35_XPFOS">Model!$BZ$177</definedName>
    <definedName name="v_35_XPHA_GAO">Model!$O$177</definedName>
    <definedName name="v_35_XPHA_PAO">Model!$N$177</definedName>
    <definedName name="v_35_XPP">Model!$AN$177</definedName>
    <definedName name="v_35_XSTR">Model!$BU$177</definedName>
    <definedName name="v_35_XU">Model!$M$177</definedName>
    <definedName name="v_35_XVivi">Model!$BV$177</definedName>
    <definedName name="v_36_CB">Model!$H$178</definedName>
    <definedName name="v_36_CU">Model!$L$178</definedName>
    <definedName name="v_36_GCH4">Model!$CE$178</definedName>
    <definedName name="v_36_GCH4_atm">Model!$CM$178</definedName>
    <definedName name="v_36_GCO2">Model!$CD$178</definedName>
    <definedName name="v_36_GCO2_atm">Model!$CL$178</definedName>
    <definedName name="v_36_GH2">Model!$CF$178</definedName>
    <definedName name="v_36_GH2_atm">Model!$CN$178</definedName>
    <definedName name="v_36_GN2">Model!$CK$178</definedName>
    <definedName name="v_36_GN2_atm">Model!$CS$178</definedName>
    <definedName name="v_36_GN2O">Model!$CJ$178</definedName>
    <definedName name="v_36_GN2O_atm">Model!$CR$178</definedName>
    <definedName name="v_36_GNH3">Model!$CH$178</definedName>
    <definedName name="v_36_GNH3_atm">Model!$CP$178</definedName>
    <definedName name="v_36_GNO">Model!$CI$178</definedName>
    <definedName name="v_36_GNO_atm">Model!$CQ$178</definedName>
    <definedName name="v_36_GO2">Model!$CG$178</definedName>
    <definedName name="v_36_GO2_atm">Model!$CO$178</definedName>
    <definedName name="v_36_SALPHA">Model!$CB$178</definedName>
    <definedName name="v_36_SAN">Model!$AY$178</definedName>
    <definedName name="v_36_SB">Model!$F$178</definedName>
    <definedName name="v_36_SCa">Model!$AZ$178</definedName>
    <definedName name="v_36_SCAT">Model!$AX$178</definedName>
    <definedName name="v_36_SCH4">Model!$AT$178</definedName>
    <definedName name="v_36_SCO2">Model!$AV$178</definedName>
    <definedName name="v_36_SFe2">Model!$BC$178</definedName>
    <definedName name="v_36_SH">Model!$CA$178</definedName>
    <definedName name="v_36_SH2">Model!$AU$178</definedName>
    <definedName name="v_36_SK">Model!$BB$178</definedName>
    <definedName name="v_36_SMEOL">Model!$G$178</definedName>
    <definedName name="v_36_SMg">Model!$BA$178</definedName>
    <definedName name="v_36_SN_B">Model!$AI$178</definedName>
    <definedName name="v_36_SN2">Model!$AH$178</definedName>
    <definedName name="v_36_SN2O">Model!$AG$178</definedName>
    <definedName name="v_36_SNH2OH">Model!$AB$178</definedName>
    <definedName name="v_36_SNHx">Model!$AA$178</definedName>
    <definedName name="v_36_SNO_AOB">Model!$AE$178</definedName>
    <definedName name="v_36_SNO_OHO">Model!$AF$178</definedName>
    <definedName name="v_36_SNO2">Model!$AD$178</definedName>
    <definedName name="v_36_SNO3">Model!$AC$178</definedName>
    <definedName name="v_36_SO2">Model!$AS$178</definedName>
    <definedName name="v_36_SORPswitch">Model!$CC$178</definedName>
    <definedName name="v_36_SP_B">Model!$AO$178</definedName>
    <definedName name="v_36_SPFOA">Model!$BW$178</definedName>
    <definedName name="v_36_SPFOS">Model!$BY$178</definedName>
    <definedName name="v_36_SPO4">Model!$AM$178</definedName>
    <definedName name="v_36_SU">Model!$K$178</definedName>
    <definedName name="v_36_SVFA">Model!$E$178</definedName>
    <definedName name="v_36_XACP">Model!$BS$178</definedName>
    <definedName name="v_36_XALGAE">Model!$Z$178</definedName>
    <definedName name="v_36_XAMETO">Model!$X$178</definedName>
    <definedName name="v_36_XAMX">Model!$W$178</definedName>
    <definedName name="v_36_XAOB">Model!$U$178</definedName>
    <definedName name="v_36_XB">Model!$I$178</definedName>
    <definedName name="v_36_XB_e">Model!$J$178</definedName>
    <definedName name="v_36_XBSH">Model!$BT$178</definedName>
    <definedName name="v_36_XCaCO3">Model!$BR$178</definedName>
    <definedName name="v_36_XCASTO">Model!$S$178</definedName>
    <definedName name="v_36_XE">Model!$P$178</definedName>
    <definedName name="v_36_XE_ana">Model!$Q$178</definedName>
    <definedName name="v_36_XHAO_H">Model!$BK$178</definedName>
    <definedName name="v_36_XHAO_H_P">Model!$BN$178</definedName>
    <definedName name="v_36_XHAO_H_P_old">Model!$BP$178</definedName>
    <definedName name="v_36_XHAO_L">Model!$BL$178</definedName>
    <definedName name="v_36_XHAO_L_P">Model!$BO$178</definedName>
    <definedName name="v_36_XHAO_L_P_old">Model!$BQ$178</definedName>
    <definedName name="v_36_XHAO_old">Model!$BM$178</definedName>
    <definedName name="v_36_XHFO_H">Model!$BD$178</definedName>
    <definedName name="v_36_XHFO_H_P">Model!$BG$178</definedName>
    <definedName name="v_36_XHFO_H_P_old">Model!$BI$178</definedName>
    <definedName name="v_36_XHFO_L">Model!$BE$178</definedName>
    <definedName name="v_36_XHFO_L_P">Model!$BH$178</definedName>
    <definedName name="v_36_XHFO_L_P_old">Model!$BJ$178</definedName>
    <definedName name="v_36_XHFO_old">Model!$BF$178</definedName>
    <definedName name="v_36_XHMETO">Model!$Y$178</definedName>
    <definedName name="v_36_XINORG">Model!$AW$178</definedName>
    <definedName name="v_36_XMEOLO">Model!$T$178</definedName>
    <definedName name="v_36_XN_B">Model!$AJ$178</definedName>
    <definedName name="v_36_XN_Be">Model!$AK$178</definedName>
    <definedName name="v_36_XN_U">Model!$AL$178</definedName>
    <definedName name="v_36_XNOB">Model!$V$178</definedName>
    <definedName name="v_36_XOHO">Model!$R$178</definedName>
    <definedName name="v_36_XP_B">Model!$AP$178</definedName>
    <definedName name="v_36_XP_Be">Model!$AQ$178</definedName>
    <definedName name="v_36_XP_U">Model!$AR$178</definedName>
    <definedName name="v_36_XPFOA">Model!$BX$178</definedName>
    <definedName name="v_36_XPFOS">Model!$BZ$178</definedName>
    <definedName name="v_36_XPHA_GAO">Model!$O$178</definedName>
    <definedName name="v_36_XPHA_PAO">Model!$N$178</definedName>
    <definedName name="v_36_XPP">Model!$AN$178</definedName>
    <definedName name="v_36_XSTR">Model!$BU$178</definedName>
    <definedName name="v_36_XU">Model!$M$178</definedName>
    <definedName name="v_36_XVivi">Model!$BV$178</definedName>
    <definedName name="v_37_CB">Model!$H$179</definedName>
    <definedName name="v_37_CU">Model!$L$179</definedName>
    <definedName name="v_37_GCH4">Model!$CE$179</definedName>
    <definedName name="v_37_GCH4_atm">Model!$CM$179</definedName>
    <definedName name="v_37_GCO2">Model!$CD$179</definedName>
    <definedName name="v_37_GCO2_atm">Model!$CL$179</definedName>
    <definedName name="v_37_GH2">Model!$CF$179</definedName>
    <definedName name="v_37_GH2_atm">Model!$CN$179</definedName>
    <definedName name="v_37_GN2">Model!$CK$179</definedName>
    <definedName name="v_37_GN2_atm">Model!$CS$179</definedName>
    <definedName name="v_37_GN2O">Model!$CJ$179</definedName>
    <definedName name="v_37_GN2O_atm">Model!$CR$179</definedName>
    <definedName name="v_37_GNH3">Model!$CH$179</definedName>
    <definedName name="v_37_GNH3_atm">Model!$CP$179</definedName>
    <definedName name="v_37_GNO">Model!$CI$179</definedName>
    <definedName name="v_37_GNO_atm">Model!$CQ$179</definedName>
    <definedName name="v_37_GO2">Model!$CG$179</definedName>
    <definedName name="v_37_GO2_atm">Model!$CO$179</definedName>
    <definedName name="v_37_SALPHA">Model!$CB$179</definedName>
    <definedName name="v_37_SAN">Model!$AY$179</definedName>
    <definedName name="v_37_SB">Model!$F$179</definedName>
    <definedName name="v_37_SCa">Model!$AZ$179</definedName>
    <definedName name="v_37_SCAT">Model!$AX$179</definedName>
    <definedName name="v_37_SCH4">Model!$AT$179</definedName>
    <definedName name="v_37_SCO2">Model!$AV$179</definedName>
    <definedName name="v_37_SFe2">Model!$BC$179</definedName>
    <definedName name="v_37_SH">Model!$CA$179</definedName>
    <definedName name="v_37_SH2">Model!$AU$179</definedName>
    <definedName name="v_37_SK">Model!$BB$179</definedName>
    <definedName name="v_37_SMEOL">Model!$G$179</definedName>
    <definedName name="v_37_SMg">Model!$BA$179</definedName>
    <definedName name="v_37_SN_B">Model!$AI$179</definedName>
    <definedName name="v_37_SN2">Model!$AH$179</definedName>
    <definedName name="v_37_SN2O">Model!$AG$179</definedName>
    <definedName name="v_37_SNH2OH">Model!$AB$179</definedName>
    <definedName name="v_37_SNHx">Model!$AA$179</definedName>
    <definedName name="v_37_SNO_AOB">Model!$AE$179</definedName>
    <definedName name="v_37_SNO_OHO">Model!$AF$179</definedName>
    <definedName name="v_37_SNO2">Model!$AD$179</definedName>
    <definedName name="v_37_SNO3">Model!$AC$179</definedName>
    <definedName name="v_37_SO2">Model!$AS$179</definedName>
    <definedName name="v_37_SORPswitch">Model!$CC$179</definedName>
    <definedName name="v_37_SP_B">Model!$AO$179</definedName>
    <definedName name="v_37_SPFOA">Model!$BW$179</definedName>
    <definedName name="v_37_SPFOS">Model!$BY$179</definedName>
    <definedName name="v_37_SPO4">Model!$AM$179</definedName>
    <definedName name="v_37_SU">Model!$K$179</definedName>
    <definedName name="v_37_SVFA">Model!$E$179</definedName>
    <definedName name="v_37_XACP">Model!$BS$179</definedName>
    <definedName name="v_37_XALGAE">Model!$Z$179</definedName>
    <definedName name="v_37_XAMETO">Model!$X$179</definedName>
    <definedName name="v_37_XAMX">Model!$W$179</definedName>
    <definedName name="v_37_XAOB">Model!$U$179</definedName>
    <definedName name="v_37_XB">Model!$I$179</definedName>
    <definedName name="v_37_XB_e">Model!$J$179</definedName>
    <definedName name="v_37_XBSH">Model!$BT$179</definedName>
    <definedName name="v_37_XCaCO3">Model!$BR$179</definedName>
    <definedName name="v_37_XCASTO">Model!$S$179</definedName>
    <definedName name="v_37_XE">Model!$P$179</definedName>
    <definedName name="v_37_XE_ana">Model!$Q$179</definedName>
    <definedName name="v_37_XHAO_H">Model!$BK$179</definedName>
    <definedName name="v_37_XHAO_H_P">Model!$BN$179</definedName>
    <definedName name="v_37_XHAO_H_P_old">Model!$BP$179</definedName>
    <definedName name="v_37_XHAO_L">Model!$BL$179</definedName>
    <definedName name="v_37_XHAO_L_P">Model!$BO$179</definedName>
    <definedName name="v_37_XHAO_L_P_old">Model!$BQ$179</definedName>
    <definedName name="v_37_XHAO_old">Model!$BM$179</definedName>
    <definedName name="v_37_XHFO_H">Model!$BD$179</definedName>
    <definedName name="v_37_XHFO_H_P">Model!$BG$179</definedName>
    <definedName name="v_37_XHFO_H_P_old">Model!$BI$179</definedName>
    <definedName name="v_37_XHFO_L">Model!$BE$179</definedName>
    <definedName name="v_37_XHFO_L_P">Model!$BH$179</definedName>
    <definedName name="v_37_XHFO_L_P_old">Model!$BJ$179</definedName>
    <definedName name="v_37_XHFO_old">Model!$BF$179</definedName>
    <definedName name="v_37_XHMETO">Model!$Y$179</definedName>
    <definedName name="v_37_XINORG">Model!$AW$179</definedName>
    <definedName name="v_37_XMEOLO">Model!$T$179</definedName>
    <definedName name="v_37_XN_B">Model!$AJ$179</definedName>
    <definedName name="v_37_XN_Be">Model!$AK$179</definedName>
    <definedName name="v_37_XN_U">Model!$AL$179</definedName>
    <definedName name="v_37_XNOB">Model!$V$179</definedName>
    <definedName name="v_37_XOHO">Model!$R$179</definedName>
    <definedName name="v_37_XP_B">Model!$AP$179</definedName>
    <definedName name="v_37_XP_Be">Model!$AQ$179</definedName>
    <definedName name="v_37_XP_U">Model!$AR$179</definedName>
    <definedName name="v_37_XPFOA">Model!$BX$179</definedName>
    <definedName name="v_37_XPFOS">Model!$BZ$179</definedName>
    <definedName name="v_37_XPHA_GAO">Model!$O$179</definedName>
    <definedName name="v_37_XPHA_PAO">Model!$N$179</definedName>
    <definedName name="v_37_XPP">Model!$AN$179</definedName>
    <definedName name="v_37_XSTR">Model!$BU$179</definedName>
    <definedName name="v_37_XU">Model!$M$179</definedName>
    <definedName name="v_37_XVivi">Model!$BV$179</definedName>
    <definedName name="v_38_CB">Model!$H$180</definedName>
    <definedName name="v_38_CU">Model!$L$180</definedName>
    <definedName name="v_38_GCH4">Model!$CE$180</definedName>
    <definedName name="v_38_GCH4_atm">Model!$CM$180</definedName>
    <definedName name="v_38_GCO2">Model!$CD$180</definedName>
    <definedName name="v_38_GCO2_atm">Model!$CL$180</definedName>
    <definedName name="v_38_GH2">Model!$CF$180</definedName>
    <definedName name="v_38_GH2_atm">Model!$CN$180</definedName>
    <definedName name="v_38_GN2">Model!$CK$180</definedName>
    <definedName name="v_38_GN2_atm">Model!$CS$180</definedName>
    <definedName name="v_38_GN2O">Model!$CJ$180</definedName>
    <definedName name="v_38_GN2O_atm">Model!$CR$180</definedName>
    <definedName name="v_38_GNH3">Model!$CH$180</definedName>
    <definedName name="v_38_GNH3_atm">Model!$CP$180</definedName>
    <definedName name="v_38_GNO">Model!$CI$180</definedName>
    <definedName name="v_38_GNO_atm">Model!$CQ$180</definedName>
    <definedName name="v_38_GO2">Model!$CG$180</definedName>
    <definedName name="v_38_GO2_atm">Model!$CO$180</definedName>
    <definedName name="v_38_SALPHA">Model!$CB$180</definedName>
    <definedName name="v_38_SAN">Model!$AY$180</definedName>
    <definedName name="v_38_SB">Model!$F$180</definedName>
    <definedName name="v_38_SCa">Model!$AZ$180</definedName>
    <definedName name="v_38_SCAT">Model!$AX$180</definedName>
    <definedName name="v_38_SCH4">Model!$AT$180</definedName>
    <definedName name="v_38_SCO2">Model!$AV$180</definedName>
    <definedName name="v_38_SFe2">Model!$BC$180</definedName>
    <definedName name="v_38_SH">Model!$CA$180</definedName>
    <definedName name="v_38_SH2">Model!$AU$180</definedName>
    <definedName name="v_38_SK">Model!$BB$180</definedName>
    <definedName name="v_38_SMEOL">Model!$G$180</definedName>
    <definedName name="v_38_SMg">Model!$BA$180</definedName>
    <definedName name="v_38_SN_B">Model!$AI$180</definedName>
    <definedName name="v_38_SN2">Model!$AH$180</definedName>
    <definedName name="v_38_SN2O">Model!$AG$180</definedName>
    <definedName name="v_38_SNH2OH">Model!$AB$180</definedName>
    <definedName name="v_38_SNHx">Model!$AA$180</definedName>
    <definedName name="v_38_SNO_AOB">Model!$AE$180</definedName>
    <definedName name="v_38_SNO_OHO">Model!$AF$180</definedName>
    <definedName name="v_38_SNO2">Model!$AD$180</definedName>
    <definedName name="v_38_SNO3">Model!$AC$180</definedName>
    <definedName name="v_38_SO2">Model!$AS$180</definedName>
    <definedName name="v_38_SORPswitch">Model!$CC$180</definedName>
    <definedName name="v_38_SP_B">Model!$AO$180</definedName>
    <definedName name="v_38_SPFOA">Model!$BW$180</definedName>
    <definedName name="v_38_SPFOS">Model!$BY$180</definedName>
    <definedName name="v_38_SPO4">Model!$AM$180</definedName>
    <definedName name="v_38_SU">Model!$K$180</definedName>
    <definedName name="v_38_SVFA">Model!$E$180</definedName>
    <definedName name="v_38_XACP">Model!$BS$180</definedName>
    <definedName name="v_38_XALGAE">Model!$Z$180</definedName>
    <definedName name="v_38_XAMETO">Model!$X$180</definedName>
    <definedName name="v_38_XAMX">Model!$W$180</definedName>
    <definedName name="v_38_XAOB">Model!$U$180</definedName>
    <definedName name="v_38_XB">Model!$I$180</definedName>
    <definedName name="v_38_XB_e">Model!$J$180</definedName>
    <definedName name="v_38_XBSH">Model!$BT$180</definedName>
    <definedName name="v_38_XCaCO3">Model!$BR$180</definedName>
    <definedName name="v_38_XCASTO">Model!$S$180</definedName>
    <definedName name="v_38_XE">Model!$P$180</definedName>
    <definedName name="v_38_XE_ana">Model!$Q$180</definedName>
    <definedName name="v_38_XHAO_H">Model!$BK$180</definedName>
    <definedName name="v_38_XHAO_H_P">Model!$BN$180</definedName>
    <definedName name="v_38_XHAO_H_P_old">Model!$BP$180</definedName>
    <definedName name="v_38_XHAO_L">Model!$BL$180</definedName>
    <definedName name="v_38_XHAO_L_P">Model!$BO$180</definedName>
    <definedName name="v_38_XHAO_L_P_old">Model!$BQ$180</definedName>
    <definedName name="v_38_XHAO_old">Model!$BM$180</definedName>
    <definedName name="v_38_XHFO_H">Model!$BD$180</definedName>
    <definedName name="v_38_XHFO_H_P">Model!$BG$180</definedName>
    <definedName name="v_38_XHFO_H_P_old">Model!$BI$180</definedName>
    <definedName name="v_38_XHFO_L">Model!$BE$180</definedName>
    <definedName name="v_38_XHFO_L_P">Model!$BH$180</definedName>
    <definedName name="v_38_XHFO_L_P_old">Model!$BJ$180</definedName>
    <definedName name="v_38_XHFO_old">Model!$BF$180</definedName>
    <definedName name="v_38_XHMETO">Model!$Y$180</definedName>
    <definedName name="v_38_XINORG">Model!$AW$180</definedName>
    <definedName name="v_38_XMEOLO">Model!$T$180</definedName>
    <definedName name="v_38_XN_B">Model!$AJ$180</definedName>
    <definedName name="v_38_XN_Be">Model!$AK$180</definedName>
    <definedName name="v_38_XN_U">Model!$AL$180</definedName>
    <definedName name="v_38_XNOB">Model!$V$180</definedName>
    <definedName name="v_38_XOHO">Model!$R$180</definedName>
    <definedName name="v_38_XP_B">Model!$AP$180</definedName>
    <definedName name="v_38_XP_Be">Model!$AQ$180</definedName>
    <definedName name="v_38_XP_U">Model!$AR$180</definedName>
    <definedName name="v_38_XPFOA">Model!$BX$180</definedName>
    <definedName name="v_38_XPFOS">Model!$BZ$180</definedName>
    <definedName name="v_38_XPHA_GAO">Model!$O$180</definedName>
    <definedName name="v_38_XPHA_PAO">Model!$N$180</definedName>
    <definedName name="v_38_XPP">Model!$AN$180</definedName>
    <definedName name="v_38_XSTR">Model!$BU$180</definedName>
    <definedName name="v_38_XU">Model!$M$180</definedName>
    <definedName name="v_38_XVivi">Model!$BV$180</definedName>
    <definedName name="v_39_CB">Model!$H$181</definedName>
    <definedName name="v_39_CU">Model!$L$181</definedName>
    <definedName name="v_39_GCH4">Model!$CE$181</definedName>
    <definedName name="v_39_GCH4_atm">Model!$CM$181</definedName>
    <definedName name="v_39_GCO2">Model!$CD$181</definedName>
    <definedName name="v_39_GCO2_atm">Model!$CL$181</definedName>
    <definedName name="v_39_GH2">Model!$CF$181</definedName>
    <definedName name="v_39_GH2_atm">Model!$CN$181</definedName>
    <definedName name="v_39_GN2">Model!$CK$181</definedName>
    <definedName name="v_39_GN2_atm">Model!$CS$181</definedName>
    <definedName name="v_39_GN2O">Model!$CJ$181</definedName>
    <definedName name="v_39_GN2O_atm">Model!$CR$181</definedName>
    <definedName name="v_39_GNH3">Model!$CH$181</definedName>
    <definedName name="v_39_GNH3_atm">Model!$CP$181</definedName>
    <definedName name="v_39_GNO">Model!$CI$181</definedName>
    <definedName name="v_39_GNO_atm">Model!$CQ$181</definedName>
    <definedName name="v_39_GO2">Model!$CG$181</definedName>
    <definedName name="v_39_GO2_atm">Model!$CO$181</definedName>
    <definedName name="v_39_SALPHA">Model!$CB$181</definedName>
    <definedName name="v_39_SAN">Model!$AY$181</definedName>
    <definedName name="v_39_SB">Model!$F$181</definedName>
    <definedName name="v_39_SCa">Model!$AZ$181</definedName>
    <definedName name="v_39_SCAT">Model!$AX$181</definedName>
    <definedName name="v_39_SCH4">Model!$AT$181</definedName>
    <definedName name="v_39_SCO2">Model!$AV$181</definedName>
    <definedName name="v_39_SFe2">Model!$BC$181</definedName>
    <definedName name="v_39_SH">Model!$CA$181</definedName>
    <definedName name="v_39_SH2">Model!$AU$181</definedName>
    <definedName name="v_39_SK">Model!$BB$181</definedName>
    <definedName name="v_39_SMEOL">Model!$G$181</definedName>
    <definedName name="v_39_SMg">Model!$BA$181</definedName>
    <definedName name="v_39_SN_B">Model!$AI$181</definedName>
    <definedName name="v_39_SN2">Model!$AH$181</definedName>
    <definedName name="v_39_SN2O">Model!$AG$181</definedName>
    <definedName name="v_39_SNH2OH">Model!$AB$181</definedName>
    <definedName name="v_39_SNHx">Model!$AA$181</definedName>
    <definedName name="v_39_SNO_AOB">Model!$AE$181</definedName>
    <definedName name="v_39_SNO_OHO">Model!$AF$181</definedName>
    <definedName name="v_39_SNO2">Model!$AD$181</definedName>
    <definedName name="v_39_SNO3">Model!$AC$181</definedName>
    <definedName name="v_39_SO2">Model!$AS$181</definedName>
    <definedName name="v_39_SORPswitch">Model!$CC$181</definedName>
    <definedName name="v_39_SP_B">Model!$AO$181</definedName>
    <definedName name="v_39_SPFOA">Model!$BW$181</definedName>
    <definedName name="v_39_SPFOS">Model!$BY$181</definedName>
    <definedName name="v_39_SPO4">Model!$AM$181</definedName>
    <definedName name="v_39_SU">Model!$K$181</definedName>
    <definedName name="v_39_SVFA">Model!$E$181</definedName>
    <definedName name="v_39_XACP">Model!$BS$181</definedName>
    <definedName name="v_39_XALGAE">Model!$Z$181</definedName>
    <definedName name="v_39_XAMETO">Model!$X$181</definedName>
    <definedName name="v_39_XAMX">Model!$W$181</definedName>
    <definedName name="v_39_XAOB">Model!$U$181</definedName>
    <definedName name="v_39_XB">Model!$I$181</definedName>
    <definedName name="v_39_XB_e">Model!$J$181</definedName>
    <definedName name="v_39_XBSH">Model!$BT$181</definedName>
    <definedName name="v_39_XCaCO3">Model!$BR$181</definedName>
    <definedName name="v_39_XCASTO">Model!$S$181</definedName>
    <definedName name="v_39_XE">Model!$P$181</definedName>
    <definedName name="v_39_XE_ana">Model!$Q$181</definedName>
    <definedName name="v_39_XHAO_H">Model!$BK$181</definedName>
    <definedName name="v_39_XHAO_H_P">Model!$BN$181</definedName>
    <definedName name="v_39_XHAO_H_P_old">Model!$BP$181</definedName>
    <definedName name="v_39_XHAO_L">Model!$BL$181</definedName>
    <definedName name="v_39_XHAO_L_P">Model!$BO$181</definedName>
    <definedName name="v_39_XHAO_L_P_old">Model!$BQ$181</definedName>
    <definedName name="v_39_XHAO_old">Model!$BM$181</definedName>
    <definedName name="v_39_XHFO_H">Model!$BD$181</definedName>
    <definedName name="v_39_XHFO_H_P">Model!$BG$181</definedName>
    <definedName name="v_39_XHFO_H_P_old">Model!$BI$181</definedName>
    <definedName name="v_39_XHFO_L">Model!$BE$181</definedName>
    <definedName name="v_39_XHFO_L_P">Model!$BH$181</definedName>
    <definedName name="v_39_XHFO_L_P_old">Model!$BJ$181</definedName>
    <definedName name="v_39_XHFO_old">Model!$BF$181</definedName>
    <definedName name="v_39_XHMETO">Model!$Y$181</definedName>
    <definedName name="v_39_XINORG">Model!$AW$181</definedName>
    <definedName name="v_39_XMEOLO">Model!$T$181</definedName>
    <definedName name="v_39_XN_B">Model!$AJ$181</definedName>
    <definedName name="v_39_XN_Be">Model!$AK$181</definedName>
    <definedName name="v_39_XN_U">Model!$AL$181</definedName>
    <definedName name="v_39_XNOB">Model!$V$181</definedName>
    <definedName name="v_39_XOHO">Model!$R$181</definedName>
    <definedName name="v_39_XP_B">Model!$AP$181</definedName>
    <definedName name="v_39_XP_Be">Model!$AQ$181</definedName>
    <definedName name="v_39_XP_U">Model!$AR$181</definedName>
    <definedName name="v_39_XPFOA">Model!$BX$181</definedName>
    <definedName name="v_39_XPFOS">Model!$BZ$181</definedName>
    <definedName name="v_39_XPHA_GAO">Model!$O$181</definedName>
    <definedName name="v_39_XPHA_PAO">Model!$N$181</definedName>
    <definedName name="v_39_XPP">Model!$AN$181</definedName>
    <definedName name="v_39_XSTR">Model!$BU$181</definedName>
    <definedName name="v_39_XU">Model!$M$181</definedName>
    <definedName name="v_39_XVivi">Model!$BV$181</definedName>
    <definedName name="v_4_CB">Model!$H$146</definedName>
    <definedName name="v_4_CU">Model!$L$146</definedName>
    <definedName name="v_4_GCH4">Model!$CE$146</definedName>
    <definedName name="v_4_GCH4_atm">Model!$CM$146</definedName>
    <definedName name="v_4_GCO2">Model!$CD$146</definedName>
    <definedName name="v_4_GCO2_atm">Model!$CL$146</definedName>
    <definedName name="v_4_GH2">Model!$CF$146</definedName>
    <definedName name="v_4_GH2_atm">Model!$CN$146</definedName>
    <definedName name="v_4_GN2">Model!$CK$146</definedName>
    <definedName name="v_4_GN2_atm">Model!$CS$146</definedName>
    <definedName name="v_4_GN2O">Model!$CJ$146</definedName>
    <definedName name="v_4_GN2O_atm">Model!$CR$146</definedName>
    <definedName name="v_4_GNH3">Model!$CH$146</definedName>
    <definedName name="v_4_GNH3_atm">Model!$CP$146</definedName>
    <definedName name="v_4_GNO">Model!$CI$146</definedName>
    <definedName name="v_4_GNO_atm">Model!$CQ$146</definedName>
    <definedName name="v_4_GO2">Model!$CG$146</definedName>
    <definedName name="v_4_GO2_atm">Model!$CO$146</definedName>
    <definedName name="v_4_SALPHA">Model!$CB$146</definedName>
    <definedName name="v_4_SAN">Model!$AY$146</definedName>
    <definedName name="v_4_SB">Model!$F$146</definedName>
    <definedName name="v_4_SCa">Model!$AZ$146</definedName>
    <definedName name="v_4_SCAT">Model!$AX$146</definedName>
    <definedName name="v_4_SCH4">Model!$AT$146</definedName>
    <definedName name="v_4_SCO2">Model!$AV$146</definedName>
    <definedName name="v_4_SFe2">Model!$BC$146</definedName>
    <definedName name="v_4_SH">Model!$CA$146</definedName>
    <definedName name="v_4_SH2">Model!$AU$146</definedName>
    <definedName name="v_4_SK">Model!$BB$146</definedName>
    <definedName name="v_4_SMEOL">Model!$G$146</definedName>
    <definedName name="v_4_SMg">Model!$BA$146</definedName>
    <definedName name="v_4_SN_B">Model!$AI$146</definedName>
    <definedName name="v_4_SN2">Model!$AH$146</definedName>
    <definedName name="v_4_SN2O">Model!$AG$146</definedName>
    <definedName name="v_4_SNH2OH">Model!$AB$146</definedName>
    <definedName name="v_4_SNHx">Model!$AA$146</definedName>
    <definedName name="v_4_SNO_AOB">Model!$AE$146</definedName>
    <definedName name="v_4_SNO_OHO">Model!$AF$146</definedName>
    <definedName name="v_4_SNO2">Model!$AD$146</definedName>
    <definedName name="v_4_SNO3">Model!$AC$146</definedName>
    <definedName name="v_4_SO2">Model!$AS$146</definedName>
    <definedName name="v_4_SORPswitch">Model!$CC$146</definedName>
    <definedName name="v_4_SP_B">Model!$AO$146</definedName>
    <definedName name="v_4_SPFOA">Model!$BW$146</definedName>
    <definedName name="v_4_SPFOS">Model!$BY$146</definedName>
    <definedName name="v_4_SPO4">Model!$AM$146</definedName>
    <definedName name="v_4_SU">Model!$K$146</definedName>
    <definedName name="v_4_SVFA">Model!$E$146</definedName>
    <definedName name="v_4_XACP">Model!$BS$146</definedName>
    <definedName name="v_4_XALGAE">Model!$Z$146</definedName>
    <definedName name="v_4_XAMETO">Model!$X$146</definedName>
    <definedName name="v_4_XAMX">Model!$W$146</definedName>
    <definedName name="v_4_XAOB">Model!$U$146</definedName>
    <definedName name="v_4_XB">Model!$I$146</definedName>
    <definedName name="v_4_XB_e">Model!$J$146</definedName>
    <definedName name="v_4_XBSH">Model!$BT$146</definedName>
    <definedName name="v_4_XCaCO3">Model!$BR$146</definedName>
    <definedName name="v_4_XCASTO">Model!$S$146</definedName>
    <definedName name="v_4_XE">Model!$P$146</definedName>
    <definedName name="v_4_XE_ana">Model!$Q$146</definedName>
    <definedName name="v_4_XHAO_H">Model!$BK$146</definedName>
    <definedName name="v_4_XHAO_H_P">Model!$BN$146</definedName>
    <definedName name="v_4_XHAO_H_P_old">Model!$BP$146</definedName>
    <definedName name="v_4_XHAO_L">Model!$BL$146</definedName>
    <definedName name="v_4_XHAO_L_P">Model!$BO$146</definedName>
    <definedName name="v_4_XHAO_L_P_old">Model!$BQ$146</definedName>
    <definedName name="v_4_XHAO_old">Model!$BM$146</definedName>
    <definedName name="v_4_XHFO_H">Model!$BD$146</definedName>
    <definedName name="v_4_XHFO_H_P">Model!$BG$146</definedName>
    <definedName name="v_4_XHFO_H_P_old">Model!$BI$146</definedName>
    <definedName name="v_4_XHFO_L">Model!$BE$146</definedName>
    <definedName name="v_4_XHFO_L_P">Model!$BH$146</definedName>
    <definedName name="v_4_XHFO_L_P_old">Model!$BJ$146</definedName>
    <definedName name="v_4_XHFO_old">Model!$BF$146</definedName>
    <definedName name="v_4_XHMETO">Model!$Y$146</definedName>
    <definedName name="v_4_XINORG">Model!$AW$146</definedName>
    <definedName name="v_4_XMEOLO">Model!$T$146</definedName>
    <definedName name="v_4_XN_B">Model!$AJ$146</definedName>
    <definedName name="v_4_XN_Be">Model!$AK$146</definedName>
    <definedName name="v_4_XN_U">Model!$AL$146</definedName>
    <definedName name="v_4_XNOB">Model!$V$146</definedName>
    <definedName name="v_4_XOHO">Model!$R$146</definedName>
    <definedName name="v_4_XP_B">Model!$AP$146</definedName>
    <definedName name="v_4_XP_Be">Model!$AQ$146</definedName>
    <definedName name="v_4_XP_U">Model!$AR$146</definedName>
    <definedName name="v_4_XPFOA">Model!$BX$146</definedName>
    <definedName name="v_4_XPFOS">Model!$BZ$146</definedName>
    <definedName name="v_4_XPHA_GAO">Model!$O$146</definedName>
    <definedName name="v_4_XPHA_PAO">Model!$N$146</definedName>
    <definedName name="v_4_XPP">Model!$AN$146</definedName>
    <definedName name="v_4_XSTR">Model!$BU$146</definedName>
    <definedName name="v_4_XU">Model!$M$146</definedName>
    <definedName name="v_4_XVivi">Model!$BV$146</definedName>
    <definedName name="v_40_CB">Model!$H$182</definedName>
    <definedName name="v_40_CU">Model!$L$182</definedName>
    <definedName name="v_40_GCH4">Model!$CE$182</definedName>
    <definedName name="v_40_GCH4_atm">Model!$CM$182</definedName>
    <definedName name="v_40_GCO2">Model!$CD$182</definedName>
    <definedName name="v_40_GCO2_atm">Model!$CL$182</definedName>
    <definedName name="v_40_GH2">Model!$CF$182</definedName>
    <definedName name="v_40_GH2_atm">Model!$CN$182</definedName>
    <definedName name="v_40_GN2">Model!$CK$182</definedName>
    <definedName name="v_40_GN2_atm">Model!$CS$182</definedName>
    <definedName name="v_40_GN2O">Model!$CJ$182</definedName>
    <definedName name="v_40_GN2O_atm">Model!$CR$182</definedName>
    <definedName name="v_40_GNH3">Model!$CH$182</definedName>
    <definedName name="v_40_GNH3_atm">Model!$CP$182</definedName>
    <definedName name="v_40_GNO">Model!$CI$182</definedName>
    <definedName name="v_40_GNO_atm">Model!$CQ$182</definedName>
    <definedName name="v_40_GO2">Model!$CG$182</definedName>
    <definedName name="v_40_GO2_atm">Model!$CO$182</definedName>
    <definedName name="v_40_SALPHA">Model!$CB$182</definedName>
    <definedName name="v_40_SAN">Model!$AY$182</definedName>
    <definedName name="v_40_SB">Model!$F$182</definedName>
    <definedName name="v_40_SCa">Model!$AZ$182</definedName>
    <definedName name="v_40_SCAT">Model!$AX$182</definedName>
    <definedName name="v_40_SCH4">Model!$AT$182</definedName>
    <definedName name="v_40_SCO2">Model!$AV$182</definedName>
    <definedName name="v_40_SFe2">Model!$BC$182</definedName>
    <definedName name="v_40_SH">Model!$CA$182</definedName>
    <definedName name="v_40_SH2">Model!$AU$182</definedName>
    <definedName name="v_40_SK">Model!$BB$182</definedName>
    <definedName name="v_40_SMEOL">Model!$G$182</definedName>
    <definedName name="v_40_SMg">Model!$BA$182</definedName>
    <definedName name="v_40_SN_B">Model!$AI$182</definedName>
    <definedName name="v_40_SN2">Model!$AH$182</definedName>
    <definedName name="v_40_SN2O">Model!$AG$182</definedName>
    <definedName name="v_40_SNH2OH">Model!$AB$182</definedName>
    <definedName name="v_40_SNHx">Model!$AA$182</definedName>
    <definedName name="v_40_SNO_AOB">Model!$AE$182</definedName>
    <definedName name="v_40_SNO_OHO">Model!$AF$182</definedName>
    <definedName name="v_40_SNO2">Model!$AD$182</definedName>
    <definedName name="v_40_SNO3">Model!$AC$182</definedName>
    <definedName name="v_40_SO2">Model!$AS$182</definedName>
    <definedName name="v_40_SORPswitch">Model!$CC$182</definedName>
    <definedName name="v_40_SP_B">Model!$AO$182</definedName>
    <definedName name="v_40_SPFOA">Model!$BW$182</definedName>
    <definedName name="v_40_SPFOS">Model!$BY$182</definedName>
    <definedName name="v_40_SPO4">Model!$AM$182</definedName>
    <definedName name="v_40_SU">Model!$K$182</definedName>
    <definedName name="v_40_SVFA">Model!$E$182</definedName>
    <definedName name="v_40_XACP">Model!$BS$182</definedName>
    <definedName name="v_40_XALGAE">Model!$Z$182</definedName>
    <definedName name="v_40_XAMETO">Model!$X$182</definedName>
    <definedName name="v_40_XAMX">Model!$W$182</definedName>
    <definedName name="v_40_XAOB">Model!$U$182</definedName>
    <definedName name="v_40_XB">Model!$I$182</definedName>
    <definedName name="v_40_XB_e">Model!$J$182</definedName>
    <definedName name="v_40_XBSH">Model!$BT$182</definedName>
    <definedName name="v_40_XCaCO3">Model!$BR$182</definedName>
    <definedName name="v_40_XCASTO">Model!$S$182</definedName>
    <definedName name="v_40_XE">Model!$P$182</definedName>
    <definedName name="v_40_XE_ana">Model!$Q$182</definedName>
    <definedName name="v_40_XHAO_H">Model!$BK$182</definedName>
    <definedName name="v_40_XHAO_H_P">Model!$BN$182</definedName>
    <definedName name="v_40_XHAO_H_P_old">Model!$BP$182</definedName>
    <definedName name="v_40_XHAO_L">Model!$BL$182</definedName>
    <definedName name="v_40_XHAO_L_P">Model!$BO$182</definedName>
    <definedName name="v_40_XHAO_L_P_old">Model!$BQ$182</definedName>
    <definedName name="v_40_XHAO_old">Model!$BM$182</definedName>
    <definedName name="v_40_XHFO_H">Model!$BD$182</definedName>
    <definedName name="v_40_XHFO_H_P">Model!$BG$182</definedName>
    <definedName name="v_40_XHFO_H_P_old">Model!$BI$182</definedName>
    <definedName name="v_40_XHFO_L">Model!$BE$182</definedName>
    <definedName name="v_40_XHFO_L_P">Model!$BH$182</definedName>
    <definedName name="v_40_XHFO_L_P_old">Model!$BJ$182</definedName>
    <definedName name="v_40_XHFO_old">Model!$BF$182</definedName>
    <definedName name="v_40_XHMETO">Model!$Y$182</definedName>
    <definedName name="v_40_XINORG">Model!$AW$182</definedName>
    <definedName name="v_40_XMEOLO">Model!$T$182</definedName>
    <definedName name="v_40_XN_B">Model!$AJ$182</definedName>
    <definedName name="v_40_XN_Be">Model!$AK$182</definedName>
    <definedName name="v_40_XN_U">Model!$AL$182</definedName>
    <definedName name="v_40_XNOB">Model!$V$182</definedName>
    <definedName name="v_40_XOHO">Model!$R$182</definedName>
    <definedName name="v_40_XP_B">Model!$AP$182</definedName>
    <definedName name="v_40_XP_Be">Model!$AQ$182</definedName>
    <definedName name="v_40_XP_U">Model!$AR$182</definedName>
    <definedName name="v_40_XPFOA">Model!$BX$182</definedName>
    <definedName name="v_40_XPFOS">Model!$BZ$182</definedName>
    <definedName name="v_40_XPHA_GAO">Model!$O$182</definedName>
    <definedName name="v_40_XPHA_PAO">Model!$N$182</definedName>
    <definedName name="v_40_XPP">Model!$AN$182</definedName>
    <definedName name="v_40_XSTR">Model!$BU$182</definedName>
    <definedName name="v_40_XU">Model!$M$182</definedName>
    <definedName name="v_40_XVivi">Model!$BV$182</definedName>
    <definedName name="v_41_CB">Model!$H$183</definedName>
    <definedName name="v_41_CU">Model!$L$183</definedName>
    <definedName name="v_41_GCH4">Model!$CE$183</definedName>
    <definedName name="v_41_GCH4_atm">Model!$CM$183</definedName>
    <definedName name="v_41_GCO2">Model!$CD$183</definedName>
    <definedName name="v_41_GCO2_atm">Model!$CL$183</definedName>
    <definedName name="v_41_GH2">Model!$CF$183</definedName>
    <definedName name="v_41_GH2_atm">Model!$CN$183</definedName>
    <definedName name="v_41_GN2">Model!$CK$183</definedName>
    <definedName name="v_41_GN2_atm">Model!$CS$183</definedName>
    <definedName name="v_41_GN2O">Model!$CJ$183</definedName>
    <definedName name="v_41_GN2O_atm">Model!$CR$183</definedName>
    <definedName name="v_41_GNH3">Model!$CH$183</definedName>
    <definedName name="v_41_GNH3_atm">Model!$CP$183</definedName>
    <definedName name="v_41_GNO">Model!$CI$183</definedName>
    <definedName name="v_41_GNO_atm">Model!$CQ$183</definedName>
    <definedName name="v_41_GO2">Model!$CG$183</definedName>
    <definedName name="v_41_GO2_atm">Model!$CO$183</definedName>
    <definedName name="v_41_SALPHA">Model!$CB$183</definedName>
    <definedName name="v_41_SAN">Model!$AY$183</definedName>
    <definedName name="v_41_SB">Model!$F$183</definedName>
    <definedName name="v_41_SCa">Model!$AZ$183</definedName>
    <definedName name="v_41_SCAT">Model!$AX$183</definedName>
    <definedName name="v_41_SCH4">Model!$AT$183</definedName>
    <definedName name="v_41_SCO2">Model!$AV$183</definedName>
    <definedName name="v_41_SFe2">Model!$BC$183</definedName>
    <definedName name="v_41_SH">Model!$CA$183</definedName>
    <definedName name="v_41_SH2">Model!$AU$183</definedName>
    <definedName name="v_41_SK">Model!$BB$183</definedName>
    <definedName name="v_41_SMEOL">Model!$G$183</definedName>
    <definedName name="v_41_SMg">Model!$BA$183</definedName>
    <definedName name="v_41_SN_B">Model!$AI$183</definedName>
    <definedName name="v_41_SN2">Model!$AH$183</definedName>
    <definedName name="v_41_SN2O">Model!$AG$183</definedName>
    <definedName name="v_41_SNH2OH">Model!$AB$183</definedName>
    <definedName name="v_41_SNHx">Model!$AA$183</definedName>
    <definedName name="v_41_SNO_AOB">Model!$AE$183</definedName>
    <definedName name="v_41_SNO_OHO">Model!$AF$183</definedName>
    <definedName name="v_41_SNO2">Model!$AD$183</definedName>
    <definedName name="v_41_SNO3">Model!$AC$183</definedName>
    <definedName name="v_41_SO2">Model!$AS$183</definedName>
    <definedName name="v_41_SORPswitch">Model!$CC$183</definedName>
    <definedName name="v_41_SP_B">Model!$AO$183</definedName>
    <definedName name="v_41_SPFOA">Model!$BW$183</definedName>
    <definedName name="v_41_SPFOS">Model!$BY$183</definedName>
    <definedName name="v_41_SPO4">Model!$AM$183</definedName>
    <definedName name="v_41_SU">Model!$K$183</definedName>
    <definedName name="v_41_SVFA">Model!$E$183</definedName>
    <definedName name="v_41_XACP">Model!$BS$183</definedName>
    <definedName name="v_41_XALGAE">Model!$Z$183</definedName>
    <definedName name="v_41_XAMETO">Model!$X$183</definedName>
    <definedName name="v_41_XAMX">Model!$W$183</definedName>
    <definedName name="v_41_XAOB">Model!$U$183</definedName>
    <definedName name="v_41_XB">Model!$I$183</definedName>
    <definedName name="v_41_XB_e">Model!$J$183</definedName>
    <definedName name="v_41_XBSH">Model!$BT$183</definedName>
    <definedName name="v_41_XCaCO3">Model!$BR$183</definedName>
    <definedName name="v_41_XCASTO">Model!$S$183</definedName>
    <definedName name="v_41_XE">Model!$P$183</definedName>
    <definedName name="v_41_XE_ana">Model!$Q$183</definedName>
    <definedName name="v_41_XHAO_H">Model!$BK$183</definedName>
    <definedName name="v_41_XHAO_H_P">Model!$BN$183</definedName>
    <definedName name="v_41_XHAO_H_P_old">Model!$BP$183</definedName>
    <definedName name="v_41_XHAO_L">Model!$BL$183</definedName>
    <definedName name="v_41_XHAO_L_P">Model!$BO$183</definedName>
    <definedName name="v_41_XHAO_L_P_old">Model!$BQ$183</definedName>
    <definedName name="v_41_XHAO_old">Model!$BM$183</definedName>
    <definedName name="v_41_XHFO_H">Model!$BD$183</definedName>
    <definedName name="v_41_XHFO_H_P">Model!$BG$183</definedName>
    <definedName name="v_41_XHFO_H_P_old">Model!$BI$183</definedName>
    <definedName name="v_41_XHFO_L">Model!$BE$183</definedName>
    <definedName name="v_41_XHFO_L_P">Model!$BH$183</definedName>
    <definedName name="v_41_XHFO_L_P_old">Model!$BJ$183</definedName>
    <definedName name="v_41_XHFO_old">Model!$BF$183</definedName>
    <definedName name="v_41_XHMETO">Model!$Y$183</definedName>
    <definedName name="v_41_XINORG">Model!$AW$183</definedName>
    <definedName name="v_41_XMEOLO">Model!$T$183</definedName>
    <definedName name="v_41_XN_B">Model!$AJ$183</definedName>
    <definedName name="v_41_XN_Be">Model!$AK$183</definedName>
    <definedName name="v_41_XN_U">Model!$AL$183</definedName>
    <definedName name="v_41_XNOB">Model!$V$183</definedName>
    <definedName name="v_41_XOHO">Model!$R$183</definedName>
    <definedName name="v_41_XP_B">Model!$AP$183</definedName>
    <definedName name="v_41_XP_Be">Model!$AQ$183</definedName>
    <definedName name="v_41_XP_U">Model!$AR$183</definedName>
    <definedName name="v_41_XPFOA">Model!$BX$183</definedName>
    <definedName name="v_41_XPFOS">Model!$BZ$183</definedName>
    <definedName name="v_41_XPHA_GAO">Model!$O$183</definedName>
    <definedName name="v_41_XPHA_PAO">Model!$N$183</definedName>
    <definedName name="v_41_XPP">Model!$AN$183</definedName>
    <definedName name="v_41_XSTR">Model!$BU$183</definedName>
    <definedName name="v_41_XU">Model!$M$183</definedName>
    <definedName name="v_41_XVivi">Model!$BV$183</definedName>
    <definedName name="v_42_CB">Model!$H$184</definedName>
    <definedName name="v_42_CU">Model!$L$184</definedName>
    <definedName name="v_42_GCH4">Model!$CE$184</definedName>
    <definedName name="v_42_GCH4_atm">Model!$CM$184</definedName>
    <definedName name="v_42_GCO2">Model!$CD$184</definedName>
    <definedName name="v_42_GCO2_atm">Model!$CL$184</definedName>
    <definedName name="v_42_GH2">Model!$CF$184</definedName>
    <definedName name="v_42_GH2_atm">Model!$CN$184</definedName>
    <definedName name="v_42_GN2">Model!$CK$184</definedName>
    <definedName name="v_42_GN2_atm">Model!$CS$184</definedName>
    <definedName name="v_42_GN2O">Model!$CJ$184</definedName>
    <definedName name="v_42_GN2O_atm">Model!$CR$184</definedName>
    <definedName name="v_42_GNH3">Model!$CH$184</definedName>
    <definedName name="v_42_GNH3_atm">Model!$CP$184</definedName>
    <definedName name="v_42_GNO">Model!$CI$184</definedName>
    <definedName name="v_42_GNO_atm">Model!$CQ$184</definedName>
    <definedName name="v_42_GO2">Model!$CG$184</definedName>
    <definedName name="v_42_GO2_atm">Model!$CO$184</definedName>
    <definedName name="v_42_SALPHA">Model!$CB$184</definedName>
    <definedName name="v_42_SAN">Model!$AY$184</definedName>
    <definedName name="v_42_SB">Model!$F$184</definedName>
    <definedName name="v_42_SCa">Model!$AZ$184</definedName>
    <definedName name="v_42_SCAT">Model!$AX$184</definedName>
    <definedName name="v_42_SCH4">Model!$AT$184</definedName>
    <definedName name="v_42_SCO2">Model!$AV$184</definedName>
    <definedName name="v_42_SFe2">Model!$BC$184</definedName>
    <definedName name="v_42_SH">Model!$CA$184</definedName>
    <definedName name="v_42_SH2">Model!$AU$184</definedName>
    <definedName name="v_42_SK">Model!$BB$184</definedName>
    <definedName name="v_42_SMEOL">Model!$G$184</definedName>
    <definedName name="v_42_SMg">Model!$BA$184</definedName>
    <definedName name="v_42_SN_B">Model!$AI$184</definedName>
    <definedName name="v_42_SN2">Model!$AH$184</definedName>
    <definedName name="v_42_SN2O">Model!$AG$184</definedName>
    <definedName name="v_42_SNH2OH">Model!$AB$184</definedName>
    <definedName name="v_42_SNHx">Model!$AA$184</definedName>
    <definedName name="v_42_SNO_AOB">Model!$AE$184</definedName>
    <definedName name="v_42_SNO_OHO">Model!$AF$184</definedName>
    <definedName name="v_42_SNO2">Model!$AD$184</definedName>
    <definedName name="v_42_SNO3">Model!$AC$184</definedName>
    <definedName name="v_42_SO2">Model!$AS$184</definedName>
    <definedName name="v_42_SORPswitch">Model!$CC$184</definedName>
    <definedName name="v_42_SP_B">Model!$AO$184</definedName>
    <definedName name="v_42_SPFOA">Model!$BW$184</definedName>
    <definedName name="v_42_SPFOS">Model!$BY$184</definedName>
    <definedName name="v_42_SPO4">Model!$AM$184</definedName>
    <definedName name="v_42_SU">Model!$K$184</definedName>
    <definedName name="v_42_SVFA">Model!$E$184</definedName>
    <definedName name="v_42_XACP">Model!$BS$184</definedName>
    <definedName name="v_42_XALGAE">Model!$Z$184</definedName>
    <definedName name="v_42_XAMETO">Model!$X$184</definedName>
    <definedName name="v_42_XAMX">Model!$W$184</definedName>
    <definedName name="v_42_XAOB">Model!$U$184</definedName>
    <definedName name="v_42_XB">Model!$I$184</definedName>
    <definedName name="v_42_XB_e">Model!$J$184</definedName>
    <definedName name="v_42_XBSH">Model!$BT$184</definedName>
    <definedName name="v_42_XCaCO3">Model!$BR$184</definedName>
    <definedName name="v_42_XCASTO">Model!$S$184</definedName>
    <definedName name="v_42_XE">Model!$P$184</definedName>
    <definedName name="v_42_XE_ana">Model!$Q$184</definedName>
    <definedName name="v_42_XHAO_H">Model!$BK$184</definedName>
    <definedName name="v_42_XHAO_H_P">Model!$BN$184</definedName>
    <definedName name="v_42_XHAO_H_P_old">Model!$BP$184</definedName>
    <definedName name="v_42_XHAO_L">Model!$BL$184</definedName>
    <definedName name="v_42_XHAO_L_P">Model!$BO$184</definedName>
    <definedName name="v_42_XHAO_L_P_old">Model!$BQ$184</definedName>
    <definedName name="v_42_XHAO_old">Model!$BM$184</definedName>
    <definedName name="v_42_XHFO_H">Model!$BD$184</definedName>
    <definedName name="v_42_XHFO_H_P">Model!$BG$184</definedName>
    <definedName name="v_42_XHFO_H_P_old">Model!$BI$184</definedName>
    <definedName name="v_42_XHFO_L">Model!$BE$184</definedName>
    <definedName name="v_42_XHFO_L_P">Model!$BH$184</definedName>
    <definedName name="v_42_XHFO_L_P_old">Model!$BJ$184</definedName>
    <definedName name="v_42_XHFO_old">Model!$BF$184</definedName>
    <definedName name="v_42_XHMETO">Model!$Y$184</definedName>
    <definedName name="v_42_XINORG">Model!$AW$184</definedName>
    <definedName name="v_42_XMEOLO">Model!$T$184</definedName>
    <definedName name="v_42_XN_B">Model!$AJ$184</definedName>
    <definedName name="v_42_XN_Be">Model!$AK$184</definedName>
    <definedName name="v_42_XN_U">Model!$AL$184</definedName>
    <definedName name="v_42_XNOB">Model!$V$184</definedName>
    <definedName name="v_42_XOHO">Model!$R$184</definedName>
    <definedName name="v_42_XP_B">Model!$AP$184</definedName>
    <definedName name="v_42_XP_Be">Model!$AQ$184</definedName>
    <definedName name="v_42_XP_U">Model!$AR$184</definedName>
    <definedName name="v_42_XPFOA">Model!$BX$184</definedName>
    <definedName name="v_42_XPFOS">Model!$BZ$184</definedName>
    <definedName name="v_42_XPHA_GAO">Model!$O$184</definedName>
    <definedName name="v_42_XPHA_PAO">Model!$N$184</definedName>
    <definedName name="v_42_XPP">Model!$AN$184</definedName>
    <definedName name="v_42_XSTR">Model!$BU$184</definedName>
    <definedName name="v_42_XU">Model!$M$184</definedName>
    <definedName name="v_42_XVivi">Model!$BV$184</definedName>
    <definedName name="v_43_CB">Model!$H$185</definedName>
    <definedName name="v_43_CU">Model!$L$185</definedName>
    <definedName name="v_43_GCH4">Model!$CE$185</definedName>
    <definedName name="v_43_GCH4_atm">Model!$CM$185</definedName>
    <definedName name="v_43_GCO2">Model!$CD$185</definedName>
    <definedName name="v_43_GCO2_atm">Model!$CL$185</definedName>
    <definedName name="v_43_GH2">Model!$CF$185</definedName>
    <definedName name="v_43_GH2_atm">Model!$CN$185</definedName>
    <definedName name="v_43_GN2">Model!$CK$185</definedName>
    <definedName name="v_43_GN2_atm">Model!$CS$185</definedName>
    <definedName name="v_43_GN2O">Model!$CJ$185</definedName>
    <definedName name="v_43_GN2O_atm">Model!$CR$185</definedName>
    <definedName name="v_43_GNH3">Model!$CH$185</definedName>
    <definedName name="v_43_GNH3_atm">Model!$CP$185</definedName>
    <definedName name="v_43_GNO">Model!$CI$185</definedName>
    <definedName name="v_43_GNO_atm">Model!$CQ$185</definedName>
    <definedName name="v_43_GO2">Model!$CG$185</definedName>
    <definedName name="v_43_GO2_atm">Model!$CO$185</definedName>
    <definedName name="v_43_SALPHA">Model!$CB$185</definedName>
    <definedName name="v_43_SAN">Model!$AY$185</definedName>
    <definedName name="v_43_SB">Model!$F$185</definedName>
    <definedName name="v_43_SCa">Model!$AZ$185</definedName>
    <definedName name="v_43_SCAT">Model!$AX$185</definedName>
    <definedName name="v_43_SCH4">Model!$AT$185</definedName>
    <definedName name="v_43_SCO2">Model!$AV$185</definedName>
    <definedName name="v_43_SFe2">Model!$BC$185</definedName>
    <definedName name="v_43_SH">Model!$CA$185</definedName>
    <definedName name="v_43_SH2">Model!$AU$185</definedName>
    <definedName name="v_43_SK">Model!$BB$185</definedName>
    <definedName name="v_43_SMEOL">Model!$G$185</definedName>
    <definedName name="v_43_SMg">Model!$BA$185</definedName>
    <definedName name="v_43_SN_B">Model!$AI$185</definedName>
    <definedName name="v_43_SN2">Model!$AH$185</definedName>
    <definedName name="v_43_SN2O">Model!$AG$185</definedName>
    <definedName name="v_43_SNH2OH">Model!$AB$185</definedName>
    <definedName name="v_43_SNHx">Model!$AA$185</definedName>
    <definedName name="v_43_SNO_AOB">Model!$AE$185</definedName>
    <definedName name="v_43_SNO_OHO">Model!$AF$185</definedName>
    <definedName name="v_43_SNO2">Model!$AD$185</definedName>
    <definedName name="v_43_SNO3">Model!$AC$185</definedName>
    <definedName name="v_43_SO2">Model!$AS$185</definedName>
    <definedName name="v_43_SORPswitch">Model!$CC$185</definedName>
    <definedName name="v_43_SP_B">Model!$AO$185</definedName>
    <definedName name="v_43_SPFOA">Model!$BW$185</definedName>
    <definedName name="v_43_SPFOS">Model!$BY$185</definedName>
    <definedName name="v_43_SPO4">Model!$AM$185</definedName>
    <definedName name="v_43_SU">Model!$K$185</definedName>
    <definedName name="v_43_SVFA">Model!$E$185</definedName>
    <definedName name="v_43_XACP">Model!$BS$185</definedName>
    <definedName name="v_43_XALGAE">Model!$Z$185</definedName>
    <definedName name="v_43_XAMETO">Model!$X$185</definedName>
    <definedName name="v_43_XAMX">Model!$W$185</definedName>
    <definedName name="v_43_XAOB">Model!$U$185</definedName>
    <definedName name="v_43_XB">Model!$I$185</definedName>
    <definedName name="v_43_XB_e">Model!$J$185</definedName>
    <definedName name="v_43_XBSH">Model!$BT$185</definedName>
    <definedName name="v_43_XCaCO3">Model!$BR$185</definedName>
    <definedName name="v_43_XCASTO">Model!$S$185</definedName>
    <definedName name="v_43_XE">Model!$P$185</definedName>
    <definedName name="v_43_XE_ana">Model!$Q$185</definedName>
    <definedName name="v_43_XHAO_H">Model!$BK$185</definedName>
    <definedName name="v_43_XHAO_H_P">Model!$BN$185</definedName>
    <definedName name="v_43_XHAO_H_P_old">Model!$BP$185</definedName>
    <definedName name="v_43_XHAO_L">Model!$BL$185</definedName>
    <definedName name="v_43_XHAO_L_P">Model!$BO$185</definedName>
    <definedName name="v_43_XHAO_L_P_old">Model!$BQ$185</definedName>
    <definedName name="v_43_XHAO_old">Model!$BM$185</definedName>
    <definedName name="v_43_XHFO_H">Model!$BD$185</definedName>
    <definedName name="v_43_XHFO_H_P">Model!$BG$185</definedName>
    <definedName name="v_43_XHFO_H_P_old">Model!$BI$185</definedName>
    <definedName name="v_43_XHFO_L">Model!$BE$185</definedName>
    <definedName name="v_43_XHFO_L_P">Model!$BH$185</definedName>
    <definedName name="v_43_XHFO_L_P_old">Model!$BJ$185</definedName>
    <definedName name="v_43_XHFO_old">Model!$BF$185</definedName>
    <definedName name="v_43_XHMETO">Model!$Y$185</definedName>
    <definedName name="v_43_XINORG">Model!$AW$185</definedName>
    <definedName name="v_43_XMEOLO">Model!$T$185</definedName>
    <definedName name="v_43_XN_B">Model!$AJ$185</definedName>
    <definedName name="v_43_XN_Be">Model!$AK$185</definedName>
    <definedName name="v_43_XN_U">Model!$AL$185</definedName>
    <definedName name="v_43_XNOB">Model!$V$185</definedName>
    <definedName name="v_43_XOHO">Model!$R$185</definedName>
    <definedName name="v_43_XP_B">Model!$AP$185</definedName>
    <definedName name="v_43_XP_Be">Model!$AQ$185</definedName>
    <definedName name="v_43_XP_U">Model!$AR$185</definedName>
    <definedName name="v_43_XPFOA">Model!$BX$185</definedName>
    <definedName name="v_43_XPFOS">Model!$BZ$185</definedName>
    <definedName name="v_43_XPHA_GAO">Model!$O$185</definedName>
    <definedName name="v_43_XPHA_PAO">Model!$N$185</definedName>
    <definedName name="v_43_XPP">Model!$AN$185</definedName>
    <definedName name="v_43_XSTR">Model!$BU$185</definedName>
    <definedName name="v_43_XU">Model!$M$185</definedName>
    <definedName name="v_43_XVivi">Model!$BV$185</definedName>
    <definedName name="v_44_CB">Model!$H$186</definedName>
    <definedName name="v_44_CU">Model!$L$186</definedName>
    <definedName name="v_44_GCH4">Model!$CE$186</definedName>
    <definedName name="v_44_GCH4_atm">Model!$CM$186</definedName>
    <definedName name="v_44_GCO2">Model!$CD$186</definedName>
    <definedName name="v_44_GCO2_atm">Model!$CL$186</definedName>
    <definedName name="v_44_GH2">Model!$CF$186</definedName>
    <definedName name="v_44_GH2_atm">Model!$CN$186</definedName>
    <definedName name="v_44_GN2">Model!$CK$186</definedName>
    <definedName name="v_44_GN2_atm">Model!$CS$186</definedName>
    <definedName name="v_44_GN2O">Model!$CJ$186</definedName>
    <definedName name="v_44_GN2O_atm">Model!$CR$186</definedName>
    <definedName name="v_44_GNH3">Model!$CH$186</definedName>
    <definedName name="v_44_GNH3_atm">Model!$CP$186</definedName>
    <definedName name="v_44_GNO">Model!$CI$186</definedName>
    <definedName name="v_44_GNO_atm">Model!$CQ$186</definedName>
    <definedName name="v_44_GO2">Model!$CG$186</definedName>
    <definedName name="v_44_GO2_atm">Model!$CO$186</definedName>
    <definedName name="v_44_SALPHA">Model!$CB$186</definedName>
    <definedName name="v_44_SAN">Model!$AY$186</definedName>
    <definedName name="v_44_SB">Model!$F$186</definedName>
    <definedName name="v_44_SCa">Model!$AZ$186</definedName>
    <definedName name="v_44_SCAT">Model!$AX$186</definedName>
    <definedName name="v_44_SCH4">Model!$AT$186</definedName>
    <definedName name="v_44_SCO2">Model!$AV$186</definedName>
    <definedName name="v_44_SFe2">Model!$BC$186</definedName>
    <definedName name="v_44_SH">Model!$CA$186</definedName>
    <definedName name="v_44_SH2">Model!$AU$186</definedName>
    <definedName name="v_44_SK">Model!$BB$186</definedName>
    <definedName name="v_44_SMEOL">Model!$G$186</definedName>
    <definedName name="v_44_SMg">Model!$BA$186</definedName>
    <definedName name="v_44_SN_B">Model!$AI$186</definedName>
    <definedName name="v_44_SN2">Model!$AH$186</definedName>
    <definedName name="v_44_SN2O">Model!$AG$186</definedName>
    <definedName name="v_44_SNH2OH">Model!$AB$186</definedName>
    <definedName name="v_44_SNHx">Model!$AA$186</definedName>
    <definedName name="v_44_SNO_AOB">Model!$AE$186</definedName>
    <definedName name="v_44_SNO_OHO">Model!$AF$186</definedName>
    <definedName name="v_44_SNO2">Model!$AD$186</definedName>
    <definedName name="v_44_SNO3">Model!$AC$186</definedName>
    <definedName name="v_44_SO2">Model!$AS$186</definedName>
    <definedName name="v_44_SORPswitch">Model!$CC$186</definedName>
    <definedName name="v_44_SP_B">Model!$AO$186</definedName>
    <definedName name="v_44_SPFOA">Model!$BW$186</definedName>
    <definedName name="v_44_SPFOS">Model!$BY$186</definedName>
    <definedName name="v_44_SPO4">Model!$AM$186</definedName>
    <definedName name="v_44_SU">Model!$K$186</definedName>
    <definedName name="v_44_SVFA">Model!$E$186</definedName>
    <definedName name="v_44_XACP">Model!$BS$186</definedName>
    <definedName name="v_44_XALGAE">Model!$Z$186</definedName>
    <definedName name="v_44_XAMETO">Model!$X$186</definedName>
    <definedName name="v_44_XAMX">Model!$W$186</definedName>
    <definedName name="v_44_XAOB">Model!$U$186</definedName>
    <definedName name="v_44_XB">Model!$I$186</definedName>
    <definedName name="v_44_XB_e">Model!$J$186</definedName>
    <definedName name="v_44_XBSH">Model!$BT$186</definedName>
    <definedName name="v_44_XCaCO3">Model!$BR$186</definedName>
    <definedName name="v_44_XCASTO">Model!$S$186</definedName>
    <definedName name="v_44_XE">Model!$P$186</definedName>
    <definedName name="v_44_XE_ana">Model!$Q$186</definedName>
    <definedName name="v_44_XHAO_H">Model!$BK$186</definedName>
    <definedName name="v_44_XHAO_H_P">Model!$BN$186</definedName>
    <definedName name="v_44_XHAO_H_P_old">Model!$BP$186</definedName>
    <definedName name="v_44_XHAO_L">Model!$BL$186</definedName>
    <definedName name="v_44_XHAO_L_P">Model!$BO$186</definedName>
    <definedName name="v_44_XHAO_L_P_old">Model!$BQ$186</definedName>
    <definedName name="v_44_XHAO_old">Model!$BM$186</definedName>
    <definedName name="v_44_XHFO_H">Model!$BD$186</definedName>
    <definedName name="v_44_XHFO_H_P">Model!$BG$186</definedName>
    <definedName name="v_44_XHFO_H_P_old">Model!$BI$186</definedName>
    <definedName name="v_44_XHFO_L">Model!$BE$186</definedName>
    <definedName name="v_44_XHFO_L_P">Model!$BH$186</definedName>
    <definedName name="v_44_XHFO_L_P_old">Model!$BJ$186</definedName>
    <definedName name="v_44_XHFO_old">Model!$BF$186</definedName>
    <definedName name="v_44_XHMETO">Model!$Y$186</definedName>
    <definedName name="v_44_XINORG">Model!$AW$186</definedName>
    <definedName name="v_44_XMEOLO">Model!$T$186</definedName>
    <definedName name="v_44_XN_B">Model!$AJ$186</definedName>
    <definedName name="v_44_XN_Be">Model!$AK$186</definedName>
    <definedName name="v_44_XN_U">Model!$AL$186</definedName>
    <definedName name="v_44_XNOB">Model!$V$186</definedName>
    <definedName name="v_44_XOHO">Model!$R$186</definedName>
    <definedName name="v_44_XP_B">Model!$AP$186</definedName>
    <definedName name="v_44_XP_Be">Model!$AQ$186</definedName>
    <definedName name="v_44_XP_U">Model!$AR$186</definedName>
    <definedName name="v_44_XPFOA">Model!$BX$186</definedName>
    <definedName name="v_44_XPFOS">Model!$BZ$186</definedName>
    <definedName name="v_44_XPHA_GAO">Model!$O$186</definedName>
    <definedName name="v_44_XPHA_PAO">Model!$N$186</definedName>
    <definedName name="v_44_XPP">Model!$AN$186</definedName>
    <definedName name="v_44_XSTR">Model!$BU$186</definedName>
    <definedName name="v_44_XU">Model!$M$186</definedName>
    <definedName name="v_44_XVivi">Model!$BV$186</definedName>
    <definedName name="v_45_CB">Model!$H$187</definedName>
    <definedName name="v_45_CU">Model!$L$187</definedName>
    <definedName name="v_45_GCH4">Model!$CE$187</definedName>
    <definedName name="v_45_GCH4_atm">Model!$CM$187</definedName>
    <definedName name="v_45_GCO2">Model!$CD$187</definedName>
    <definedName name="v_45_GCO2_atm">Model!$CL$187</definedName>
    <definedName name="v_45_GH2">Model!$CF$187</definedName>
    <definedName name="v_45_GH2_atm">Model!$CN$187</definedName>
    <definedName name="v_45_GN2">Model!$CK$187</definedName>
    <definedName name="v_45_GN2_atm">Model!$CS$187</definedName>
    <definedName name="v_45_GN2O">Model!$CJ$187</definedName>
    <definedName name="v_45_GN2O_atm">Model!$CR$187</definedName>
    <definedName name="v_45_GNH3">Model!$CH$187</definedName>
    <definedName name="v_45_GNH3_atm">Model!$CP$187</definedName>
    <definedName name="v_45_GNO">Model!$CI$187</definedName>
    <definedName name="v_45_GNO_atm">Model!$CQ$187</definedName>
    <definedName name="v_45_GO2">Model!$CG$187</definedName>
    <definedName name="v_45_GO2_atm">Model!$CO$187</definedName>
    <definedName name="v_45_SALPHA">Model!$CB$187</definedName>
    <definedName name="v_45_SAN">Model!$AY$187</definedName>
    <definedName name="v_45_SB">Model!$F$187</definedName>
    <definedName name="v_45_SCa">Model!$AZ$187</definedName>
    <definedName name="v_45_SCAT">Model!$AX$187</definedName>
    <definedName name="v_45_SCH4">Model!$AT$187</definedName>
    <definedName name="v_45_SCO2">Model!$AV$187</definedName>
    <definedName name="v_45_SFe2">Model!$BC$187</definedName>
    <definedName name="v_45_SH">Model!$CA$187</definedName>
    <definedName name="v_45_SH2">Model!$AU$187</definedName>
    <definedName name="v_45_SK">Model!$BB$187</definedName>
    <definedName name="v_45_SMEOL">Model!$G$187</definedName>
    <definedName name="v_45_SMg">Model!$BA$187</definedName>
    <definedName name="v_45_SN_B">Model!$AI$187</definedName>
    <definedName name="v_45_SN2">Model!$AH$187</definedName>
    <definedName name="v_45_SN2O">Model!$AG$187</definedName>
    <definedName name="v_45_SNH2OH">Model!$AB$187</definedName>
    <definedName name="v_45_SNHx">Model!$AA$187</definedName>
    <definedName name="v_45_SNO_AOB">Model!$AE$187</definedName>
    <definedName name="v_45_SNO_OHO">Model!$AF$187</definedName>
    <definedName name="v_45_SNO2">Model!$AD$187</definedName>
    <definedName name="v_45_SNO3">Model!$AC$187</definedName>
    <definedName name="v_45_SO2">Model!$AS$187</definedName>
    <definedName name="v_45_SORPswitch">Model!$CC$187</definedName>
    <definedName name="v_45_SP_B">Model!$AO$187</definedName>
    <definedName name="v_45_SPFOA">Model!$BW$187</definedName>
    <definedName name="v_45_SPFOS">Model!$BY$187</definedName>
    <definedName name="v_45_SPO4">Model!$AM$187</definedName>
    <definedName name="v_45_SU">Model!$K$187</definedName>
    <definedName name="v_45_SVFA">Model!$E$187</definedName>
    <definedName name="v_45_XACP">Model!$BS$187</definedName>
    <definedName name="v_45_XALGAE">Model!$Z$187</definedName>
    <definedName name="v_45_XAMETO">Model!$X$187</definedName>
    <definedName name="v_45_XAMX">Model!$W$187</definedName>
    <definedName name="v_45_XAOB">Model!$U$187</definedName>
    <definedName name="v_45_XB">Model!$I$187</definedName>
    <definedName name="v_45_XB_e">Model!$J$187</definedName>
    <definedName name="v_45_XBSH">Model!$BT$187</definedName>
    <definedName name="v_45_XCaCO3">Model!$BR$187</definedName>
    <definedName name="v_45_XCASTO">Model!$S$187</definedName>
    <definedName name="v_45_XE">Model!$P$187</definedName>
    <definedName name="v_45_XE_ana">Model!$Q$187</definedName>
    <definedName name="v_45_XHAO_H">Model!$BK$187</definedName>
    <definedName name="v_45_XHAO_H_P">Model!$BN$187</definedName>
    <definedName name="v_45_XHAO_H_P_old">Model!$BP$187</definedName>
    <definedName name="v_45_XHAO_L">Model!$BL$187</definedName>
    <definedName name="v_45_XHAO_L_P">Model!$BO$187</definedName>
    <definedName name="v_45_XHAO_L_P_old">Model!$BQ$187</definedName>
    <definedName name="v_45_XHAO_old">Model!$BM$187</definedName>
    <definedName name="v_45_XHFO_H">Model!$BD$187</definedName>
    <definedName name="v_45_XHFO_H_P">Model!$BG$187</definedName>
    <definedName name="v_45_XHFO_H_P_old">Model!$BI$187</definedName>
    <definedName name="v_45_XHFO_L">Model!$BE$187</definedName>
    <definedName name="v_45_XHFO_L_P">Model!$BH$187</definedName>
    <definedName name="v_45_XHFO_L_P_old">Model!$BJ$187</definedName>
    <definedName name="v_45_XHFO_old">Model!$BF$187</definedName>
    <definedName name="v_45_XHMETO">Model!$Y$187</definedName>
    <definedName name="v_45_XINORG">Model!$AW$187</definedName>
    <definedName name="v_45_XMEOLO">Model!$T$187</definedName>
    <definedName name="v_45_XN_B">Model!$AJ$187</definedName>
    <definedName name="v_45_XN_Be">Model!$AK$187</definedName>
    <definedName name="v_45_XN_U">Model!$AL$187</definedName>
    <definedName name="v_45_XNOB">Model!$V$187</definedName>
    <definedName name="v_45_XOHO">Model!$R$187</definedName>
    <definedName name="v_45_XP_B">Model!$AP$187</definedName>
    <definedName name="v_45_XP_Be">Model!$AQ$187</definedName>
    <definedName name="v_45_XP_U">Model!$AR$187</definedName>
    <definedName name="v_45_XPFOA">Model!$BX$187</definedName>
    <definedName name="v_45_XPFOS">Model!$BZ$187</definedName>
    <definedName name="v_45_XPHA_GAO">Model!$O$187</definedName>
    <definedName name="v_45_XPHA_PAO">Model!$N$187</definedName>
    <definedName name="v_45_XPP">Model!$AN$187</definedName>
    <definedName name="v_45_XSTR">Model!$BU$187</definedName>
    <definedName name="v_45_XU">Model!$M$187</definedName>
    <definedName name="v_45_XVivi">Model!$BV$187</definedName>
    <definedName name="v_46_CB">Model!$H$188</definedName>
    <definedName name="v_46_CU">Model!$L$188</definedName>
    <definedName name="v_46_GCH4">Model!$CE$188</definedName>
    <definedName name="v_46_GCH4_atm">Model!$CM$188</definedName>
    <definedName name="v_46_GCO2">Model!$CD$188</definedName>
    <definedName name="v_46_GCO2_atm">Model!$CL$188</definedName>
    <definedName name="v_46_GH2">Model!$CF$188</definedName>
    <definedName name="v_46_GH2_atm">Model!$CN$188</definedName>
    <definedName name="v_46_GN2">Model!$CK$188</definedName>
    <definedName name="v_46_GN2_atm">Model!$CS$188</definedName>
    <definedName name="v_46_GN2O">Model!$CJ$188</definedName>
    <definedName name="v_46_GN2O_atm">Model!$CR$188</definedName>
    <definedName name="v_46_GNH3">Model!$CH$188</definedName>
    <definedName name="v_46_GNH3_atm">Model!$CP$188</definedName>
    <definedName name="v_46_GNO">Model!$CI$188</definedName>
    <definedName name="v_46_GNO_atm">Model!$CQ$188</definedName>
    <definedName name="v_46_GO2">Model!$CG$188</definedName>
    <definedName name="v_46_GO2_atm">Model!$CO$188</definedName>
    <definedName name="v_46_SALPHA">Model!$CB$188</definedName>
    <definedName name="v_46_SAN">Model!$AY$188</definedName>
    <definedName name="v_46_SB">Model!$F$188</definedName>
    <definedName name="v_46_SCa">Model!$AZ$188</definedName>
    <definedName name="v_46_SCAT">Model!$AX$188</definedName>
    <definedName name="v_46_SCH4">Model!$AT$188</definedName>
    <definedName name="v_46_SCO2">Model!$AV$188</definedName>
    <definedName name="v_46_SFe2">Model!$BC$188</definedName>
    <definedName name="v_46_SH">Model!$CA$188</definedName>
    <definedName name="v_46_SH2">Model!$AU$188</definedName>
    <definedName name="v_46_SK">Model!$BB$188</definedName>
    <definedName name="v_46_SMEOL">Model!$G$188</definedName>
    <definedName name="v_46_SMg">Model!$BA$188</definedName>
    <definedName name="v_46_SN_B">Model!$AI$188</definedName>
    <definedName name="v_46_SN2">Model!$AH$188</definedName>
    <definedName name="v_46_SN2O">Model!$AG$188</definedName>
    <definedName name="v_46_SNH2OH">Model!$AB$188</definedName>
    <definedName name="v_46_SNHx">Model!$AA$188</definedName>
    <definedName name="v_46_SNO_AOB">Model!$AE$188</definedName>
    <definedName name="v_46_SNO_OHO">Model!$AF$188</definedName>
    <definedName name="v_46_SNO2">Model!$AD$188</definedName>
    <definedName name="v_46_SNO3">Model!$AC$188</definedName>
    <definedName name="v_46_SO2">Model!$AS$188</definedName>
    <definedName name="v_46_SORPswitch">Model!$CC$188</definedName>
    <definedName name="v_46_SP_B">Model!$AO$188</definedName>
    <definedName name="v_46_SPFOA">Model!$BW$188</definedName>
    <definedName name="v_46_SPFOS">Model!$BY$188</definedName>
    <definedName name="v_46_SPO4">Model!$AM$188</definedName>
    <definedName name="v_46_SU">Model!$K$188</definedName>
    <definedName name="v_46_SVFA">Model!$E$188</definedName>
    <definedName name="v_46_XACP">Model!$BS$188</definedName>
    <definedName name="v_46_XALGAE">Model!$Z$188</definedName>
    <definedName name="v_46_XAMETO">Model!$X$188</definedName>
    <definedName name="v_46_XAMX">Model!$W$188</definedName>
    <definedName name="v_46_XAOB">Model!$U$188</definedName>
    <definedName name="v_46_XB">Model!$I$188</definedName>
    <definedName name="v_46_XB_e">Model!$J$188</definedName>
    <definedName name="v_46_XBSH">Model!$BT$188</definedName>
    <definedName name="v_46_XCaCO3">Model!$BR$188</definedName>
    <definedName name="v_46_XCASTO">Model!$S$188</definedName>
    <definedName name="v_46_XE">Model!$P$188</definedName>
    <definedName name="v_46_XE_ana">Model!$Q$188</definedName>
    <definedName name="v_46_XHAO_H">Model!$BK$188</definedName>
    <definedName name="v_46_XHAO_H_P">Model!$BN$188</definedName>
    <definedName name="v_46_XHAO_H_P_old">Model!$BP$188</definedName>
    <definedName name="v_46_XHAO_L">Model!$BL$188</definedName>
    <definedName name="v_46_XHAO_L_P">Model!$BO$188</definedName>
    <definedName name="v_46_XHAO_L_P_old">Model!$BQ$188</definedName>
    <definedName name="v_46_XHAO_old">Model!$BM$188</definedName>
    <definedName name="v_46_XHFO_H">Model!$BD$188</definedName>
    <definedName name="v_46_XHFO_H_P">Model!$BG$188</definedName>
    <definedName name="v_46_XHFO_H_P_old">Model!$BI$188</definedName>
    <definedName name="v_46_XHFO_L">Model!$BE$188</definedName>
    <definedName name="v_46_XHFO_L_P">Model!$BH$188</definedName>
    <definedName name="v_46_XHFO_L_P_old">Model!$BJ$188</definedName>
    <definedName name="v_46_XHFO_old">Model!$BF$188</definedName>
    <definedName name="v_46_XHMETO">Model!$Y$188</definedName>
    <definedName name="v_46_XINORG">Model!$AW$188</definedName>
    <definedName name="v_46_XMEOLO">Model!$T$188</definedName>
    <definedName name="v_46_XN_B">Model!$AJ$188</definedName>
    <definedName name="v_46_XN_Be">Model!$AK$188</definedName>
    <definedName name="v_46_XN_U">Model!$AL$188</definedName>
    <definedName name="v_46_XNOB">Model!$V$188</definedName>
    <definedName name="v_46_XOHO">Model!$R$188</definedName>
    <definedName name="v_46_XP_B">Model!$AP$188</definedName>
    <definedName name="v_46_XP_Be">Model!$AQ$188</definedName>
    <definedName name="v_46_XP_U">Model!$AR$188</definedName>
    <definedName name="v_46_XPFOA">Model!$BX$188</definedName>
    <definedName name="v_46_XPFOS">Model!$BZ$188</definedName>
    <definedName name="v_46_XPHA_GAO">Model!$O$188</definedName>
    <definedName name="v_46_XPHA_PAO">Model!$N$188</definedName>
    <definedName name="v_46_XPP">Model!$AN$188</definedName>
    <definedName name="v_46_XSTR">Model!$BU$188</definedName>
    <definedName name="v_46_XU">Model!$M$188</definedName>
    <definedName name="v_46_XVivi">Model!$BV$188</definedName>
    <definedName name="v_47_CB">Model!$H$189</definedName>
    <definedName name="v_47_CU">Model!$L$189</definedName>
    <definedName name="v_47_GCH4">Model!$CE$189</definedName>
    <definedName name="v_47_GCH4_atm">Model!$CM$189</definedName>
    <definedName name="v_47_GCO2">Model!$CD$189</definedName>
    <definedName name="v_47_GCO2_atm">Model!$CL$189</definedName>
    <definedName name="v_47_GH2">Model!$CF$189</definedName>
    <definedName name="v_47_GH2_atm">Model!$CN$189</definedName>
    <definedName name="v_47_GN2">Model!$CK$189</definedName>
    <definedName name="v_47_GN2_atm">Model!$CS$189</definedName>
    <definedName name="v_47_GN2O">Model!$CJ$189</definedName>
    <definedName name="v_47_GN2O_atm">Model!$CR$189</definedName>
    <definedName name="v_47_GNH3">Model!$CH$189</definedName>
    <definedName name="v_47_GNH3_atm">Model!$CP$189</definedName>
    <definedName name="v_47_GNO">Model!$CI$189</definedName>
    <definedName name="v_47_GNO_atm">Model!$CQ$189</definedName>
    <definedName name="v_47_GO2">Model!$CG$189</definedName>
    <definedName name="v_47_GO2_atm">Model!$CO$189</definedName>
    <definedName name="v_47_SALPHA">Model!$CB$189</definedName>
    <definedName name="v_47_SAN">Model!$AY$189</definedName>
    <definedName name="v_47_SB">Model!$F$189</definedName>
    <definedName name="v_47_SCa">Model!$AZ$189</definedName>
    <definedName name="v_47_SCAT">Model!$AX$189</definedName>
    <definedName name="v_47_SCH4">Model!$AT$189</definedName>
    <definedName name="v_47_SCO2">Model!$AV$189</definedName>
    <definedName name="v_47_SFe2">Model!$BC$189</definedName>
    <definedName name="v_47_SH">Model!$CA$189</definedName>
    <definedName name="v_47_SH2">Model!$AU$189</definedName>
    <definedName name="v_47_SK">Model!$BB$189</definedName>
    <definedName name="v_47_SMEOL">Model!$G$189</definedName>
    <definedName name="v_47_SMg">Model!$BA$189</definedName>
    <definedName name="v_47_SN_B">Model!$AI$189</definedName>
    <definedName name="v_47_SN2">Model!$AH$189</definedName>
    <definedName name="v_47_SN2O">Model!$AG$189</definedName>
    <definedName name="v_47_SNH2OH">Model!$AB$189</definedName>
    <definedName name="v_47_SNHx">Model!$AA$189</definedName>
    <definedName name="v_47_SNO_AOB">Model!$AE$189</definedName>
    <definedName name="v_47_SNO_OHO">Model!$AF$189</definedName>
    <definedName name="v_47_SNO2">Model!$AD$189</definedName>
    <definedName name="v_47_SNO3">Model!$AC$189</definedName>
    <definedName name="v_47_SO2">Model!$AS$189</definedName>
    <definedName name="v_47_SORPswitch">Model!$CC$189</definedName>
    <definedName name="v_47_SP_B">Model!$AO$189</definedName>
    <definedName name="v_47_SPFOA">Model!$BW$189</definedName>
    <definedName name="v_47_SPFOS">Model!$BY$189</definedName>
    <definedName name="v_47_SPO4">Model!$AM$189</definedName>
    <definedName name="v_47_SU">Model!$K$189</definedName>
    <definedName name="v_47_SVFA">Model!$E$189</definedName>
    <definedName name="v_47_XACP">Model!$BS$189</definedName>
    <definedName name="v_47_XALGAE">Model!$Z$189</definedName>
    <definedName name="v_47_XAMETO">Model!$X$189</definedName>
    <definedName name="v_47_XAMX">Model!$W$189</definedName>
    <definedName name="v_47_XAOB">Model!$U$189</definedName>
    <definedName name="v_47_XB">Model!$I$189</definedName>
    <definedName name="v_47_XB_e">Model!$J$189</definedName>
    <definedName name="v_47_XBSH">Model!$BT$189</definedName>
    <definedName name="v_47_XCaCO3">Model!$BR$189</definedName>
    <definedName name="v_47_XCASTO">Model!$S$189</definedName>
    <definedName name="v_47_XE">Model!$P$189</definedName>
    <definedName name="v_47_XE_ana">Model!$Q$189</definedName>
    <definedName name="v_47_XHAO_H">Model!$BK$189</definedName>
    <definedName name="v_47_XHAO_H_P">Model!$BN$189</definedName>
    <definedName name="v_47_XHAO_H_P_old">Model!$BP$189</definedName>
    <definedName name="v_47_XHAO_L">Model!$BL$189</definedName>
    <definedName name="v_47_XHAO_L_P">Model!$BO$189</definedName>
    <definedName name="v_47_XHAO_L_P_old">Model!$BQ$189</definedName>
    <definedName name="v_47_XHAO_old">Model!$BM$189</definedName>
    <definedName name="v_47_XHFO_H">Model!$BD$189</definedName>
    <definedName name="v_47_XHFO_H_P">Model!$BG$189</definedName>
    <definedName name="v_47_XHFO_H_P_old">Model!$BI$189</definedName>
    <definedName name="v_47_XHFO_L">Model!$BE$189</definedName>
    <definedName name="v_47_XHFO_L_P">Model!$BH$189</definedName>
    <definedName name="v_47_XHFO_L_P_old">Model!$BJ$189</definedName>
    <definedName name="v_47_XHFO_old">Model!$BF$189</definedName>
    <definedName name="v_47_XHMETO">Model!$Y$189</definedName>
    <definedName name="v_47_XINORG">Model!$AW$189</definedName>
    <definedName name="v_47_XMEOLO">Model!$T$189</definedName>
    <definedName name="v_47_XN_B">Model!$AJ$189</definedName>
    <definedName name="v_47_XN_Be">Model!$AK$189</definedName>
    <definedName name="v_47_XN_U">Model!$AL$189</definedName>
    <definedName name="v_47_XNOB">Model!$V$189</definedName>
    <definedName name="v_47_XOHO">Model!$R$189</definedName>
    <definedName name="v_47_XP_B">Model!$AP$189</definedName>
    <definedName name="v_47_XP_Be">Model!$AQ$189</definedName>
    <definedName name="v_47_XP_U">Model!$AR$189</definedName>
    <definedName name="v_47_XPFOA">Model!$BX$189</definedName>
    <definedName name="v_47_XPFOS">Model!$BZ$189</definedName>
    <definedName name="v_47_XPHA_GAO">Model!$O$189</definedName>
    <definedName name="v_47_XPHA_PAO">Model!$N$189</definedName>
    <definedName name="v_47_XPP">Model!$AN$189</definedName>
    <definedName name="v_47_XSTR">Model!$BU$189</definedName>
    <definedName name="v_47_XU">Model!$M$189</definedName>
    <definedName name="v_47_XVivi">Model!$BV$189</definedName>
    <definedName name="v_48_CB">Model!$H$190</definedName>
    <definedName name="v_48_CU">Model!$L$190</definedName>
    <definedName name="v_48_GCH4">Model!$CE$190</definedName>
    <definedName name="v_48_GCH4_atm">Model!$CM$190</definedName>
    <definedName name="v_48_GCO2">Model!$CD$190</definedName>
    <definedName name="v_48_GCO2_atm">Model!$CL$190</definedName>
    <definedName name="v_48_GH2">Model!$CF$190</definedName>
    <definedName name="v_48_GH2_atm">Model!$CN$190</definedName>
    <definedName name="v_48_GN2">Model!$CK$190</definedName>
    <definedName name="v_48_GN2_atm">Model!$CS$190</definedName>
    <definedName name="v_48_GN2O">Model!$CJ$190</definedName>
    <definedName name="v_48_GN2O_atm">Model!$CR$190</definedName>
    <definedName name="v_48_GNH3">Model!$CH$190</definedName>
    <definedName name="v_48_GNH3_atm">Model!$CP$190</definedName>
    <definedName name="v_48_GNO">Model!$CI$190</definedName>
    <definedName name="v_48_GNO_atm">Model!$CQ$190</definedName>
    <definedName name="v_48_GO2">Model!$CG$190</definedName>
    <definedName name="v_48_GO2_atm">Model!$CO$190</definedName>
    <definedName name="v_48_SALPHA">Model!$CB$190</definedName>
    <definedName name="v_48_SAN">Model!$AY$190</definedName>
    <definedName name="v_48_SB">Model!$F$190</definedName>
    <definedName name="v_48_SCa">Model!$AZ$190</definedName>
    <definedName name="v_48_SCAT">Model!$AX$190</definedName>
    <definedName name="v_48_SCH4">Model!$AT$190</definedName>
    <definedName name="v_48_SCO2">Model!$AV$190</definedName>
    <definedName name="v_48_SFe2">Model!$BC$190</definedName>
    <definedName name="v_48_SH">Model!$CA$190</definedName>
    <definedName name="v_48_SH2">Model!$AU$190</definedName>
    <definedName name="v_48_SK">Model!$BB$190</definedName>
    <definedName name="v_48_SMEOL">Model!$G$190</definedName>
    <definedName name="v_48_SMg">Model!$BA$190</definedName>
    <definedName name="v_48_SN_B">Model!$AI$190</definedName>
    <definedName name="v_48_SN2">Model!$AH$190</definedName>
    <definedName name="v_48_SN2O">Model!$AG$190</definedName>
    <definedName name="v_48_SNH2OH">Model!$AB$190</definedName>
    <definedName name="v_48_SNHx">Model!$AA$190</definedName>
    <definedName name="v_48_SNO_AOB">Model!$AE$190</definedName>
    <definedName name="v_48_SNO_OHO">Model!$AF$190</definedName>
    <definedName name="v_48_SNO2">Model!$AD$190</definedName>
    <definedName name="v_48_SNO3">Model!$AC$190</definedName>
    <definedName name="v_48_SO2">Model!$AS$190</definedName>
    <definedName name="v_48_SORPswitch">Model!$CC$190</definedName>
    <definedName name="v_48_SP_B">Model!$AO$190</definedName>
    <definedName name="v_48_SPFOA">Model!$BW$190</definedName>
    <definedName name="v_48_SPFOS">Model!$BY$190</definedName>
    <definedName name="v_48_SPO4">Model!$AM$190</definedName>
    <definedName name="v_48_SU">Model!$K$190</definedName>
    <definedName name="v_48_SVFA">Model!$E$190</definedName>
    <definedName name="v_48_XACP">Model!$BS$190</definedName>
    <definedName name="v_48_XALGAE">Model!$Z$190</definedName>
    <definedName name="v_48_XAMETO">Model!$X$190</definedName>
    <definedName name="v_48_XAMX">Model!$W$190</definedName>
    <definedName name="v_48_XAOB">Model!$U$190</definedName>
    <definedName name="v_48_XB">Model!$I$190</definedName>
    <definedName name="v_48_XB_e">Model!$J$190</definedName>
    <definedName name="v_48_XBSH">Model!$BT$190</definedName>
    <definedName name="v_48_XCaCO3">Model!$BR$190</definedName>
    <definedName name="v_48_XCASTO">Model!$S$190</definedName>
    <definedName name="v_48_XE">Model!$P$190</definedName>
    <definedName name="v_48_XE_ana">Model!$Q$190</definedName>
    <definedName name="v_48_XHAO_H">Model!$BK$190</definedName>
    <definedName name="v_48_XHAO_H_P">Model!$BN$190</definedName>
    <definedName name="v_48_XHAO_H_P_old">Model!$BP$190</definedName>
    <definedName name="v_48_XHAO_L">Model!$BL$190</definedName>
    <definedName name="v_48_XHAO_L_P">Model!$BO$190</definedName>
    <definedName name="v_48_XHAO_L_P_old">Model!$BQ$190</definedName>
    <definedName name="v_48_XHAO_old">Model!$BM$190</definedName>
    <definedName name="v_48_XHFO_H">Model!$BD$190</definedName>
    <definedName name="v_48_XHFO_H_P">Model!$BG$190</definedName>
    <definedName name="v_48_XHFO_H_P_old">Model!$BI$190</definedName>
    <definedName name="v_48_XHFO_L">Model!$BE$190</definedName>
    <definedName name="v_48_XHFO_L_P">Model!$BH$190</definedName>
    <definedName name="v_48_XHFO_L_P_old">Model!$BJ$190</definedName>
    <definedName name="v_48_XHFO_old">Model!$BF$190</definedName>
    <definedName name="v_48_XHMETO">Model!$Y$190</definedName>
    <definedName name="v_48_XINORG">Model!$AW$190</definedName>
    <definedName name="v_48_XMEOLO">Model!$T$190</definedName>
    <definedName name="v_48_XN_B">Model!$AJ$190</definedName>
    <definedName name="v_48_XN_Be">Model!$AK$190</definedName>
    <definedName name="v_48_XN_U">Model!$AL$190</definedName>
    <definedName name="v_48_XNOB">Model!$V$190</definedName>
    <definedName name="v_48_XOHO">Model!$R$190</definedName>
    <definedName name="v_48_XP_B">Model!$AP$190</definedName>
    <definedName name="v_48_XP_Be">Model!$AQ$190</definedName>
    <definedName name="v_48_XP_U">Model!$AR$190</definedName>
    <definedName name="v_48_XPFOA">Model!$BX$190</definedName>
    <definedName name="v_48_XPFOS">Model!$BZ$190</definedName>
    <definedName name="v_48_XPHA_GAO">Model!$O$190</definedName>
    <definedName name="v_48_XPHA_PAO">Model!$N$190</definedName>
    <definedName name="v_48_XPP">Model!$AN$190</definedName>
    <definedName name="v_48_XSTR">Model!$BU$190</definedName>
    <definedName name="v_48_XU">Model!$M$190</definedName>
    <definedName name="v_48_XVivi">Model!$BV$190</definedName>
    <definedName name="v_49_CB">Model!$H$191</definedName>
    <definedName name="v_49_CU">Model!$L$191</definedName>
    <definedName name="v_49_GCH4">Model!$CE$191</definedName>
    <definedName name="v_49_GCH4_atm">Model!$CM$191</definedName>
    <definedName name="v_49_GCO2">Model!$CD$191</definedName>
    <definedName name="v_49_GCO2_atm">Model!$CL$191</definedName>
    <definedName name="v_49_GH2">Model!$CF$191</definedName>
    <definedName name="v_49_GH2_atm">Model!$CN$191</definedName>
    <definedName name="v_49_GN2">Model!$CK$191</definedName>
    <definedName name="v_49_GN2_atm">Model!$CS$191</definedName>
    <definedName name="v_49_GN2O">Model!$CJ$191</definedName>
    <definedName name="v_49_GN2O_atm">Model!$CR$191</definedName>
    <definedName name="v_49_GNH3">Model!$CH$191</definedName>
    <definedName name="v_49_GNH3_atm">Model!$CP$191</definedName>
    <definedName name="v_49_GNO">Model!$CI$191</definedName>
    <definedName name="v_49_GNO_atm">Model!$CQ$191</definedName>
    <definedName name="v_49_GO2">Model!$CG$191</definedName>
    <definedName name="v_49_GO2_atm">Model!$CO$191</definedName>
    <definedName name="v_49_SALPHA">Model!$CB$191</definedName>
    <definedName name="v_49_SAN">Model!$AY$191</definedName>
    <definedName name="v_49_SB">Model!$F$191</definedName>
    <definedName name="v_49_SCa">Model!$AZ$191</definedName>
    <definedName name="v_49_SCAT">Model!$AX$191</definedName>
    <definedName name="v_49_SCH4">Model!$AT$191</definedName>
    <definedName name="v_49_SCO2">Model!$AV$191</definedName>
    <definedName name="v_49_SFe2">Model!$BC$191</definedName>
    <definedName name="v_49_SH">Model!$CA$191</definedName>
    <definedName name="v_49_SH2">Model!$AU$191</definedName>
    <definedName name="v_49_SK">Model!$BB$191</definedName>
    <definedName name="v_49_SMEOL">Model!$G$191</definedName>
    <definedName name="v_49_SMg">Model!$BA$191</definedName>
    <definedName name="v_49_SN_B">Model!$AI$191</definedName>
    <definedName name="v_49_SN2">Model!$AH$191</definedName>
    <definedName name="v_49_SN2O">Model!$AG$191</definedName>
    <definedName name="v_49_SNH2OH">Model!$AB$191</definedName>
    <definedName name="v_49_SNHx">Model!$AA$191</definedName>
    <definedName name="v_49_SNO_AOB">Model!$AE$191</definedName>
    <definedName name="v_49_SNO_OHO">Model!$AF$191</definedName>
    <definedName name="v_49_SNO2">Model!$AD$191</definedName>
    <definedName name="v_49_SNO3">Model!$AC$191</definedName>
    <definedName name="v_49_SO2">Model!$AS$191</definedName>
    <definedName name="v_49_SORPswitch">Model!$CC$191</definedName>
    <definedName name="v_49_SP_B">Model!$AO$191</definedName>
    <definedName name="v_49_SPFOA">Model!$BW$191</definedName>
    <definedName name="v_49_SPFOS">Model!$BY$191</definedName>
    <definedName name="v_49_SPO4">Model!$AM$191</definedName>
    <definedName name="v_49_SU">Model!$K$191</definedName>
    <definedName name="v_49_SVFA">Model!$E$191</definedName>
    <definedName name="v_49_XACP">Model!$BS$191</definedName>
    <definedName name="v_49_XALGAE">Model!$Z$191</definedName>
    <definedName name="v_49_XAMETO">Model!$X$191</definedName>
    <definedName name="v_49_XAMX">Model!$W$191</definedName>
    <definedName name="v_49_XAOB">Model!$U$191</definedName>
    <definedName name="v_49_XB">Model!$I$191</definedName>
    <definedName name="v_49_XB_e">Model!$J$191</definedName>
    <definedName name="v_49_XBSH">Model!$BT$191</definedName>
    <definedName name="v_49_XCaCO3">Model!$BR$191</definedName>
    <definedName name="v_49_XCASTO">Model!$S$191</definedName>
    <definedName name="v_49_XE">Model!$P$191</definedName>
    <definedName name="v_49_XE_ana">Model!$Q$191</definedName>
    <definedName name="v_49_XHAO_H">Model!$BK$191</definedName>
    <definedName name="v_49_XHAO_H_P">Model!$BN$191</definedName>
    <definedName name="v_49_XHAO_H_P_old">Model!$BP$191</definedName>
    <definedName name="v_49_XHAO_L">Model!$BL$191</definedName>
    <definedName name="v_49_XHAO_L_P">Model!$BO$191</definedName>
    <definedName name="v_49_XHAO_L_P_old">Model!$BQ$191</definedName>
    <definedName name="v_49_XHAO_old">Model!$BM$191</definedName>
    <definedName name="v_49_XHFO_H">Model!$BD$191</definedName>
    <definedName name="v_49_XHFO_H_P">Model!$BG$191</definedName>
    <definedName name="v_49_XHFO_H_P_old">Model!$BI$191</definedName>
    <definedName name="v_49_XHFO_L">Model!$BE$191</definedName>
    <definedName name="v_49_XHFO_L_P">Model!$BH$191</definedName>
    <definedName name="v_49_XHFO_L_P_old">Model!$BJ$191</definedName>
    <definedName name="v_49_XHFO_old">Model!$BF$191</definedName>
    <definedName name="v_49_XHMETO">Model!$Y$191</definedName>
    <definedName name="v_49_XINORG">Model!$AW$191</definedName>
    <definedName name="v_49_XMEOLO">Model!$T$191</definedName>
    <definedName name="v_49_XN_B">Model!$AJ$191</definedName>
    <definedName name="v_49_XN_Be">Model!$AK$191</definedName>
    <definedName name="v_49_XN_U">Model!$AL$191</definedName>
    <definedName name="v_49_XNOB">Model!$V$191</definedName>
    <definedName name="v_49_XOHO">Model!$R$191</definedName>
    <definedName name="v_49_XP_B">Model!$AP$191</definedName>
    <definedName name="v_49_XP_Be">Model!$AQ$191</definedName>
    <definedName name="v_49_XP_U">Model!$AR$191</definedName>
    <definedName name="v_49_XPFOA">Model!$BX$191</definedName>
    <definedName name="v_49_XPFOS">Model!$BZ$191</definedName>
    <definedName name="v_49_XPHA_GAO">Model!$O$191</definedName>
    <definedName name="v_49_XPHA_PAO">Model!$N$191</definedName>
    <definedName name="v_49_XPP">Model!$AN$191</definedName>
    <definedName name="v_49_XSTR">Model!$BU$191</definedName>
    <definedName name="v_49_XU">Model!$M$191</definedName>
    <definedName name="v_49_XVivi">Model!$BV$191</definedName>
    <definedName name="v_5_CB">Model!$H$147</definedName>
    <definedName name="v_5_CU">Model!$L$147</definedName>
    <definedName name="v_5_GCH4">Model!$CE$147</definedName>
    <definedName name="v_5_GCH4_atm">Model!$CM$147</definedName>
    <definedName name="v_5_GCO2">Model!$CD$147</definedName>
    <definedName name="v_5_GCO2_atm">Model!$CL$147</definedName>
    <definedName name="v_5_GH2">Model!$CF$147</definedName>
    <definedName name="v_5_GH2_atm">Model!$CN$147</definedName>
    <definedName name="v_5_GN2">Model!$CK$147</definedName>
    <definedName name="v_5_GN2_atm">Model!$CS$147</definedName>
    <definedName name="v_5_GN2O">Model!$CJ$147</definedName>
    <definedName name="v_5_GN2O_atm">Model!$CR$147</definedName>
    <definedName name="v_5_GNH3">Model!$CH$147</definedName>
    <definedName name="v_5_GNH3_atm">Model!$CP$147</definedName>
    <definedName name="v_5_GNO">Model!$CI$147</definedName>
    <definedName name="v_5_GNO_atm">Model!$CQ$147</definedName>
    <definedName name="v_5_GO2">Model!$CG$147</definedName>
    <definedName name="v_5_GO2_atm">Model!$CO$147</definedName>
    <definedName name="v_5_SALPHA">Model!$CB$147</definedName>
    <definedName name="v_5_SAN">Model!$AY$147</definedName>
    <definedName name="v_5_SB">Model!$F$147</definedName>
    <definedName name="v_5_SCa">Model!$AZ$147</definedName>
    <definedName name="v_5_SCAT">Model!$AX$147</definedName>
    <definedName name="v_5_SCH4">Model!$AT$147</definedName>
    <definedName name="v_5_SCO2">Model!$AV$147</definedName>
    <definedName name="v_5_SFe2">Model!$BC$147</definedName>
    <definedName name="v_5_SH">Model!$CA$147</definedName>
    <definedName name="v_5_SH2">Model!$AU$147</definedName>
    <definedName name="v_5_SK">Model!$BB$147</definedName>
    <definedName name="v_5_SMEOL">Model!$G$147</definedName>
    <definedName name="v_5_SMg">Model!$BA$147</definedName>
    <definedName name="v_5_SN_B">Model!$AI$147</definedName>
    <definedName name="v_5_SN2">Model!$AH$147</definedName>
    <definedName name="v_5_SN2O">Model!$AG$147</definedName>
    <definedName name="v_5_SNH2OH">Model!$AB$147</definedName>
    <definedName name="v_5_SNHx">Model!$AA$147</definedName>
    <definedName name="v_5_SNO_AOB">Model!$AE$147</definedName>
    <definedName name="v_5_SNO_OHO">Model!$AF$147</definedName>
    <definedName name="v_5_SNO2">Model!$AD$147</definedName>
    <definedName name="v_5_SNO3">Model!$AC$147</definedName>
    <definedName name="v_5_SO2">Model!$AS$147</definedName>
    <definedName name="v_5_SORPswitch">Model!$CC$147</definedName>
    <definedName name="v_5_SP_B">Model!$AO$147</definedName>
    <definedName name="v_5_SPFOA">Model!$BW$147</definedName>
    <definedName name="v_5_SPFOS">Model!$BY$147</definedName>
    <definedName name="v_5_SPO4">Model!$AM$147</definedName>
    <definedName name="v_5_SU">Model!$K$147</definedName>
    <definedName name="v_5_SVFA">Model!$E$147</definedName>
    <definedName name="v_5_XACP">Model!$BS$147</definedName>
    <definedName name="v_5_XALGAE">Model!$Z$147</definedName>
    <definedName name="v_5_XAMETO">Model!$X$147</definedName>
    <definedName name="v_5_XAMX">Model!$W$147</definedName>
    <definedName name="v_5_XAOB">Model!$U$147</definedName>
    <definedName name="v_5_XB">Model!$I$147</definedName>
    <definedName name="v_5_XB_e">Model!$J$147</definedName>
    <definedName name="v_5_XBSH">Model!$BT$147</definedName>
    <definedName name="v_5_XCaCO3">Model!$BR$147</definedName>
    <definedName name="v_5_XCASTO">Model!$S$147</definedName>
    <definedName name="v_5_XE">Model!$P$147</definedName>
    <definedName name="v_5_XE_ana">Model!$Q$147</definedName>
    <definedName name="v_5_XHAO_H">Model!$BK$147</definedName>
    <definedName name="v_5_XHAO_H_P">Model!$BN$147</definedName>
    <definedName name="v_5_XHAO_H_P_old">Model!$BP$147</definedName>
    <definedName name="v_5_XHAO_L">Model!$BL$147</definedName>
    <definedName name="v_5_XHAO_L_P">Model!$BO$147</definedName>
    <definedName name="v_5_XHAO_L_P_old">Model!$BQ$147</definedName>
    <definedName name="v_5_XHAO_old">Model!$BM$147</definedName>
    <definedName name="v_5_XHFO_H">Model!$BD$147</definedName>
    <definedName name="v_5_XHFO_H_P">Model!$BG$147</definedName>
    <definedName name="v_5_XHFO_H_P_old">Model!$BI$147</definedName>
    <definedName name="v_5_XHFO_L">Model!$BE$147</definedName>
    <definedName name="v_5_XHFO_L_P">Model!$BH$147</definedName>
    <definedName name="v_5_XHFO_L_P_old">Model!$BJ$147</definedName>
    <definedName name="v_5_XHFO_old">Model!$BF$147</definedName>
    <definedName name="v_5_XHMETO">Model!$Y$147</definedName>
    <definedName name="v_5_XINORG">Model!$AW$147</definedName>
    <definedName name="v_5_XMEOLO">Model!$T$147</definedName>
    <definedName name="v_5_XN_B">Model!$AJ$147</definedName>
    <definedName name="v_5_XN_Be">Model!$AK$147</definedName>
    <definedName name="v_5_XN_U">Model!$AL$147</definedName>
    <definedName name="v_5_XNOB">Model!$V$147</definedName>
    <definedName name="v_5_XOHO">Model!$R$147</definedName>
    <definedName name="v_5_XP_B">Model!$AP$147</definedName>
    <definedName name="v_5_XP_Be">Model!$AQ$147</definedName>
    <definedName name="v_5_XP_U">Model!$AR$147</definedName>
    <definedName name="v_5_XPFOA">Model!$BX$147</definedName>
    <definedName name="v_5_XPFOS">Model!$BZ$147</definedName>
    <definedName name="v_5_XPHA_GAO">Model!$O$147</definedName>
    <definedName name="v_5_XPHA_PAO">Model!$N$147</definedName>
    <definedName name="v_5_XPP">Model!$AN$147</definedName>
    <definedName name="v_5_XSTR">Model!$BU$147</definedName>
    <definedName name="v_5_XU">Model!$M$147</definedName>
    <definedName name="v_5_XVivi">Model!$BV$147</definedName>
    <definedName name="v_50_CB">Model!$H$192</definedName>
    <definedName name="v_50_CU">Model!$L$192</definedName>
    <definedName name="v_50_GCH4">Model!$CE$192</definedName>
    <definedName name="v_50_GCH4_atm">Model!$CM$192</definedName>
    <definedName name="v_50_GCO2">Model!$CD$192</definedName>
    <definedName name="v_50_GCO2_atm">Model!$CL$192</definedName>
    <definedName name="v_50_GH2">Model!$CF$192</definedName>
    <definedName name="v_50_GH2_atm">Model!$CN$192</definedName>
    <definedName name="v_50_GN2">Model!$CK$192</definedName>
    <definedName name="v_50_GN2_atm">Model!$CS$192</definedName>
    <definedName name="v_50_GN2O">Model!$CJ$192</definedName>
    <definedName name="v_50_GN2O_atm">Model!$CR$192</definedName>
    <definedName name="v_50_GNH3">Model!$CH$192</definedName>
    <definedName name="v_50_GNH3_atm">Model!$CP$192</definedName>
    <definedName name="v_50_GNO">Model!$CI$192</definedName>
    <definedName name="v_50_GNO_atm">Model!$CQ$192</definedName>
    <definedName name="v_50_GO2">Model!$CG$192</definedName>
    <definedName name="v_50_GO2_atm">Model!$CO$192</definedName>
    <definedName name="v_50_SALPHA">Model!$CB$192</definedName>
    <definedName name="v_50_SAN">Model!$AY$192</definedName>
    <definedName name="v_50_SB">Model!$F$192</definedName>
    <definedName name="v_50_SCa">Model!$AZ$192</definedName>
    <definedName name="v_50_SCAT">Model!$AX$192</definedName>
    <definedName name="v_50_SCH4">Model!$AT$192</definedName>
    <definedName name="v_50_SCO2">Model!$AV$192</definedName>
    <definedName name="v_50_SFe2">Model!$BC$192</definedName>
    <definedName name="v_50_SH">Model!$CA$192</definedName>
    <definedName name="v_50_SH2">Model!$AU$192</definedName>
    <definedName name="v_50_SK">Model!$BB$192</definedName>
    <definedName name="v_50_SMEOL">Model!$G$192</definedName>
    <definedName name="v_50_SMg">Model!$BA$192</definedName>
    <definedName name="v_50_SN_B">Model!$AI$192</definedName>
    <definedName name="v_50_SN2">Model!$AH$192</definedName>
    <definedName name="v_50_SN2O">Model!$AG$192</definedName>
    <definedName name="v_50_SNH2OH">Model!$AB$192</definedName>
    <definedName name="v_50_SNHx">Model!$AA$192</definedName>
    <definedName name="v_50_SNO_AOB">Model!$AE$192</definedName>
    <definedName name="v_50_SNO_OHO">Model!$AF$192</definedName>
    <definedName name="v_50_SNO2">Model!$AD$192</definedName>
    <definedName name="v_50_SNO3">Model!$AC$192</definedName>
    <definedName name="v_50_SO2">Model!$AS$192</definedName>
    <definedName name="v_50_SORPswitch">Model!$CC$192</definedName>
    <definedName name="v_50_SP_B">Model!$AO$192</definedName>
    <definedName name="v_50_SPFOA">Model!$BW$192</definedName>
    <definedName name="v_50_SPFOS">Model!$BY$192</definedName>
    <definedName name="v_50_SPO4">Model!$AM$192</definedName>
    <definedName name="v_50_SU">Model!$K$192</definedName>
    <definedName name="v_50_SVFA">Model!$E$192</definedName>
    <definedName name="v_50_XACP">Model!$BS$192</definedName>
    <definedName name="v_50_XALGAE">Model!$Z$192</definedName>
    <definedName name="v_50_XAMETO">Model!$X$192</definedName>
    <definedName name="v_50_XAMX">Model!$W$192</definedName>
    <definedName name="v_50_XAOB">Model!$U$192</definedName>
    <definedName name="v_50_XB">Model!$I$192</definedName>
    <definedName name="v_50_XB_e">Model!$J$192</definedName>
    <definedName name="v_50_XBSH">Model!$BT$192</definedName>
    <definedName name="v_50_XCaCO3">Model!$BR$192</definedName>
    <definedName name="v_50_XCASTO">Model!$S$192</definedName>
    <definedName name="v_50_XE">Model!$P$192</definedName>
    <definedName name="v_50_XE_ana">Model!$Q$192</definedName>
    <definedName name="v_50_XHAO_H">Model!$BK$192</definedName>
    <definedName name="v_50_XHAO_H_P">Model!$BN$192</definedName>
    <definedName name="v_50_XHAO_H_P_old">Model!$BP$192</definedName>
    <definedName name="v_50_XHAO_L">Model!$BL$192</definedName>
    <definedName name="v_50_XHAO_L_P">Model!$BO$192</definedName>
    <definedName name="v_50_XHAO_L_P_old">Model!$BQ$192</definedName>
    <definedName name="v_50_XHAO_old">Model!$BM$192</definedName>
    <definedName name="v_50_XHFO_H">Model!$BD$192</definedName>
    <definedName name="v_50_XHFO_H_P">Model!$BG$192</definedName>
    <definedName name="v_50_XHFO_H_P_old">Model!$BI$192</definedName>
    <definedName name="v_50_XHFO_L">Model!$BE$192</definedName>
    <definedName name="v_50_XHFO_L_P">Model!$BH$192</definedName>
    <definedName name="v_50_XHFO_L_P_old">Model!$BJ$192</definedName>
    <definedName name="v_50_XHFO_old">Model!$BF$192</definedName>
    <definedName name="v_50_XHMETO">Model!$Y$192</definedName>
    <definedName name="v_50_XINORG">Model!$AW$192</definedName>
    <definedName name="v_50_XMEOLO">Model!$T$192</definedName>
    <definedName name="v_50_XN_B">Model!$AJ$192</definedName>
    <definedName name="v_50_XN_Be">Model!$AK$192</definedName>
    <definedName name="v_50_XN_U">Model!$AL$192</definedName>
    <definedName name="v_50_XNOB">Model!$V$192</definedName>
    <definedName name="v_50_XOHO">Model!$R$192</definedName>
    <definedName name="v_50_XP_B">Model!$AP$192</definedName>
    <definedName name="v_50_XP_Be">Model!$AQ$192</definedName>
    <definedName name="v_50_XP_U">Model!$AR$192</definedName>
    <definedName name="v_50_XPFOA">Model!$BX$192</definedName>
    <definedName name="v_50_XPFOS">Model!$BZ$192</definedName>
    <definedName name="v_50_XPHA_GAO">Model!$O$192</definedName>
    <definedName name="v_50_XPHA_PAO">Model!$N$192</definedName>
    <definedName name="v_50_XPP">Model!$AN$192</definedName>
    <definedName name="v_50_XSTR">Model!$BU$192</definedName>
    <definedName name="v_50_XU">Model!$M$192</definedName>
    <definedName name="v_50_XVivi">Model!$BV$192</definedName>
    <definedName name="v_51_CB">Model!$H$193</definedName>
    <definedName name="v_51_CU">Model!$L$193</definedName>
    <definedName name="v_51_GCH4">Model!$CE$193</definedName>
    <definedName name="v_51_GCH4_atm">Model!$CM$193</definedName>
    <definedName name="v_51_GCO2">Model!$CD$193</definedName>
    <definedName name="v_51_GCO2_atm">Model!$CL$193</definedName>
    <definedName name="v_51_GH2">Model!$CF$193</definedName>
    <definedName name="v_51_GH2_atm">Model!$CN$193</definedName>
    <definedName name="v_51_GN2">Model!$CK$193</definedName>
    <definedName name="v_51_GN2_atm">Model!$CS$193</definedName>
    <definedName name="v_51_GN2O">Model!$CJ$193</definedName>
    <definedName name="v_51_GN2O_atm">Model!$CR$193</definedName>
    <definedName name="v_51_GNH3">Model!$CH$193</definedName>
    <definedName name="v_51_GNH3_atm">Model!$CP$193</definedName>
    <definedName name="v_51_GNO">Model!$CI$193</definedName>
    <definedName name="v_51_GNO_atm">Model!$CQ$193</definedName>
    <definedName name="v_51_GO2">Model!$CG$193</definedName>
    <definedName name="v_51_GO2_atm">Model!$CO$193</definedName>
    <definedName name="v_51_SALPHA">Model!$CB$193</definedName>
    <definedName name="v_51_SAN">Model!$AY$193</definedName>
    <definedName name="v_51_SB">Model!$F$193</definedName>
    <definedName name="v_51_SCa">Model!$AZ$193</definedName>
    <definedName name="v_51_SCAT">Model!$AX$193</definedName>
    <definedName name="v_51_SCH4">Model!$AT$193</definedName>
    <definedName name="v_51_SCO2">Model!$AV$193</definedName>
    <definedName name="v_51_SFe2">Model!$BC$193</definedName>
    <definedName name="v_51_SH">Model!$CA$193</definedName>
    <definedName name="v_51_SH2">Model!$AU$193</definedName>
    <definedName name="v_51_SK">Model!$BB$193</definedName>
    <definedName name="v_51_SMEOL">Model!$G$193</definedName>
    <definedName name="v_51_SMg">Model!$BA$193</definedName>
    <definedName name="v_51_SN_B">Model!$AI$193</definedName>
    <definedName name="v_51_SN2">Model!$AH$193</definedName>
    <definedName name="v_51_SN2O">Model!$AG$193</definedName>
    <definedName name="v_51_SNH2OH">Model!$AB$193</definedName>
    <definedName name="v_51_SNHx">Model!$AA$193</definedName>
    <definedName name="v_51_SNO_AOB">Model!$AE$193</definedName>
    <definedName name="v_51_SNO_OHO">Model!$AF$193</definedName>
    <definedName name="v_51_SNO2">Model!$AD$193</definedName>
    <definedName name="v_51_SNO3">Model!$AC$193</definedName>
    <definedName name="v_51_SO2">Model!$AS$193</definedName>
    <definedName name="v_51_SORPswitch">Model!$CC$193</definedName>
    <definedName name="v_51_SP_B">Model!$AO$193</definedName>
    <definedName name="v_51_SPFOA">Model!$BW$193</definedName>
    <definedName name="v_51_SPFOS">Model!$BY$193</definedName>
    <definedName name="v_51_SPO4">Model!$AM$193</definedName>
    <definedName name="v_51_SU">Model!$K$193</definedName>
    <definedName name="v_51_SVFA">Model!$E$193</definedName>
    <definedName name="v_51_XACP">Model!$BS$193</definedName>
    <definedName name="v_51_XALGAE">Model!$Z$193</definedName>
    <definedName name="v_51_XAMETO">Model!$X$193</definedName>
    <definedName name="v_51_XAMX">Model!$W$193</definedName>
    <definedName name="v_51_XAOB">Model!$U$193</definedName>
    <definedName name="v_51_XB">Model!$I$193</definedName>
    <definedName name="v_51_XB_e">Model!$J$193</definedName>
    <definedName name="v_51_XBSH">Model!$BT$193</definedName>
    <definedName name="v_51_XCaCO3">Model!$BR$193</definedName>
    <definedName name="v_51_XCASTO">Model!$S$193</definedName>
    <definedName name="v_51_XE">Model!$P$193</definedName>
    <definedName name="v_51_XE_ana">Model!$Q$193</definedName>
    <definedName name="v_51_XHAO_H">Model!$BK$193</definedName>
    <definedName name="v_51_XHAO_H_P">Model!$BN$193</definedName>
    <definedName name="v_51_XHAO_H_P_old">Model!$BP$193</definedName>
    <definedName name="v_51_XHAO_L">Model!$BL$193</definedName>
    <definedName name="v_51_XHAO_L_P">Model!$BO$193</definedName>
    <definedName name="v_51_XHAO_L_P_old">Model!$BQ$193</definedName>
    <definedName name="v_51_XHAO_old">Model!$BM$193</definedName>
    <definedName name="v_51_XHFO_H">Model!$BD$193</definedName>
    <definedName name="v_51_XHFO_H_P">Model!$BG$193</definedName>
    <definedName name="v_51_XHFO_H_P_old">Model!$BI$193</definedName>
    <definedName name="v_51_XHFO_L">Model!$BE$193</definedName>
    <definedName name="v_51_XHFO_L_P">Model!$BH$193</definedName>
    <definedName name="v_51_XHFO_L_P_old">Model!$BJ$193</definedName>
    <definedName name="v_51_XHFO_old">Model!$BF$193</definedName>
    <definedName name="v_51_XHMETO">Model!$Y$193</definedName>
    <definedName name="v_51_XINORG">Model!$AW$193</definedName>
    <definedName name="v_51_XMEOLO">Model!$T$193</definedName>
    <definedName name="v_51_XN_B">Model!$AJ$193</definedName>
    <definedName name="v_51_XN_Be">Model!$AK$193</definedName>
    <definedName name="v_51_XN_U">Model!$AL$193</definedName>
    <definedName name="v_51_XNOB">Model!$V$193</definedName>
    <definedName name="v_51_XOHO">Model!$R$193</definedName>
    <definedName name="v_51_XP_B">Model!$AP$193</definedName>
    <definedName name="v_51_XP_Be">Model!$AQ$193</definedName>
    <definedName name="v_51_XP_U">Model!$AR$193</definedName>
    <definedName name="v_51_XPFOA">Model!$BX$193</definedName>
    <definedName name="v_51_XPFOS">Model!$BZ$193</definedName>
    <definedName name="v_51_XPHA_GAO">Model!$O$193</definedName>
    <definedName name="v_51_XPHA_PAO">Model!$N$193</definedName>
    <definedName name="v_51_XPP">Model!$AN$193</definedName>
    <definedName name="v_51_XSTR">Model!$BU$193</definedName>
    <definedName name="v_51_XU">Model!$M$193</definedName>
    <definedName name="v_51_XVivi">Model!$BV$193</definedName>
    <definedName name="v_52_CB">Model!$H$194</definedName>
    <definedName name="v_52_CU">Model!$L$194</definedName>
    <definedName name="v_52_GCH4">Model!$CE$194</definedName>
    <definedName name="v_52_GCH4_atm">Model!$CM$194</definedName>
    <definedName name="v_52_GCO2">Model!$CD$194</definedName>
    <definedName name="v_52_GCO2_atm">Model!$CL$194</definedName>
    <definedName name="v_52_GH2">Model!$CF$194</definedName>
    <definedName name="v_52_GH2_atm">Model!$CN$194</definedName>
    <definedName name="v_52_GN2">Model!$CK$194</definedName>
    <definedName name="v_52_GN2_atm">Model!$CS$194</definedName>
    <definedName name="v_52_GN2O">Model!$CJ$194</definedName>
    <definedName name="v_52_GN2O_atm">Model!$CR$194</definedName>
    <definedName name="v_52_GNH3">Model!$CH$194</definedName>
    <definedName name="v_52_GNH3_atm">Model!$CP$194</definedName>
    <definedName name="v_52_GNO">Model!$CI$194</definedName>
    <definedName name="v_52_GNO_atm">Model!$CQ$194</definedName>
    <definedName name="v_52_GO2">Model!$CG$194</definedName>
    <definedName name="v_52_GO2_atm">Model!$CO$194</definedName>
    <definedName name="v_52_SALPHA">Model!$CB$194</definedName>
    <definedName name="v_52_SAN">Model!$AY$194</definedName>
    <definedName name="v_52_SB">Model!$F$194</definedName>
    <definedName name="v_52_SCa">Model!$AZ$194</definedName>
    <definedName name="v_52_SCAT">Model!$AX$194</definedName>
    <definedName name="v_52_SCH4">Model!$AT$194</definedName>
    <definedName name="v_52_SCO2">Model!$AV$194</definedName>
    <definedName name="v_52_SFe2">Model!$BC$194</definedName>
    <definedName name="v_52_SH">Model!$CA$194</definedName>
    <definedName name="v_52_SH2">Model!$AU$194</definedName>
    <definedName name="v_52_SK">Model!$BB$194</definedName>
    <definedName name="v_52_SMEOL">Model!$G$194</definedName>
    <definedName name="v_52_SMg">Model!$BA$194</definedName>
    <definedName name="v_52_SN_B">Model!$AI$194</definedName>
    <definedName name="v_52_SN2">Model!$AH$194</definedName>
    <definedName name="v_52_SN2O">Model!$AG$194</definedName>
    <definedName name="v_52_SNH2OH">Model!$AB$194</definedName>
    <definedName name="v_52_SNHx">Model!$AA$194</definedName>
    <definedName name="v_52_SNO_AOB">Model!$AE$194</definedName>
    <definedName name="v_52_SNO_OHO">Model!$AF$194</definedName>
    <definedName name="v_52_SNO2">Model!$AD$194</definedName>
    <definedName name="v_52_SNO3">Model!$AC$194</definedName>
    <definedName name="v_52_SO2">Model!$AS$194</definedName>
    <definedName name="v_52_SORPswitch">Model!$CC$194</definedName>
    <definedName name="v_52_SP_B">Model!$AO$194</definedName>
    <definedName name="v_52_SPFOA">Model!$BW$194</definedName>
    <definedName name="v_52_SPFOS">Model!$BY$194</definedName>
    <definedName name="v_52_SPO4">Model!$AM$194</definedName>
    <definedName name="v_52_SU">Model!$K$194</definedName>
    <definedName name="v_52_SVFA">Model!$E$194</definedName>
    <definedName name="v_52_XACP">Model!$BS$194</definedName>
    <definedName name="v_52_XALGAE">Model!$Z$194</definedName>
    <definedName name="v_52_XAMETO">Model!$X$194</definedName>
    <definedName name="v_52_XAMX">Model!$W$194</definedName>
    <definedName name="v_52_XAOB">Model!$U$194</definedName>
    <definedName name="v_52_XB">Model!$I$194</definedName>
    <definedName name="v_52_XB_e">Model!$J$194</definedName>
    <definedName name="v_52_XBSH">Model!$BT$194</definedName>
    <definedName name="v_52_XCaCO3">Model!$BR$194</definedName>
    <definedName name="v_52_XCASTO">Model!$S$194</definedName>
    <definedName name="v_52_XE">Model!$P$194</definedName>
    <definedName name="v_52_XE_ana">Model!$Q$194</definedName>
    <definedName name="v_52_XHAO_H">Model!$BK$194</definedName>
    <definedName name="v_52_XHAO_H_P">Model!$BN$194</definedName>
    <definedName name="v_52_XHAO_H_P_old">Model!$BP$194</definedName>
    <definedName name="v_52_XHAO_L">Model!$BL$194</definedName>
    <definedName name="v_52_XHAO_L_P">Model!$BO$194</definedName>
    <definedName name="v_52_XHAO_L_P_old">Model!$BQ$194</definedName>
    <definedName name="v_52_XHAO_old">Model!$BM$194</definedName>
    <definedName name="v_52_XHFO_H">Model!$BD$194</definedName>
    <definedName name="v_52_XHFO_H_P">Model!$BG$194</definedName>
    <definedName name="v_52_XHFO_H_P_old">Model!$BI$194</definedName>
    <definedName name="v_52_XHFO_L">Model!$BE$194</definedName>
    <definedName name="v_52_XHFO_L_P">Model!$BH$194</definedName>
    <definedName name="v_52_XHFO_L_P_old">Model!$BJ$194</definedName>
    <definedName name="v_52_XHFO_old">Model!$BF$194</definedName>
    <definedName name="v_52_XHMETO">Model!$Y$194</definedName>
    <definedName name="v_52_XINORG">Model!$AW$194</definedName>
    <definedName name="v_52_XMEOLO">Model!$T$194</definedName>
    <definedName name="v_52_XN_B">Model!$AJ$194</definedName>
    <definedName name="v_52_XN_Be">Model!$AK$194</definedName>
    <definedName name="v_52_XN_U">Model!$AL$194</definedName>
    <definedName name="v_52_XNOB">Model!$V$194</definedName>
    <definedName name="v_52_XOHO">Model!$R$194</definedName>
    <definedName name="v_52_XP_B">Model!$AP$194</definedName>
    <definedName name="v_52_XP_Be">Model!$AQ$194</definedName>
    <definedName name="v_52_XP_U">Model!$AR$194</definedName>
    <definedName name="v_52_XPFOA">Model!$BX$194</definedName>
    <definedName name="v_52_XPFOS">Model!$BZ$194</definedName>
    <definedName name="v_52_XPHA_GAO">Model!$O$194</definedName>
    <definedName name="v_52_XPHA_PAO">Model!$N$194</definedName>
    <definedName name="v_52_XPP">Model!$AN$194</definedName>
    <definedName name="v_52_XSTR">Model!$BU$194</definedName>
    <definedName name="v_52_XU">Model!$M$194</definedName>
    <definedName name="v_52_XVivi">Model!$BV$194</definedName>
    <definedName name="v_53_CB">Model!$H$195</definedName>
    <definedName name="v_53_CU">Model!$L$195</definedName>
    <definedName name="v_53_GCH4">Model!$CE$195</definedName>
    <definedName name="v_53_GCH4_atm">Model!$CM$195</definedName>
    <definedName name="v_53_GCO2">Model!$CD$195</definedName>
    <definedName name="v_53_GCO2_atm">Model!$CL$195</definedName>
    <definedName name="v_53_GH2">Model!$CF$195</definedName>
    <definedName name="v_53_GH2_atm">Model!$CN$195</definedName>
    <definedName name="v_53_GN2">Model!$CK$195</definedName>
    <definedName name="v_53_GN2_atm">Model!$CS$195</definedName>
    <definedName name="v_53_GN2O">Model!$CJ$195</definedName>
    <definedName name="v_53_GN2O_atm">Model!$CR$195</definedName>
    <definedName name="v_53_GNH3">Model!$CH$195</definedName>
    <definedName name="v_53_GNH3_atm">Model!$CP$195</definedName>
    <definedName name="v_53_GNO">Model!$CI$195</definedName>
    <definedName name="v_53_GNO_atm">Model!$CQ$195</definedName>
    <definedName name="v_53_GO2">Model!$CG$195</definedName>
    <definedName name="v_53_GO2_atm">Model!$CO$195</definedName>
    <definedName name="v_53_SALPHA">Model!$CB$195</definedName>
    <definedName name="v_53_SAN">Model!$AY$195</definedName>
    <definedName name="v_53_SB">Model!$F$195</definedName>
    <definedName name="v_53_SCa">Model!$AZ$195</definedName>
    <definedName name="v_53_SCAT">Model!$AX$195</definedName>
    <definedName name="v_53_SCH4">Model!$AT$195</definedName>
    <definedName name="v_53_SCO2">Model!$AV$195</definedName>
    <definedName name="v_53_SFe2">Model!$BC$195</definedName>
    <definedName name="v_53_SH">Model!$CA$195</definedName>
    <definedName name="v_53_SH2">Model!$AU$195</definedName>
    <definedName name="v_53_SK">Model!$BB$195</definedName>
    <definedName name="v_53_SMEOL">Model!$G$195</definedName>
    <definedName name="v_53_SMg">Model!$BA$195</definedName>
    <definedName name="v_53_SN_B">Model!$AI$195</definedName>
    <definedName name="v_53_SN2">Model!$AH$195</definedName>
    <definedName name="v_53_SN2O">Model!$AG$195</definedName>
    <definedName name="v_53_SNH2OH">Model!$AB$195</definedName>
    <definedName name="v_53_SNHx">Model!$AA$195</definedName>
    <definedName name="v_53_SNO_AOB">Model!$AE$195</definedName>
    <definedName name="v_53_SNO_OHO">Model!$AF$195</definedName>
    <definedName name="v_53_SNO2">Model!$AD$195</definedName>
    <definedName name="v_53_SNO3">Model!$AC$195</definedName>
    <definedName name="v_53_SO2">Model!$AS$195</definedName>
    <definedName name="v_53_SORPswitch">Model!$CC$195</definedName>
    <definedName name="v_53_SP_B">Model!$AO$195</definedName>
    <definedName name="v_53_SPFOA">Model!$BW$195</definedName>
    <definedName name="v_53_SPFOS">Model!$BY$195</definedName>
    <definedName name="v_53_SPO4">Model!$AM$195</definedName>
    <definedName name="v_53_SU">Model!$K$195</definedName>
    <definedName name="v_53_SVFA">Model!$E$195</definedName>
    <definedName name="v_53_XACP">Model!$BS$195</definedName>
    <definedName name="v_53_XALGAE">Model!$Z$195</definedName>
    <definedName name="v_53_XAMETO">Model!$X$195</definedName>
    <definedName name="v_53_XAMX">Model!$W$195</definedName>
    <definedName name="v_53_XAOB">Model!$U$195</definedName>
    <definedName name="v_53_XB">Model!$I$195</definedName>
    <definedName name="v_53_XB_e">Model!$J$195</definedName>
    <definedName name="v_53_XBSH">Model!$BT$195</definedName>
    <definedName name="v_53_XCaCO3">Model!$BR$195</definedName>
    <definedName name="v_53_XCASTO">Model!$S$195</definedName>
    <definedName name="v_53_XE">Model!$P$195</definedName>
    <definedName name="v_53_XE_ana">Model!$Q$195</definedName>
    <definedName name="v_53_XHAO_H">Model!$BK$195</definedName>
    <definedName name="v_53_XHAO_H_P">Model!$BN$195</definedName>
    <definedName name="v_53_XHAO_H_P_old">Model!$BP$195</definedName>
    <definedName name="v_53_XHAO_L">Model!$BL$195</definedName>
    <definedName name="v_53_XHAO_L_P">Model!$BO$195</definedName>
    <definedName name="v_53_XHAO_L_P_old">Model!$BQ$195</definedName>
    <definedName name="v_53_XHAO_old">Model!$BM$195</definedName>
    <definedName name="v_53_XHFO_H">Model!$BD$195</definedName>
    <definedName name="v_53_XHFO_H_P">Model!$BG$195</definedName>
    <definedName name="v_53_XHFO_H_P_old">Model!$BI$195</definedName>
    <definedName name="v_53_XHFO_L">Model!$BE$195</definedName>
    <definedName name="v_53_XHFO_L_P">Model!$BH$195</definedName>
    <definedName name="v_53_XHFO_L_P_old">Model!$BJ$195</definedName>
    <definedName name="v_53_XHFO_old">Model!$BF$195</definedName>
    <definedName name="v_53_XHMETO">Model!$Y$195</definedName>
    <definedName name="v_53_XINORG">Model!$AW$195</definedName>
    <definedName name="v_53_XMEOLO">Model!$T$195</definedName>
    <definedName name="v_53_XN_B">Model!$AJ$195</definedName>
    <definedName name="v_53_XN_Be">Model!$AK$195</definedName>
    <definedName name="v_53_XN_U">Model!$AL$195</definedName>
    <definedName name="v_53_XNOB">Model!$V$195</definedName>
    <definedName name="v_53_XOHO">Model!$R$195</definedName>
    <definedName name="v_53_XP_B">Model!$AP$195</definedName>
    <definedName name="v_53_XP_Be">Model!$AQ$195</definedName>
    <definedName name="v_53_XP_U">Model!$AR$195</definedName>
    <definedName name="v_53_XPFOA">Model!$BX$195</definedName>
    <definedName name="v_53_XPFOS">Model!$BZ$195</definedName>
    <definedName name="v_53_XPHA_GAO">Model!$O$195</definedName>
    <definedName name="v_53_XPHA_PAO">Model!$N$195</definedName>
    <definedName name="v_53_XPP">Model!$AN$195</definedName>
    <definedName name="v_53_XSTR">Model!$BU$195</definedName>
    <definedName name="v_53_XU">Model!$M$195</definedName>
    <definedName name="v_53_XVivi">Model!$BV$195</definedName>
    <definedName name="v_54_CB">Model!$H$196</definedName>
    <definedName name="v_54_CU">Model!$L$196</definedName>
    <definedName name="v_54_GCH4">Model!$CE$196</definedName>
    <definedName name="v_54_GCH4_atm">Model!$CM$196</definedName>
    <definedName name="v_54_GCO2">Model!$CD$196</definedName>
    <definedName name="v_54_GCO2_atm">Model!$CL$196</definedName>
    <definedName name="v_54_GH2">Model!$CF$196</definedName>
    <definedName name="v_54_GH2_atm">Model!$CN$196</definedName>
    <definedName name="v_54_GN2">Model!$CK$196</definedName>
    <definedName name="v_54_GN2_atm">Model!$CS$196</definedName>
    <definedName name="v_54_GN2O">Model!$CJ$196</definedName>
    <definedName name="v_54_GN2O_atm">Model!$CR$196</definedName>
    <definedName name="v_54_GNH3">Model!$CH$196</definedName>
    <definedName name="v_54_GNH3_atm">Model!$CP$196</definedName>
    <definedName name="v_54_GNO">Model!$CI$196</definedName>
    <definedName name="v_54_GNO_atm">Model!$CQ$196</definedName>
    <definedName name="v_54_GO2">Model!$CG$196</definedName>
    <definedName name="v_54_GO2_atm">Model!$CO$196</definedName>
    <definedName name="v_54_SALPHA">Model!$CB$196</definedName>
    <definedName name="v_54_SAN">Model!$AY$196</definedName>
    <definedName name="v_54_SB">Model!$F$196</definedName>
    <definedName name="v_54_SCa">Model!$AZ$196</definedName>
    <definedName name="v_54_SCAT">Model!$AX$196</definedName>
    <definedName name="v_54_SCH4">Model!$AT$196</definedName>
    <definedName name="v_54_SCO2">Model!$AV$196</definedName>
    <definedName name="v_54_SFe2">Model!$BC$196</definedName>
    <definedName name="v_54_SH">Model!$CA$196</definedName>
    <definedName name="v_54_SH2">Model!$AU$196</definedName>
    <definedName name="v_54_SK">Model!$BB$196</definedName>
    <definedName name="v_54_SMEOL">Model!$G$196</definedName>
    <definedName name="v_54_SMg">Model!$BA$196</definedName>
    <definedName name="v_54_SN_B">Model!$AI$196</definedName>
    <definedName name="v_54_SN2">Model!$AH$196</definedName>
    <definedName name="v_54_SN2O">Model!$AG$196</definedName>
    <definedName name="v_54_SNH2OH">Model!$AB$196</definedName>
    <definedName name="v_54_SNHx">Model!$AA$196</definedName>
    <definedName name="v_54_SNO_AOB">Model!$AE$196</definedName>
    <definedName name="v_54_SNO_OHO">Model!$AF$196</definedName>
    <definedName name="v_54_SNO2">Model!$AD$196</definedName>
    <definedName name="v_54_SNO3">Model!$AC$196</definedName>
    <definedName name="v_54_SO2">Model!$AS$196</definedName>
    <definedName name="v_54_SORPswitch">Model!$CC$196</definedName>
    <definedName name="v_54_SP_B">Model!$AO$196</definedName>
    <definedName name="v_54_SPFOA">Model!$BW$196</definedName>
    <definedName name="v_54_SPFOS">Model!$BY$196</definedName>
    <definedName name="v_54_SPO4">Model!$AM$196</definedName>
    <definedName name="v_54_SU">Model!$K$196</definedName>
    <definedName name="v_54_SVFA">Model!$E$196</definedName>
    <definedName name="v_54_XACP">Model!$BS$196</definedName>
    <definedName name="v_54_XALGAE">Model!$Z$196</definedName>
    <definedName name="v_54_XAMETO">Model!$X$196</definedName>
    <definedName name="v_54_XAMX">Model!$W$196</definedName>
    <definedName name="v_54_XAOB">Model!$U$196</definedName>
    <definedName name="v_54_XB">Model!$I$196</definedName>
    <definedName name="v_54_XB_e">Model!$J$196</definedName>
    <definedName name="v_54_XBSH">Model!$BT$196</definedName>
    <definedName name="v_54_XCaCO3">Model!$BR$196</definedName>
    <definedName name="v_54_XCASTO">Model!$S$196</definedName>
    <definedName name="v_54_XE">Model!$P$196</definedName>
    <definedName name="v_54_XE_ana">Model!$Q$196</definedName>
    <definedName name="v_54_XHAO_H">Model!$BK$196</definedName>
    <definedName name="v_54_XHAO_H_P">Model!$BN$196</definedName>
    <definedName name="v_54_XHAO_H_P_old">Model!$BP$196</definedName>
    <definedName name="v_54_XHAO_L">Model!$BL$196</definedName>
    <definedName name="v_54_XHAO_L_P">Model!$BO$196</definedName>
    <definedName name="v_54_XHAO_L_P_old">Model!$BQ$196</definedName>
    <definedName name="v_54_XHAO_old">Model!$BM$196</definedName>
    <definedName name="v_54_XHFO_H">Model!$BD$196</definedName>
    <definedName name="v_54_XHFO_H_P">Model!$BG$196</definedName>
    <definedName name="v_54_XHFO_H_P_old">Model!$BI$196</definedName>
    <definedName name="v_54_XHFO_L">Model!$BE$196</definedName>
    <definedName name="v_54_XHFO_L_P">Model!$BH$196</definedName>
    <definedName name="v_54_XHFO_L_P_old">Model!$BJ$196</definedName>
    <definedName name="v_54_XHFO_old">Model!$BF$196</definedName>
    <definedName name="v_54_XHMETO">Model!$Y$196</definedName>
    <definedName name="v_54_XINORG">Model!$AW$196</definedName>
    <definedName name="v_54_XMEOLO">Model!$T$196</definedName>
    <definedName name="v_54_XN_B">Model!$AJ$196</definedName>
    <definedName name="v_54_XN_Be">Model!$AK$196</definedName>
    <definedName name="v_54_XN_U">Model!$AL$196</definedName>
    <definedName name="v_54_XNOB">Model!$V$196</definedName>
    <definedName name="v_54_XOHO">Model!$R$196</definedName>
    <definedName name="v_54_XP_B">Model!$AP$196</definedName>
    <definedName name="v_54_XP_Be">Model!$AQ$196</definedName>
    <definedName name="v_54_XP_U">Model!$AR$196</definedName>
    <definedName name="v_54_XPFOA">Model!$BX$196</definedName>
    <definedName name="v_54_XPFOS">Model!$BZ$196</definedName>
    <definedName name="v_54_XPHA_GAO">Model!$O$196</definedName>
    <definedName name="v_54_XPHA_PAO">Model!$N$196</definedName>
    <definedName name="v_54_XPP">Model!$AN$196</definedName>
    <definedName name="v_54_XSTR">Model!$BU$196</definedName>
    <definedName name="v_54_XU">Model!$M$196</definedName>
    <definedName name="v_54_XVivi">Model!$BV$196</definedName>
    <definedName name="v_55_CB">Model!$H$197</definedName>
    <definedName name="v_55_CU">Model!$L$197</definedName>
    <definedName name="v_55_GCH4">Model!$CE$197</definedName>
    <definedName name="v_55_GCH4_atm">Model!$CM$197</definedName>
    <definedName name="v_55_GCO2">Model!$CD$197</definedName>
    <definedName name="v_55_GCO2_atm">Model!$CL$197</definedName>
    <definedName name="v_55_GH2">Model!$CF$197</definedName>
    <definedName name="v_55_GH2_atm">Model!$CN$197</definedName>
    <definedName name="v_55_GN2">Model!$CK$197</definedName>
    <definedName name="v_55_GN2_atm">Model!$CS$197</definedName>
    <definedName name="v_55_GN2O">Model!$CJ$197</definedName>
    <definedName name="v_55_GN2O_atm">Model!$CR$197</definedName>
    <definedName name="v_55_GNH3">Model!$CH$197</definedName>
    <definedName name="v_55_GNH3_atm">Model!$CP$197</definedName>
    <definedName name="v_55_GNO">Model!$CI$197</definedName>
    <definedName name="v_55_GNO_atm">Model!$CQ$197</definedName>
    <definedName name="v_55_GO2">Model!$CG$197</definedName>
    <definedName name="v_55_GO2_atm">Model!$CO$197</definedName>
    <definedName name="v_55_SALPHA">Model!$CB$197</definedName>
    <definedName name="v_55_SAN">Model!$AY$197</definedName>
    <definedName name="v_55_SB">Model!$F$197</definedName>
    <definedName name="v_55_SCa">Model!$AZ$197</definedName>
    <definedName name="v_55_SCAT">Model!$AX$197</definedName>
    <definedName name="v_55_SCH4">Model!$AT$197</definedName>
    <definedName name="v_55_SCO2">Model!$AV$197</definedName>
    <definedName name="v_55_SFe2">Model!$BC$197</definedName>
    <definedName name="v_55_SH">Model!$CA$197</definedName>
    <definedName name="v_55_SH2">Model!$AU$197</definedName>
    <definedName name="v_55_SK">Model!$BB$197</definedName>
    <definedName name="v_55_SMEOL">Model!$G$197</definedName>
    <definedName name="v_55_SMg">Model!$BA$197</definedName>
    <definedName name="v_55_SN_B">Model!$AI$197</definedName>
    <definedName name="v_55_SN2">Model!$AH$197</definedName>
    <definedName name="v_55_SN2O">Model!$AG$197</definedName>
    <definedName name="v_55_SNH2OH">Model!$AB$197</definedName>
    <definedName name="v_55_SNHx">Model!$AA$197</definedName>
    <definedName name="v_55_SNO_AOB">Model!$AE$197</definedName>
    <definedName name="v_55_SNO_OHO">Model!$AF$197</definedName>
    <definedName name="v_55_SNO2">Model!$AD$197</definedName>
    <definedName name="v_55_SNO3">Model!$AC$197</definedName>
    <definedName name="v_55_SO2">Model!$AS$197</definedName>
    <definedName name="v_55_SORPswitch">Model!$CC$197</definedName>
    <definedName name="v_55_SP_B">Model!$AO$197</definedName>
    <definedName name="v_55_SPFOA">Model!$BW$197</definedName>
    <definedName name="v_55_SPFOS">Model!$BY$197</definedName>
    <definedName name="v_55_SPO4">Model!$AM$197</definedName>
    <definedName name="v_55_SU">Model!$K$197</definedName>
    <definedName name="v_55_SVFA">Model!$E$197</definedName>
    <definedName name="v_55_XACP">Model!$BS$197</definedName>
    <definedName name="v_55_XALGAE">Model!$Z$197</definedName>
    <definedName name="v_55_XAMETO">Model!$X$197</definedName>
    <definedName name="v_55_XAMX">Model!$W$197</definedName>
    <definedName name="v_55_XAOB">Model!$U$197</definedName>
    <definedName name="v_55_XB">Model!$I$197</definedName>
    <definedName name="v_55_XB_e">Model!$J$197</definedName>
    <definedName name="v_55_XBSH">Model!$BT$197</definedName>
    <definedName name="v_55_XCaCO3">Model!$BR$197</definedName>
    <definedName name="v_55_XCASTO">Model!$S$197</definedName>
    <definedName name="v_55_XE">Model!$P$197</definedName>
    <definedName name="v_55_XE_ana">Model!$Q$197</definedName>
    <definedName name="v_55_XHAO_H">Model!$BK$197</definedName>
    <definedName name="v_55_XHAO_H_P">Model!$BN$197</definedName>
    <definedName name="v_55_XHAO_H_P_old">Model!$BP$197</definedName>
    <definedName name="v_55_XHAO_L">Model!$BL$197</definedName>
    <definedName name="v_55_XHAO_L_P">Model!$BO$197</definedName>
    <definedName name="v_55_XHAO_L_P_old">Model!$BQ$197</definedName>
    <definedName name="v_55_XHAO_old">Model!$BM$197</definedName>
    <definedName name="v_55_XHFO_H">Model!$BD$197</definedName>
    <definedName name="v_55_XHFO_H_P">Model!$BG$197</definedName>
    <definedName name="v_55_XHFO_H_P_old">Model!$BI$197</definedName>
    <definedName name="v_55_XHFO_L">Model!$BE$197</definedName>
    <definedName name="v_55_XHFO_L_P">Model!$BH$197</definedName>
    <definedName name="v_55_XHFO_L_P_old">Model!$BJ$197</definedName>
    <definedName name="v_55_XHFO_old">Model!$BF$197</definedName>
    <definedName name="v_55_XHMETO">Model!$Y$197</definedName>
    <definedName name="v_55_XINORG">Model!$AW$197</definedName>
    <definedName name="v_55_XMEOLO">Model!$T$197</definedName>
    <definedName name="v_55_XN_B">Model!$AJ$197</definedName>
    <definedName name="v_55_XN_Be">Model!$AK$197</definedName>
    <definedName name="v_55_XN_U">Model!$AL$197</definedName>
    <definedName name="v_55_XNOB">Model!$V$197</definedName>
    <definedName name="v_55_XOHO">Model!$R$197</definedName>
    <definedName name="v_55_XP_B">Model!$AP$197</definedName>
    <definedName name="v_55_XP_Be">Model!$AQ$197</definedName>
    <definedName name="v_55_XP_U">Model!$AR$197</definedName>
    <definedName name="v_55_XPFOA">Model!$BX$197</definedName>
    <definedName name="v_55_XPFOS">Model!$BZ$197</definedName>
    <definedName name="v_55_XPHA_GAO">Model!$O$197</definedName>
    <definedName name="v_55_XPHA_PAO">Model!$N$197</definedName>
    <definedName name="v_55_XPP">Model!$AN$197</definedName>
    <definedName name="v_55_XSTR">Model!$BU$197</definedName>
    <definedName name="v_55_XU">Model!$M$197</definedName>
    <definedName name="v_55_XVivi">Model!$BV$197</definedName>
    <definedName name="v_56_CB">Model!$H$198</definedName>
    <definedName name="v_56_CU">Model!$L$198</definedName>
    <definedName name="v_56_GCH4">Model!$CE$198</definedName>
    <definedName name="v_56_GCH4_atm">Model!$CM$198</definedName>
    <definedName name="v_56_GCO2">Model!$CD$198</definedName>
    <definedName name="v_56_GCO2_atm">Model!$CL$198</definedName>
    <definedName name="v_56_GH2">Model!$CF$198</definedName>
    <definedName name="v_56_GH2_atm">Model!$CN$198</definedName>
    <definedName name="v_56_GN2">Model!$CK$198</definedName>
    <definedName name="v_56_GN2_atm">Model!$CS$198</definedName>
    <definedName name="v_56_GN2O">Model!$CJ$198</definedName>
    <definedName name="v_56_GN2O_atm">Model!$CR$198</definedName>
    <definedName name="v_56_GNH3">Model!$CH$198</definedName>
    <definedName name="v_56_GNH3_atm">Model!$CP$198</definedName>
    <definedName name="v_56_GNO">Model!$CI$198</definedName>
    <definedName name="v_56_GNO_atm">Model!$CQ$198</definedName>
    <definedName name="v_56_GO2">Model!$CG$198</definedName>
    <definedName name="v_56_GO2_atm">Model!$CO$198</definedName>
    <definedName name="v_56_SALPHA">Model!$CB$198</definedName>
    <definedName name="v_56_SAN">Model!$AY$198</definedName>
    <definedName name="v_56_SB">Model!$F$198</definedName>
    <definedName name="v_56_SCa">Model!$AZ$198</definedName>
    <definedName name="v_56_SCAT">Model!$AX$198</definedName>
    <definedName name="v_56_SCH4">Model!$AT$198</definedName>
    <definedName name="v_56_SCO2">Model!$AV$198</definedName>
    <definedName name="v_56_SFe2">Model!$BC$198</definedName>
    <definedName name="v_56_SH">Model!$CA$198</definedName>
    <definedName name="v_56_SH2">Model!$AU$198</definedName>
    <definedName name="v_56_SK">Model!$BB$198</definedName>
    <definedName name="v_56_SMEOL">Model!$G$198</definedName>
    <definedName name="v_56_SMg">Model!$BA$198</definedName>
    <definedName name="v_56_SN_B">Model!$AI$198</definedName>
    <definedName name="v_56_SN2">Model!$AH$198</definedName>
    <definedName name="v_56_SN2O">Model!$AG$198</definedName>
    <definedName name="v_56_SNH2OH">Model!$AB$198</definedName>
    <definedName name="v_56_SNHx">Model!$AA$198</definedName>
    <definedName name="v_56_SNO_AOB">Model!$AE$198</definedName>
    <definedName name="v_56_SNO_OHO">Model!$AF$198</definedName>
    <definedName name="v_56_SNO2">Model!$AD$198</definedName>
    <definedName name="v_56_SNO3">Model!$AC$198</definedName>
    <definedName name="v_56_SO2">Model!$AS$198</definedName>
    <definedName name="v_56_SORPswitch">Model!$CC$198</definedName>
    <definedName name="v_56_SP_B">Model!$AO$198</definedName>
    <definedName name="v_56_SPFOA">Model!$BW$198</definedName>
    <definedName name="v_56_SPFOS">Model!$BY$198</definedName>
    <definedName name="v_56_SPO4">Model!$AM$198</definedName>
    <definedName name="v_56_SU">Model!$K$198</definedName>
    <definedName name="v_56_SVFA">Model!$E$198</definedName>
    <definedName name="v_56_XACP">Model!$BS$198</definedName>
    <definedName name="v_56_XALGAE">Model!$Z$198</definedName>
    <definedName name="v_56_XAMETO">Model!$X$198</definedName>
    <definedName name="v_56_XAMX">Model!$W$198</definedName>
    <definedName name="v_56_XAOB">Model!$U$198</definedName>
    <definedName name="v_56_XB">Model!$I$198</definedName>
    <definedName name="v_56_XB_e">Model!$J$198</definedName>
    <definedName name="v_56_XBSH">Model!$BT$198</definedName>
    <definedName name="v_56_XCaCO3">Model!$BR$198</definedName>
    <definedName name="v_56_XCASTO">Model!$S$198</definedName>
    <definedName name="v_56_XE">Model!$P$198</definedName>
    <definedName name="v_56_XE_ana">Model!$Q$198</definedName>
    <definedName name="v_56_XHAO_H">Model!$BK$198</definedName>
    <definedName name="v_56_XHAO_H_P">Model!$BN$198</definedName>
    <definedName name="v_56_XHAO_H_P_old">Model!$BP$198</definedName>
    <definedName name="v_56_XHAO_L">Model!$BL$198</definedName>
    <definedName name="v_56_XHAO_L_P">Model!$BO$198</definedName>
    <definedName name="v_56_XHAO_L_P_old">Model!$BQ$198</definedName>
    <definedName name="v_56_XHAO_old">Model!$BM$198</definedName>
    <definedName name="v_56_XHFO_H">Model!$BD$198</definedName>
    <definedName name="v_56_XHFO_H_P">Model!$BG$198</definedName>
    <definedName name="v_56_XHFO_H_P_old">Model!$BI$198</definedName>
    <definedName name="v_56_XHFO_L">Model!$BE$198</definedName>
    <definedName name="v_56_XHFO_L_P">Model!$BH$198</definedName>
    <definedName name="v_56_XHFO_L_P_old">Model!$BJ$198</definedName>
    <definedName name="v_56_XHFO_old">Model!$BF$198</definedName>
    <definedName name="v_56_XHMETO">Model!$Y$198</definedName>
    <definedName name="v_56_XINORG">Model!$AW$198</definedName>
    <definedName name="v_56_XMEOLO">Model!$T$198</definedName>
    <definedName name="v_56_XN_B">Model!$AJ$198</definedName>
    <definedName name="v_56_XN_Be">Model!$AK$198</definedName>
    <definedName name="v_56_XN_U">Model!$AL$198</definedName>
    <definedName name="v_56_XNOB">Model!$V$198</definedName>
    <definedName name="v_56_XOHO">Model!$R$198</definedName>
    <definedName name="v_56_XP_B">Model!$AP$198</definedName>
    <definedName name="v_56_XP_Be">Model!$AQ$198</definedName>
    <definedName name="v_56_XP_U">Model!$AR$198</definedName>
    <definedName name="v_56_XPFOA">Model!$BX$198</definedName>
    <definedName name="v_56_XPFOS">Model!$BZ$198</definedName>
    <definedName name="v_56_XPHA_GAO">Model!$O$198</definedName>
    <definedName name="v_56_XPHA_PAO">Model!$N$198</definedName>
    <definedName name="v_56_XPP">Model!$AN$198</definedName>
    <definedName name="v_56_XSTR">Model!$BU$198</definedName>
    <definedName name="v_56_XU">Model!$M$198</definedName>
    <definedName name="v_56_XVivi">Model!$BV$198</definedName>
    <definedName name="v_57_CB">Model!$H$199</definedName>
    <definedName name="v_57_CU">Model!$L$199</definedName>
    <definedName name="v_57_GCH4">Model!$CE$199</definedName>
    <definedName name="v_57_GCH4_atm">Model!$CM$199</definedName>
    <definedName name="v_57_GCO2">Model!$CD$199</definedName>
    <definedName name="v_57_GCO2_atm">Model!$CL$199</definedName>
    <definedName name="v_57_GH2">Model!$CF$199</definedName>
    <definedName name="v_57_GH2_atm">Model!$CN$199</definedName>
    <definedName name="v_57_GN2">Model!$CK$199</definedName>
    <definedName name="v_57_GN2_atm">Model!$CS$199</definedName>
    <definedName name="v_57_GN2O">Model!$CJ$199</definedName>
    <definedName name="v_57_GN2O_atm">Model!$CR$199</definedName>
    <definedName name="v_57_GNH3">Model!$CH$199</definedName>
    <definedName name="v_57_GNH3_atm">Model!$CP$199</definedName>
    <definedName name="v_57_GNO">Model!$CI$199</definedName>
    <definedName name="v_57_GNO_atm">Model!$CQ$199</definedName>
    <definedName name="v_57_GO2">Model!$CG$199</definedName>
    <definedName name="v_57_GO2_atm">Model!$CO$199</definedName>
    <definedName name="v_57_SALPHA">Model!$CB$199</definedName>
    <definedName name="v_57_SAN">Model!$AY$199</definedName>
    <definedName name="v_57_SB">Model!$F$199</definedName>
    <definedName name="v_57_SCa">Model!$AZ$199</definedName>
    <definedName name="v_57_SCAT">Model!$AX$199</definedName>
    <definedName name="v_57_SCH4">Model!$AT$199</definedName>
    <definedName name="v_57_SCO2">Model!$AV$199</definedName>
    <definedName name="v_57_SFe2">Model!$BC$199</definedName>
    <definedName name="v_57_SH">Model!$CA$199</definedName>
    <definedName name="v_57_SH2">Model!$AU$199</definedName>
    <definedName name="v_57_SK">Model!$BB$199</definedName>
    <definedName name="v_57_SMEOL">Model!$G$199</definedName>
    <definedName name="v_57_SMg">Model!$BA$199</definedName>
    <definedName name="v_57_SN_B">Model!$AI$199</definedName>
    <definedName name="v_57_SN2">Model!$AH$199</definedName>
    <definedName name="v_57_SN2O">Model!$AG$199</definedName>
    <definedName name="v_57_SNH2OH">Model!$AB$199</definedName>
    <definedName name="v_57_SNHx">Model!$AA$199</definedName>
    <definedName name="v_57_SNO_AOB">Model!$AE$199</definedName>
    <definedName name="v_57_SNO_OHO">Model!$AF$199</definedName>
    <definedName name="v_57_SNO2">Model!$AD$199</definedName>
    <definedName name="v_57_SNO3">Model!$AC$199</definedName>
    <definedName name="v_57_SO2">Model!$AS$199</definedName>
    <definedName name="v_57_SORPswitch">Model!$CC$199</definedName>
    <definedName name="v_57_SP_B">Model!$AO$199</definedName>
    <definedName name="v_57_SPFOA">Model!$BW$199</definedName>
    <definedName name="v_57_SPFOS">Model!$BY$199</definedName>
    <definedName name="v_57_SPO4">Model!$AM$199</definedName>
    <definedName name="v_57_SU">Model!$K$199</definedName>
    <definedName name="v_57_SVFA">Model!$E$199</definedName>
    <definedName name="v_57_XACP">Model!$BS$199</definedName>
    <definedName name="v_57_XALGAE">Model!$Z$199</definedName>
    <definedName name="v_57_XAMETO">Model!$X$199</definedName>
    <definedName name="v_57_XAMX">Model!$W$199</definedName>
    <definedName name="v_57_XAOB">Model!$U$199</definedName>
    <definedName name="v_57_XB">Model!$I$199</definedName>
    <definedName name="v_57_XB_e">Model!$J$199</definedName>
    <definedName name="v_57_XBSH">Model!$BT$199</definedName>
    <definedName name="v_57_XCaCO3">Model!$BR$199</definedName>
    <definedName name="v_57_XCASTO">Model!$S$199</definedName>
    <definedName name="v_57_XE">Model!$P$199</definedName>
    <definedName name="v_57_XE_ana">Model!$Q$199</definedName>
    <definedName name="v_57_XHAO_H">Model!$BK$199</definedName>
    <definedName name="v_57_XHAO_H_P">Model!$BN$199</definedName>
    <definedName name="v_57_XHAO_H_P_old">Model!$BP$199</definedName>
    <definedName name="v_57_XHAO_L">Model!$BL$199</definedName>
    <definedName name="v_57_XHAO_L_P">Model!$BO$199</definedName>
    <definedName name="v_57_XHAO_L_P_old">Model!$BQ$199</definedName>
    <definedName name="v_57_XHAO_old">Model!$BM$199</definedName>
    <definedName name="v_57_XHFO_H">Model!$BD$199</definedName>
    <definedName name="v_57_XHFO_H_P">Model!$BG$199</definedName>
    <definedName name="v_57_XHFO_H_P_old">Model!$BI$199</definedName>
    <definedName name="v_57_XHFO_L">Model!$BE$199</definedName>
    <definedName name="v_57_XHFO_L_P">Model!$BH$199</definedName>
    <definedName name="v_57_XHFO_L_P_old">Model!$BJ$199</definedName>
    <definedName name="v_57_XHFO_old">Model!$BF$199</definedName>
    <definedName name="v_57_XHMETO">Model!$Y$199</definedName>
    <definedName name="v_57_XINORG">Model!$AW$199</definedName>
    <definedName name="v_57_XMEOLO">Model!$T$199</definedName>
    <definedName name="v_57_XN_B">Model!$AJ$199</definedName>
    <definedName name="v_57_XN_Be">Model!$AK$199</definedName>
    <definedName name="v_57_XN_U">Model!$AL$199</definedName>
    <definedName name="v_57_XNOB">Model!$V$199</definedName>
    <definedName name="v_57_XOHO">Model!$R$199</definedName>
    <definedName name="v_57_XP_B">Model!$AP$199</definedName>
    <definedName name="v_57_XP_Be">Model!$AQ$199</definedName>
    <definedName name="v_57_XP_U">Model!$AR$199</definedName>
    <definedName name="v_57_XPFOA">Model!$BX$199</definedName>
    <definedName name="v_57_XPFOS">Model!$BZ$199</definedName>
    <definedName name="v_57_XPHA_GAO">Model!$O$199</definedName>
    <definedName name="v_57_XPHA_PAO">Model!$N$199</definedName>
    <definedName name="v_57_XPP">Model!$AN$199</definedName>
    <definedName name="v_57_XSTR">Model!$BU$199</definedName>
    <definedName name="v_57_XU">Model!$M$199</definedName>
    <definedName name="v_57_XVivi">Model!$BV$199</definedName>
    <definedName name="v_58_CB">Model!$H$200</definedName>
    <definedName name="v_58_CU">Model!$L$200</definedName>
    <definedName name="v_58_GCH4">Model!$CE$200</definedName>
    <definedName name="v_58_GCH4_atm">Model!$CM$200</definedName>
    <definedName name="v_58_GCO2">Model!$CD$200</definedName>
    <definedName name="v_58_GCO2_atm">Model!$CL$200</definedName>
    <definedName name="v_58_GH2">Model!$CF$200</definedName>
    <definedName name="v_58_GH2_atm">Model!$CN$200</definedName>
    <definedName name="v_58_GN2">Model!$CK$200</definedName>
    <definedName name="v_58_GN2_atm">Model!$CS$200</definedName>
    <definedName name="v_58_GN2O">Model!$CJ$200</definedName>
    <definedName name="v_58_GN2O_atm">Model!$CR$200</definedName>
    <definedName name="v_58_GNH3">Model!$CH$200</definedName>
    <definedName name="v_58_GNH3_atm">Model!$CP$200</definedName>
    <definedName name="v_58_GNO">Model!$CI$200</definedName>
    <definedName name="v_58_GNO_atm">Model!$CQ$200</definedName>
    <definedName name="v_58_GO2">Model!$CG$200</definedName>
    <definedName name="v_58_GO2_atm">Model!$CO$200</definedName>
    <definedName name="v_58_SALPHA">Model!$CB$200</definedName>
    <definedName name="v_58_SAN">Model!$AY$200</definedName>
    <definedName name="v_58_SB">Model!$F$200</definedName>
    <definedName name="v_58_SCa">Model!$AZ$200</definedName>
    <definedName name="v_58_SCAT">Model!$AX$200</definedName>
    <definedName name="v_58_SCH4">Model!$AT$200</definedName>
    <definedName name="v_58_SCO2">Model!$AV$200</definedName>
    <definedName name="v_58_SFe2">Model!$BC$200</definedName>
    <definedName name="v_58_SH">Model!$CA$200</definedName>
    <definedName name="v_58_SH2">Model!$AU$200</definedName>
    <definedName name="v_58_SK">Model!$BB$200</definedName>
    <definedName name="v_58_SMEOL">Model!$G$200</definedName>
    <definedName name="v_58_SMg">Model!$BA$200</definedName>
    <definedName name="v_58_SN_B">Model!$AI$200</definedName>
    <definedName name="v_58_SN2">Model!$AH$200</definedName>
    <definedName name="v_58_SN2O">Model!$AG$200</definedName>
    <definedName name="v_58_SNH2OH">Model!$AB$200</definedName>
    <definedName name="v_58_SNHx">Model!$AA$200</definedName>
    <definedName name="v_58_SNO_AOB">Model!$AE$200</definedName>
    <definedName name="v_58_SNO_OHO">Model!$AF$200</definedName>
    <definedName name="v_58_SNO2">Model!$AD$200</definedName>
    <definedName name="v_58_SNO3">Model!$AC$200</definedName>
    <definedName name="v_58_SO2">Model!$AS$200</definedName>
    <definedName name="v_58_SORPswitch">Model!$CC$200</definedName>
    <definedName name="v_58_SP_B">Model!$AO$200</definedName>
    <definedName name="v_58_SPFOA">Model!$BW$200</definedName>
    <definedName name="v_58_SPFOS">Model!$BY$200</definedName>
    <definedName name="v_58_SPO4">Model!$AM$200</definedName>
    <definedName name="v_58_SU">Model!$K$200</definedName>
    <definedName name="v_58_SVFA">Model!$E$200</definedName>
    <definedName name="v_58_XACP">Model!$BS$200</definedName>
    <definedName name="v_58_XALGAE">Model!$Z$200</definedName>
    <definedName name="v_58_XAMETO">Model!$X$200</definedName>
    <definedName name="v_58_XAMX">Model!$W$200</definedName>
    <definedName name="v_58_XAOB">Model!$U$200</definedName>
    <definedName name="v_58_XB">Model!$I$200</definedName>
    <definedName name="v_58_XB_e">Model!$J$200</definedName>
    <definedName name="v_58_XBSH">Model!$BT$200</definedName>
    <definedName name="v_58_XCaCO3">Model!$BR$200</definedName>
    <definedName name="v_58_XCASTO">Model!$S$200</definedName>
    <definedName name="v_58_XE">Model!$P$200</definedName>
    <definedName name="v_58_XE_ana">Model!$Q$200</definedName>
    <definedName name="v_58_XHAO_H">Model!$BK$200</definedName>
    <definedName name="v_58_XHAO_H_P">Model!$BN$200</definedName>
    <definedName name="v_58_XHAO_H_P_old">Model!$BP$200</definedName>
    <definedName name="v_58_XHAO_L">Model!$BL$200</definedName>
    <definedName name="v_58_XHAO_L_P">Model!$BO$200</definedName>
    <definedName name="v_58_XHAO_L_P_old">Model!$BQ$200</definedName>
    <definedName name="v_58_XHAO_old">Model!$BM$200</definedName>
    <definedName name="v_58_XHFO_H">Model!$BD$200</definedName>
    <definedName name="v_58_XHFO_H_P">Model!$BG$200</definedName>
    <definedName name="v_58_XHFO_H_P_old">Model!$BI$200</definedName>
    <definedName name="v_58_XHFO_L">Model!$BE$200</definedName>
    <definedName name="v_58_XHFO_L_P">Model!$BH$200</definedName>
    <definedName name="v_58_XHFO_L_P_old">Model!$BJ$200</definedName>
    <definedName name="v_58_XHFO_old">Model!$BF$200</definedName>
    <definedName name="v_58_XHMETO">Model!$Y$200</definedName>
    <definedName name="v_58_XINORG">Model!$AW$200</definedName>
    <definedName name="v_58_XMEOLO">Model!$T$200</definedName>
    <definedName name="v_58_XN_B">Model!$AJ$200</definedName>
    <definedName name="v_58_XN_Be">Model!$AK$200</definedName>
    <definedName name="v_58_XN_U">Model!$AL$200</definedName>
    <definedName name="v_58_XNOB">Model!$V$200</definedName>
    <definedName name="v_58_XOHO">Model!$R$200</definedName>
    <definedName name="v_58_XP_B">Model!$AP$200</definedName>
    <definedName name="v_58_XP_Be">Model!$AQ$200</definedName>
    <definedName name="v_58_XP_U">Model!$AR$200</definedName>
    <definedName name="v_58_XPFOA">Model!$BX$200</definedName>
    <definedName name="v_58_XPFOS">Model!$BZ$200</definedName>
    <definedName name="v_58_XPHA_GAO">Model!$O$200</definedName>
    <definedName name="v_58_XPHA_PAO">Model!$N$200</definedName>
    <definedName name="v_58_XPP">Model!$AN$200</definedName>
    <definedName name="v_58_XSTR">Model!$BU$200</definedName>
    <definedName name="v_58_XU">Model!$M$200</definedName>
    <definedName name="v_58_XVivi">Model!$BV$200</definedName>
    <definedName name="v_59_CB">Model!$H$201</definedName>
    <definedName name="v_59_CU">Model!$L$201</definedName>
    <definedName name="v_59_GCH4">Model!$CE$201</definedName>
    <definedName name="v_59_GCH4_atm">Model!$CM$201</definedName>
    <definedName name="v_59_GCO2">Model!$CD$201</definedName>
    <definedName name="v_59_GCO2_atm">Model!$CL$201</definedName>
    <definedName name="v_59_GH2">Model!$CF$201</definedName>
    <definedName name="v_59_GH2_atm">Model!$CN$201</definedName>
    <definedName name="v_59_GN2">Model!$CK$201</definedName>
    <definedName name="v_59_GN2_atm">Model!$CS$201</definedName>
    <definedName name="v_59_GN2O">Model!$CJ$201</definedName>
    <definedName name="v_59_GN2O_atm">Model!$CR$201</definedName>
    <definedName name="v_59_GNH3">Model!$CH$201</definedName>
    <definedName name="v_59_GNH3_atm">Model!$CP$201</definedName>
    <definedName name="v_59_GNO">Model!$CI$201</definedName>
    <definedName name="v_59_GNO_atm">Model!$CQ$201</definedName>
    <definedName name="v_59_GO2">Model!$CG$201</definedName>
    <definedName name="v_59_GO2_atm">Model!$CO$201</definedName>
    <definedName name="v_59_SALPHA">Model!$CB$201</definedName>
    <definedName name="v_59_SAN">Model!$AY$201</definedName>
    <definedName name="v_59_SB">Model!$F$201</definedName>
    <definedName name="v_59_SCa">Model!$AZ$201</definedName>
    <definedName name="v_59_SCAT">Model!$AX$201</definedName>
    <definedName name="v_59_SCH4">Model!$AT$201</definedName>
    <definedName name="v_59_SCO2">Model!$AV$201</definedName>
    <definedName name="v_59_SFe2">Model!$BC$201</definedName>
    <definedName name="v_59_SH">Model!$CA$201</definedName>
    <definedName name="v_59_SH2">Model!$AU$201</definedName>
    <definedName name="v_59_SK">Model!$BB$201</definedName>
    <definedName name="v_59_SMEOL">Model!$G$201</definedName>
    <definedName name="v_59_SMg">Model!$BA$201</definedName>
    <definedName name="v_59_SN_B">Model!$AI$201</definedName>
    <definedName name="v_59_SN2">Model!$AH$201</definedName>
    <definedName name="v_59_SN2O">Model!$AG$201</definedName>
    <definedName name="v_59_SNH2OH">Model!$AB$201</definedName>
    <definedName name="v_59_SNHx">Model!$AA$201</definedName>
    <definedName name="v_59_SNO_AOB">Model!$AE$201</definedName>
    <definedName name="v_59_SNO_OHO">Model!$AF$201</definedName>
    <definedName name="v_59_SNO2">Model!$AD$201</definedName>
    <definedName name="v_59_SNO3">Model!$AC$201</definedName>
    <definedName name="v_59_SO2">Model!$AS$201</definedName>
    <definedName name="v_59_SORPswitch">Model!$CC$201</definedName>
    <definedName name="v_59_SP_B">Model!$AO$201</definedName>
    <definedName name="v_59_SPFOA">Model!$BW$201</definedName>
    <definedName name="v_59_SPFOS">Model!$BY$201</definedName>
    <definedName name="v_59_SPO4">Model!$AM$201</definedName>
    <definedName name="v_59_SU">Model!$K$201</definedName>
    <definedName name="v_59_SVFA">Model!$E$201</definedName>
    <definedName name="v_59_XACP">Model!$BS$201</definedName>
    <definedName name="v_59_XALGAE">Model!$Z$201</definedName>
    <definedName name="v_59_XAMETO">Model!$X$201</definedName>
    <definedName name="v_59_XAMX">Model!$W$201</definedName>
    <definedName name="v_59_XAOB">Model!$U$201</definedName>
    <definedName name="v_59_XB">Model!$I$201</definedName>
    <definedName name="v_59_XB_e">Model!$J$201</definedName>
    <definedName name="v_59_XBSH">Model!$BT$201</definedName>
    <definedName name="v_59_XCaCO3">Model!$BR$201</definedName>
    <definedName name="v_59_XCASTO">Model!$S$201</definedName>
    <definedName name="v_59_XE">Model!$P$201</definedName>
    <definedName name="v_59_XE_ana">Model!$Q$201</definedName>
    <definedName name="v_59_XHAO_H">Model!$BK$201</definedName>
    <definedName name="v_59_XHAO_H_P">Model!$BN$201</definedName>
    <definedName name="v_59_XHAO_H_P_old">Model!$BP$201</definedName>
    <definedName name="v_59_XHAO_L">Model!$BL$201</definedName>
    <definedName name="v_59_XHAO_L_P">Model!$BO$201</definedName>
    <definedName name="v_59_XHAO_L_P_old">Model!$BQ$201</definedName>
    <definedName name="v_59_XHAO_old">Model!$BM$201</definedName>
    <definedName name="v_59_XHFO_H">Model!$BD$201</definedName>
    <definedName name="v_59_XHFO_H_P">Model!$BG$201</definedName>
    <definedName name="v_59_XHFO_H_P_old">Model!$BI$201</definedName>
    <definedName name="v_59_XHFO_L">Model!$BE$201</definedName>
    <definedName name="v_59_XHFO_L_P">Model!$BH$201</definedName>
    <definedName name="v_59_XHFO_L_P_old">Model!$BJ$201</definedName>
    <definedName name="v_59_XHFO_old">Model!$BF$201</definedName>
    <definedName name="v_59_XHMETO">Model!$Y$201</definedName>
    <definedName name="v_59_XINORG">Model!$AW$201</definedName>
    <definedName name="v_59_XMEOLO">Model!$T$201</definedName>
    <definedName name="v_59_XN_B">Model!$AJ$201</definedName>
    <definedName name="v_59_XN_Be">Model!$AK$201</definedName>
    <definedName name="v_59_XN_U">Model!$AL$201</definedName>
    <definedName name="v_59_XNOB">Model!$V$201</definedName>
    <definedName name="v_59_XOHO">Model!$R$201</definedName>
    <definedName name="v_59_XP_B">Model!$AP$201</definedName>
    <definedName name="v_59_XP_Be">Model!$AQ$201</definedName>
    <definedName name="v_59_XP_U">Model!$AR$201</definedName>
    <definedName name="v_59_XPFOA">Model!$BX$201</definedName>
    <definedName name="v_59_XPFOS">Model!$BZ$201</definedName>
    <definedName name="v_59_XPHA_GAO">Model!$O$201</definedName>
    <definedName name="v_59_XPHA_PAO">Model!$N$201</definedName>
    <definedName name="v_59_XPP">Model!$AN$201</definedName>
    <definedName name="v_59_XSTR">Model!$BU$201</definedName>
    <definedName name="v_59_XU">Model!$M$201</definedName>
    <definedName name="v_59_XVivi">Model!$BV$201</definedName>
    <definedName name="v_6_CB">Model!$H$148</definedName>
    <definedName name="v_6_CU">Model!$L$148</definedName>
    <definedName name="v_6_GCH4">Model!$CE$148</definedName>
    <definedName name="v_6_GCH4_atm">Model!$CM$148</definedName>
    <definedName name="v_6_GCO2">Model!$CD$148</definedName>
    <definedName name="v_6_GCO2_atm">Model!$CL$148</definedName>
    <definedName name="v_6_GH2">Model!$CF$148</definedName>
    <definedName name="v_6_GH2_atm">Model!$CN$148</definedName>
    <definedName name="v_6_GN2">Model!$CK$148</definedName>
    <definedName name="v_6_GN2_atm">Model!$CS$148</definedName>
    <definedName name="v_6_GN2O">Model!$CJ$148</definedName>
    <definedName name="v_6_GN2O_atm">Model!$CR$148</definedName>
    <definedName name="v_6_GNH3">Model!$CH$148</definedName>
    <definedName name="v_6_GNH3_atm">Model!$CP$148</definedName>
    <definedName name="v_6_GNO">Model!$CI$148</definedName>
    <definedName name="v_6_GNO_atm">Model!$CQ$148</definedName>
    <definedName name="v_6_GO2">Model!$CG$148</definedName>
    <definedName name="v_6_GO2_atm">Model!$CO$148</definedName>
    <definedName name="v_6_SALPHA">Model!$CB$148</definedName>
    <definedName name="v_6_SAN">Model!$AY$148</definedName>
    <definedName name="v_6_SB">Model!$F$148</definedName>
    <definedName name="v_6_SCa">Model!$AZ$148</definedName>
    <definedName name="v_6_SCAT">Model!$AX$148</definedName>
    <definedName name="v_6_SCH4">Model!$AT$148</definedName>
    <definedName name="v_6_SCO2">Model!$AV$148</definedName>
    <definedName name="v_6_SFe2">Model!$BC$148</definedName>
    <definedName name="v_6_SH">Model!$CA$148</definedName>
    <definedName name="v_6_SH2">Model!$AU$148</definedName>
    <definedName name="v_6_SK">Model!$BB$148</definedName>
    <definedName name="v_6_SMEOL">Model!$G$148</definedName>
    <definedName name="v_6_SMg">Model!$BA$148</definedName>
    <definedName name="v_6_SN_B">Model!$AI$148</definedName>
    <definedName name="v_6_SN2">Model!$AH$148</definedName>
    <definedName name="v_6_SN2O">Model!$AG$148</definedName>
    <definedName name="v_6_SNH2OH">Model!$AB$148</definedName>
    <definedName name="v_6_SNHx">Model!$AA$148</definedName>
    <definedName name="v_6_SNO_AOB">Model!$AE$148</definedName>
    <definedName name="v_6_SNO_OHO">Model!$AF$148</definedName>
    <definedName name="v_6_SNO2">Model!$AD$148</definedName>
    <definedName name="v_6_SNO3">Model!$AC$148</definedName>
    <definedName name="v_6_SO2">Model!$AS$148</definedName>
    <definedName name="v_6_SORPswitch">Model!$CC$148</definedName>
    <definedName name="v_6_SP_B">Model!$AO$148</definedName>
    <definedName name="v_6_SPFOA">Model!$BW$148</definedName>
    <definedName name="v_6_SPFOS">Model!$BY$148</definedName>
    <definedName name="v_6_SPO4">Model!$AM$148</definedName>
    <definedName name="v_6_SU">Model!$K$148</definedName>
    <definedName name="v_6_SVFA">Model!$E$148</definedName>
    <definedName name="v_6_XACP">Model!$BS$148</definedName>
    <definedName name="v_6_XALGAE">Model!$Z$148</definedName>
    <definedName name="v_6_XAMETO">Model!$X$148</definedName>
    <definedName name="v_6_XAMX">Model!$W$148</definedName>
    <definedName name="v_6_XAOB">Model!$U$148</definedName>
    <definedName name="v_6_XB">Model!$I$148</definedName>
    <definedName name="v_6_XB_e">Model!$J$148</definedName>
    <definedName name="v_6_XBSH">Model!$BT$148</definedName>
    <definedName name="v_6_XCaCO3">Model!$BR$148</definedName>
    <definedName name="v_6_XCASTO">Model!$S$148</definedName>
    <definedName name="v_6_XE">Model!$P$148</definedName>
    <definedName name="v_6_XE_ana">Model!$Q$148</definedName>
    <definedName name="v_6_XHAO_H">Model!$BK$148</definedName>
    <definedName name="v_6_XHAO_H_P">Model!$BN$148</definedName>
    <definedName name="v_6_XHAO_H_P_old">Model!$BP$148</definedName>
    <definedName name="v_6_XHAO_L">Model!$BL$148</definedName>
    <definedName name="v_6_XHAO_L_P">Model!$BO$148</definedName>
    <definedName name="v_6_XHAO_L_P_old">Model!$BQ$148</definedName>
    <definedName name="v_6_XHAO_old">Model!$BM$148</definedName>
    <definedName name="v_6_XHFO_H">Model!$BD$148</definedName>
    <definedName name="v_6_XHFO_H_P">Model!$BG$148</definedName>
    <definedName name="v_6_XHFO_H_P_old">Model!$BI$148</definedName>
    <definedName name="v_6_XHFO_L">Model!$BE$148</definedName>
    <definedName name="v_6_XHFO_L_P">Model!$BH$148</definedName>
    <definedName name="v_6_XHFO_L_P_old">Model!$BJ$148</definedName>
    <definedName name="v_6_XHFO_old">Model!$BF$148</definedName>
    <definedName name="v_6_XHMETO">Model!$Y$148</definedName>
    <definedName name="v_6_XINORG">Model!$AW$148</definedName>
    <definedName name="v_6_XMEOLO">Model!$T$148</definedName>
    <definedName name="v_6_XN_B">Model!$AJ$148</definedName>
    <definedName name="v_6_XN_Be">Model!$AK$148</definedName>
    <definedName name="v_6_XN_U">Model!$AL$148</definedName>
    <definedName name="v_6_XNOB">Model!$V$148</definedName>
    <definedName name="v_6_XOHO">Model!$R$148</definedName>
    <definedName name="v_6_XP_B">Model!$AP$148</definedName>
    <definedName name="v_6_XP_Be">Model!$AQ$148</definedName>
    <definedName name="v_6_XP_U">Model!$AR$148</definedName>
    <definedName name="v_6_XPFOA">Model!$BX$148</definedName>
    <definedName name="v_6_XPFOS">Model!$BZ$148</definedName>
    <definedName name="v_6_XPHA_GAO">Model!$O$148</definedName>
    <definedName name="v_6_XPHA_PAO">Model!$N$148</definedName>
    <definedName name="v_6_XPP">Model!$AN$148</definedName>
    <definedName name="v_6_XSTR">Model!$BU$148</definedName>
    <definedName name="v_6_XU">Model!$M$148</definedName>
    <definedName name="v_6_XVivi">Model!$BV$148</definedName>
    <definedName name="v_60_CB">Model!$H$202</definedName>
    <definedName name="v_60_CU">Model!$L$202</definedName>
    <definedName name="v_60_GCH4">Model!$CE$202</definedName>
    <definedName name="v_60_GCH4_atm">Model!$CM$202</definedName>
    <definedName name="v_60_GCO2">Model!$CD$202</definedName>
    <definedName name="v_60_GCO2_atm">Model!$CL$202</definedName>
    <definedName name="v_60_GH2">Model!$CF$202</definedName>
    <definedName name="v_60_GH2_atm">Model!$CN$202</definedName>
    <definedName name="v_60_GN2">Model!$CK$202</definedName>
    <definedName name="v_60_GN2_atm">Model!$CS$202</definedName>
    <definedName name="v_60_GN2O">Model!$CJ$202</definedName>
    <definedName name="v_60_GN2O_atm">Model!$CR$202</definedName>
    <definedName name="v_60_GNH3">Model!$CH$202</definedName>
    <definedName name="v_60_GNH3_atm">Model!$CP$202</definedName>
    <definedName name="v_60_GNO">Model!$CI$202</definedName>
    <definedName name="v_60_GNO_atm">Model!$CQ$202</definedName>
    <definedName name="v_60_GO2">Model!$CG$202</definedName>
    <definedName name="v_60_GO2_atm">Model!$CO$202</definedName>
    <definedName name="v_60_SALPHA">Model!$CB$202</definedName>
    <definedName name="v_60_SAN">Model!$AY$202</definedName>
    <definedName name="v_60_SB">Model!$F$202</definedName>
    <definedName name="v_60_SCa">Model!$AZ$202</definedName>
    <definedName name="v_60_SCAT">Model!$AX$202</definedName>
    <definedName name="v_60_SCH4">Model!$AT$202</definedName>
    <definedName name="v_60_SCO2">Model!$AV$202</definedName>
    <definedName name="v_60_SFe2">Model!$BC$202</definedName>
    <definedName name="v_60_SH">Model!$CA$202</definedName>
    <definedName name="v_60_SH2">Model!$AU$202</definedName>
    <definedName name="v_60_SK">Model!$BB$202</definedName>
    <definedName name="v_60_SMEOL">Model!$G$202</definedName>
    <definedName name="v_60_SMg">Model!$BA$202</definedName>
    <definedName name="v_60_SN_B">Model!$AI$202</definedName>
    <definedName name="v_60_SN2">Model!$AH$202</definedName>
    <definedName name="v_60_SN2O">Model!$AG$202</definedName>
    <definedName name="v_60_SNH2OH">Model!$AB$202</definedName>
    <definedName name="v_60_SNHx">Model!$AA$202</definedName>
    <definedName name="v_60_SNO_AOB">Model!$AE$202</definedName>
    <definedName name="v_60_SNO_OHO">Model!$AF$202</definedName>
    <definedName name="v_60_SNO2">Model!$AD$202</definedName>
    <definedName name="v_60_SNO3">Model!$AC$202</definedName>
    <definedName name="v_60_SO2">Model!$AS$202</definedName>
    <definedName name="v_60_SORPswitch">Model!$CC$202</definedName>
    <definedName name="v_60_SP_B">Model!$AO$202</definedName>
    <definedName name="v_60_SPFOA">Model!$BW$202</definedName>
    <definedName name="v_60_SPFOS">Model!$BY$202</definedName>
    <definedName name="v_60_SPO4">Model!$AM$202</definedName>
    <definedName name="v_60_SU">Model!$K$202</definedName>
    <definedName name="v_60_SVFA">Model!$E$202</definedName>
    <definedName name="v_60_XACP">Model!$BS$202</definedName>
    <definedName name="v_60_XALGAE">Model!$Z$202</definedName>
    <definedName name="v_60_XAMETO">Model!$X$202</definedName>
    <definedName name="v_60_XAMX">Model!$W$202</definedName>
    <definedName name="v_60_XAOB">Model!$U$202</definedName>
    <definedName name="v_60_XB">Model!$I$202</definedName>
    <definedName name="v_60_XB_e">Model!$J$202</definedName>
    <definedName name="v_60_XBSH">Model!$BT$202</definedName>
    <definedName name="v_60_XCaCO3">Model!$BR$202</definedName>
    <definedName name="v_60_XCASTO">Model!$S$202</definedName>
    <definedName name="v_60_XE">Model!$P$202</definedName>
    <definedName name="v_60_XE_ana">Model!$Q$202</definedName>
    <definedName name="v_60_XHAO_H">Model!$BK$202</definedName>
    <definedName name="v_60_XHAO_H_P">Model!$BN$202</definedName>
    <definedName name="v_60_XHAO_H_P_old">Model!$BP$202</definedName>
    <definedName name="v_60_XHAO_L">Model!$BL$202</definedName>
    <definedName name="v_60_XHAO_L_P">Model!$BO$202</definedName>
    <definedName name="v_60_XHAO_L_P_old">Model!$BQ$202</definedName>
    <definedName name="v_60_XHAO_old">Model!$BM$202</definedName>
    <definedName name="v_60_XHFO_H">Model!$BD$202</definedName>
    <definedName name="v_60_XHFO_H_P">Model!$BG$202</definedName>
    <definedName name="v_60_XHFO_H_P_old">Model!$BI$202</definedName>
    <definedName name="v_60_XHFO_L">Model!$BE$202</definedName>
    <definedName name="v_60_XHFO_L_P">Model!$BH$202</definedName>
    <definedName name="v_60_XHFO_L_P_old">Model!$BJ$202</definedName>
    <definedName name="v_60_XHFO_old">Model!$BF$202</definedName>
    <definedName name="v_60_XHMETO">Model!$Y$202</definedName>
    <definedName name="v_60_XINORG">Model!$AW$202</definedName>
    <definedName name="v_60_XMEOLO">Model!$T$202</definedName>
    <definedName name="v_60_XN_B">Model!$AJ$202</definedName>
    <definedName name="v_60_XN_Be">Model!$AK$202</definedName>
    <definedName name="v_60_XN_U">Model!$AL$202</definedName>
    <definedName name="v_60_XNOB">Model!$V$202</definedName>
    <definedName name="v_60_XOHO">Model!$R$202</definedName>
    <definedName name="v_60_XP_B">Model!$AP$202</definedName>
    <definedName name="v_60_XP_Be">Model!$AQ$202</definedName>
    <definedName name="v_60_XP_U">Model!$AR$202</definedName>
    <definedName name="v_60_XPFOA">Model!$BX$202</definedName>
    <definedName name="v_60_XPFOS">Model!$BZ$202</definedName>
    <definedName name="v_60_XPHA_GAO">Model!$O$202</definedName>
    <definedName name="v_60_XPHA_PAO">Model!$N$202</definedName>
    <definedName name="v_60_XPP">Model!$AN$202</definedName>
    <definedName name="v_60_XSTR">Model!$BU$202</definedName>
    <definedName name="v_60_XU">Model!$M$202</definedName>
    <definedName name="v_60_XVivi">Model!$BV$202</definedName>
    <definedName name="v_61_CB">Model!$H$203</definedName>
    <definedName name="v_61_CU">Model!$L$203</definedName>
    <definedName name="v_61_GCH4">Model!$CE$203</definedName>
    <definedName name="v_61_GCH4_atm">Model!$CM$203</definedName>
    <definedName name="v_61_GCO2">Model!$CD$203</definedName>
    <definedName name="v_61_GCO2_atm">Model!$CL$203</definedName>
    <definedName name="v_61_GH2">Model!$CF$203</definedName>
    <definedName name="v_61_GH2_atm">Model!$CN$203</definedName>
    <definedName name="v_61_GN2">Model!$CK$203</definedName>
    <definedName name="v_61_GN2_atm">Model!$CS$203</definedName>
    <definedName name="v_61_GN2O">Model!$CJ$203</definedName>
    <definedName name="v_61_GN2O_atm">Model!$CR$203</definedName>
    <definedName name="v_61_GNH3">Model!$CH$203</definedName>
    <definedName name="v_61_GNH3_atm">Model!$CP$203</definedName>
    <definedName name="v_61_GNO">Model!$CI$203</definedName>
    <definedName name="v_61_GNO_atm">Model!$CQ$203</definedName>
    <definedName name="v_61_GO2">Model!$CG$203</definedName>
    <definedName name="v_61_GO2_atm">Model!$CO$203</definedName>
    <definedName name="v_61_SALPHA">Model!$CB$203</definedName>
    <definedName name="v_61_SAN">Model!$AY$203</definedName>
    <definedName name="v_61_SB">Model!$F$203</definedName>
    <definedName name="v_61_SCa">Model!$AZ$203</definedName>
    <definedName name="v_61_SCAT">Model!$AX$203</definedName>
    <definedName name="v_61_SCH4">Model!$AT$203</definedName>
    <definedName name="v_61_SCO2">Model!$AV$203</definedName>
    <definedName name="v_61_SFe2">Model!$BC$203</definedName>
    <definedName name="v_61_SH">Model!$CA$203</definedName>
    <definedName name="v_61_SH2">Model!$AU$203</definedName>
    <definedName name="v_61_SK">Model!$BB$203</definedName>
    <definedName name="v_61_SMEOL">Model!$G$203</definedName>
    <definedName name="v_61_SMg">Model!$BA$203</definedName>
    <definedName name="v_61_SN_B">Model!$AI$203</definedName>
    <definedName name="v_61_SN2">Model!$AH$203</definedName>
    <definedName name="v_61_SN2O">Model!$AG$203</definedName>
    <definedName name="v_61_SNH2OH">Model!$AB$203</definedName>
    <definedName name="v_61_SNHx">Model!$AA$203</definedName>
    <definedName name="v_61_SNO_AOB">Model!$AE$203</definedName>
    <definedName name="v_61_SNO_OHO">Model!$AF$203</definedName>
    <definedName name="v_61_SNO2">Model!$AD$203</definedName>
    <definedName name="v_61_SNO3">Model!$AC$203</definedName>
    <definedName name="v_61_SO2">Model!$AS$203</definedName>
    <definedName name="v_61_SORPswitch">Model!$CC$203</definedName>
    <definedName name="v_61_SP_B">Model!$AO$203</definedName>
    <definedName name="v_61_SPFOA">Model!$BW$203</definedName>
    <definedName name="v_61_SPFOS">Model!$BY$203</definedName>
    <definedName name="v_61_SPO4">Model!$AM$203</definedName>
    <definedName name="v_61_SU">Model!$K$203</definedName>
    <definedName name="v_61_SVFA">Model!$E$203</definedName>
    <definedName name="v_61_XACP">Model!$BS$203</definedName>
    <definedName name="v_61_XALGAE">Model!$Z$203</definedName>
    <definedName name="v_61_XAMETO">Model!$X$203</definedName>
    <definedName name="v_61_XAMX">Model!$W$203</definedName>
    <definedName name="v_61_XAOB">Model!$U$203</definedName>
    <definedName name="v_61_XB">Model!$I$203</definedName>
    <definedName name="v_61_XB_e">Model!$J$203</definedName>
    <definedName name="v_61_XBSH">Model!$BT$203</definedName>
    <definedName name="v_61_XCaCO3">Model!$BR$203</definedName>
    <definedName name="v_61_XCASTO">Model!$S$203</definedName>
    <definedName name="v_61_XE">Model!$P$203</definedName>
    <definedName name="v_61_XE_ana">Model!$Q$203</definedName>
    <definedName name="v_61_XHAO_H">Model!$BK$203</definedName>
    <definedName name="v_61_XHAO_H_P">Model!$BN$203</definedName>
    <definedName name="v_61_XHAO_H_P_old">Model!$BP$203</definedName>
    <definedName name="v_61_XHAO_L">Model!$BL$203</definedName>
    <definedName name="v_61_XHAO_L_P">Model!$BO$203</definedName>
    <definedName name="v_61_XHAO_L_P_old">Model!$BQ$203</definedName>
    <definedName name="v_61_XHAO_old">Model!$BM$203</definedName>
    <definedName name="v_61_XHFO_H">Model!$BD$203</definedName>
    <definedName name="v_61_XHFO_H_P">Model!$BG$203</definedName>
    <definedName name="v_61_XHFO_H_P_old">Model!$BI$203</definedName>
    <definedName name="v_61_XHFO_L">Model!$BE$203</definedName>
    <definedName name="v_61_XHFO_L_P">Model!$BH$203</definedName>
    <definedName name="v_61_XHFO_L_P_old">Model!$BJ$203</definedName>
    <definedName name="v_61_XHFO_old">Model!$BF$203</definedName>
    <definedName name="v_61_XHMETO">Model!$Y$203</definedName>
    <definedName name="v_61_XINORG">Model!$AW$203</definedName>
    <definedName name="v_61_XMEOLO">Model!$T$203</definedName>
    <definedName name="v_61_XN_B">Model!$AJ$203</definedName>
    <definedName name="v_61_XN_Be">Model!$AK$203</definedName>
    <definedName name="v_61_XN_U">Model!$AL$203</definedName>
    <definedName name="v_61_XNOB">Model!$V$203</definedName>
    <definedName name="v_61_XOHO">Model!$R$203</definedName>
    <definedName name="v_61_XP_B">Model!$AP$203</definedName>
    <definedName name="v_61_XP_Be">Model!$AQ$203</definedName>
    <definedName name="v_61_XP_U">Model!$AR$203</definedName>
    <definedName name="v_61_XPFOA">Model!$BX$203</definedName>
    <definedName name="v_61_XPFOS">Model!$BZ$203</definedName>
    <definedName name="v_61_XPHA_GAO">Model!$O$203</definedName>
    <definedName name="v_61_XPHA_PAO">Model!$N$203</definedName>
    <definedName name="v_61_XPP">Model!$AN$203</definedName>
    <definedName name="v_61_XSTR">Model!$BU$203</definedName>
    <definedName name="v_61_XU">Model!$M$203</definedName>
    <definedName name="v_61_XVivi">Model!$BV$203</definedName>
    <definedName name="v_62_CB">Model!$H$204</definedName>
    <definedName name="v_62_CU">Model!$L$204</definedName>
    <definedName name="v_62_GCH4">Model!$CE$204</definedName>
    <definedName name="v_62_GCH4_atm">Model!$CM$204</definedName>
    <definedName name="v_62_GCO2">Model!$CD$204</definedName>
    <definedName name="v_62_GCO2_atm">Model!$CL$204</definedName>
    <definedName name="v_62_GH2">Model!$CF$204</definedName>
    <definedName name="v_62_GH2_atm">Model!$CN$204</definedName>
    <definedName name="v_62_GN2">Model!$CK$204</definedName>
    <definedName name="v_62_GN2_atm">Model!$CS$204</definedName>
    <definedName name="v_62_GN2O">Model!$CJ$204</definedName>
    <definedName name="v_62_GN2O_atm">Model!$CR$204</definedName>
    <definedName name="v_62_GNH3">Model!$CH$204</definedName>
    <definedName name="v_62_GNH3_atm">Model!$CP$204</definedName>
    <definedName name="v_62_GNO">Model!$CI$204</definedName>
    <definedName name="v_62_GNO_atm">Model!$CQ$204</definedName>
    <definedName name="v_62_GO2">Model!$CG$204</definedName>
    <definedName name="v_62_GO2_atm">Model!$CO$204</definedName>
    <definedName name="v_62_SALPHA">Model!$CB$204</definedName>
    <definedName name="v_62_SAN">Model!$AY$204</definedName>
    <definedName name="v_62_SB">Model!$F$204</definedName>
    <definedName name="v_62_SCa">Model!$AZ$204</definedName>
    <definedName name="v_62_SCAT">Model!$AX$204</definedName>
    <definedName name="v_62_SCH4">Model!$AT$204</definedName>
    <definedName name="v_62_SCO2">Model!$AV$204</definedName>
    <definedName name="v_62_SFe2">Model!$BC$204</definedName>
    <definedName name="v_62_SH">Model!$CA$204</definedName>
    <definedName name="v_62_SH2">Model!$AU$204</definedName>
    <definedName name="v_62_SK">Model!$BB$204</definedName>
    <definedName name="v_62_SMEOL">Model!$G$204</definedName>
    <definedName name="v_62_SMg">Model!$BA$204</definedName>
    <definedName name="v_62_SN_B">Model!$AI$204</definedName>
    <definedName name="v_62_SN2">Model!$AH$204</definedName>
    <definedName name="v_62_SN2O">Model!$AG$204</definedName>
    <definedName name="v_62_SNH2OH">Model!$AB$204</definedName>
    <definedName name="v_62_SNHx">Model!$AA$204</definedName>
    <definedName name="v_62_SNO_AOB">Model!$AE$204</definedName>
    <definedName name="v_62_SNO_OHO">Model!$AF$204</definedName>
    <definedName name="v_62_SNO2">Model!$AD$204</definedName>
    <definedName name="v_62_SNO3">Model!$AC$204</definedName>
    <definedName name="v_62_SO2">Model!$AS$204</definedName>
    <definedName name="v_62_SORPswitch">Model!$CC$204</definedName>
    <definedName name="v_62_SP_B">Model!$AO$204</definedName>
    <definedName name="v_62_SPFOA">Model!$BW$204</definedName>
    <definedName name="v_62_SPFOS">Model!$BY$204</definedName>
    <definedName name="v_62_SPO4">Model!$AM$204</definedName>
    <definedName name="v_62_SU">Model!$K$204</definedName>
    <definedName name="v_62_SVFA">Model!$E$204</definedName>
    <definedName name="v_62_XACP">Model!$BS$204</definedName>
    <definedName name="v_62_XALGAE">Model!$Z$204</definedName>
    <definedName name="v_62_XAMETO">Model!$X$204</definedName>
    <definedName name="v_62_XAMX">Model!$W$204</definedName>
    <definedName name="v_62_XAOB">Model!$U$204</definedName>
    <definedName name="v_62_XB">Model!$I$204</definedName>
    <definedName name="v_62_XB_e">Model!$J$204</definedName>
    <definedName name="v_62_XBSH">Model!$BT$204</definedName>
    <definedName name="v_62_XCaCO3">Model!$BR$204</definedName>
    <definedName name="v_62_XCASTO">Model!$S$204</definedName>
    <definedName name="v_62_XE">Model!$P$204</definedName>
    <definedName name="v_62_XE_ana">Model!$Q$204</definedName>
    <definedName name="v_62_XHAO_H">Model!$BK$204</definedName>
    <definedName name="v_62_XHAO_H_P">Model!$BN$204</definedName>
    <definedName name="v_62_XHAO_H_P_old">Model!$BP$204</definedName>
    <definedName name="v_62_XHAO_L">Model!$BL$204</definedName>
    <definedName name="v_62_XHAO_L_P">Model!$BO$204</definedName>
    <definedName name="v_62_XHAO_L_P_old">Model!$BQ$204</definedName>
    <definedName name="v_62_XHAO_old">Model!$BM$204</definedName>
    <definedName name="v_62_XHFO_H">Model!$BD$204</definedName>
    <definedName name="v_62_XHFO_H_P">Model!$BG$204</definedName>
    <definedName name="v_62_XHFO_H_P_old">Model!$BI$204</definedName>
    <definedName name="v_62_XHFO_L">Model!$BE$204</definedName>
    <definedName name="v_62_XHFO_L_P">Model!$BH$204</definedName>
    <definedName name="v_62_XHFO_L_P_old">Model!$BJ$204</definedName>
    <definedName name="v_62_XHFO_old">Model!$BF$204</definedName>
    <definedName name="v_62_XHMETO">Model!$Y$204</definedName>
    <definedName name="v_62_XINORG">Model!$AW$204</definedName>
    <definedName name="v_62_XMEOLO">Model!$T$204</definedName>
    <definedName name="v_62_XN_B">Model!$AJ$204</definedName>
    <definedName name="v_62_XN_Be">Model!$AK$204</definedName>
    <definedName name="v_62_XN_U">Model!$AL$204</definedName>
    <definedName name="v_62_XNOB">Model!$V$204</definedName>
    <definedName name="v_62_XOHO">Model!$R$204</definedName>
    <definedName name="v_62_XP_B">Model!$AP$204</definedName>
    <definedName name="v_62_XP_Be">Model!$AQ$204</definedName>
    <definedName name="v_62_XP_U">Model!$AR$204</definedName>
    <definedName name="v_62_XPFOA">Model!$BX$204</definedName>
    <definedName name="v_62_XPFOS">Model!$BZ$204</definedName>
    <definedName name="v_62_XPHA_GAO">Model!$O$204</definedName>
    <definedName name="v_62_XPHA_PAO">Model!$N$204</definedName>
    <definedName name="v_62_XPP">Model!$AN$204</definedName>
    <definedName name="v_62_XSTR">Model!$BU$204</definedName>
    <definedName name="v_62_XU">Model!$M$204</definedName>
    <definedName name="v_62_XVivi">Model!$BV$204</definedName>
    <definedName name="v_63_CB">Model!$H$205</definedName>
    <definedName name="v_63_CU">Model!$L$205</definedName>
    <definedName name="v_63_GCH4">Model!$CE$205</definedName>
    <definedName name="v_63_GCH4_atm">Model!$CM$205</definedName>
    <definedName name="v_63_GCO2">Model!$CD$205</definedName>
    <definedName name="v_63_GCO2_atm">Model!$CL$205</definedName>
    <definedName name="v_63_GH2">Model!$CF$205</definedName>
    <definedName name="v_63_GH2_atm">Model!$CN$205</definedName>
    <definedName name="v_63_GN2">Model!$CK$205</definedName>
    <definedName name="v_63_GN2_atm">Model!$CS$205</definedName>
    <definedName name="v_63_GN2O">Model!$CJ$205</definedName>
    <definedName name="v_63_GN2O_atm">Model!$CR$205</definedName>
    <definedName name="v_63_GNH3">Model!$CH$205</definedName>
    <definedName name="v_63_GNH3_atm">Model!$CP$205</definedName>
    <definedName name="v_63_GNO">Model!$CI$205</definedName>
    <definedName name="v_63_GNO_atm">Model!$CQ$205</definedName>
    <definedName name="v_63_GO2">Model!$CG$205</definedName>
    <definedName name="v_63_GO2_atm">Model!$CO$205</definedName>
    <definedName name="v_63_SALPHA">Model!$CB$205</definedName>
    <definedName name="v_63_SAN">Model!$AY$205</definedName>
    <definedName name="v_63_SB">Model!$F$205</definedName>
    <definedName name="v_63_SCa">Model!$AZ$205</definedName>
    <definedName name="v_63_SCAT">Model!$AX$205</definedName>
    <definedName name="v_63_SCH4">Model!$AT$205</definedName>
    <definedName name="v_63_SCO2">Model!$AV$205</definedName>
    <definedName name="v_63_SFe2">Model!$BC$205</definedName>
    <definedName name="v_63_SH">Model!$CA$205</definedName>
    <definedName name="v_63_SH2">Model!$AU$205</definedName>
    <definedName name="v_63_SK">Model!$BB$205</definedName>
    <definedName name="v_63_SMEOL">Model!$G$205</definedName>
    <definedName name="v_63_SMg">Model!$BA$205</definedName>
    <definedName name="v_63_SN_B">Model!$AI$205</definedName>
    <definedName name="v_63_SN2">Model!$AH$205</definedName>
    <definedName name="v_63_SN2O">Model!$AG$205</definedName>
    <definedName name="v_63_SNH2OH">Model!$AB$205</definedName>
    <definedName name="v_63_SNHx">Model!$AA$205</definedName>
    <definedName name="v_63_SNO_AOB">Model!$AE$205</definedName>
    <definedName name="v_63_SNO_OHO">Model!$AF$205</definedName>
    <definedName name="v_63_SNO2">Model!$AD$205</definedName>
    <definedName name="v_63_SNO3">Model!$AC$205</definedName>
    <definedName name="v_63_SO2">Model!$AS$205</definedName>
    <definedName name="v_63_SORPswitch">Model!$CC$205</definedName>
    <definedName name="v_63_SP_B">Model!$AO$205</definedName>
    <definedName name="v_63_SPFOA">Model!$BW$205</definedName>
    <definedName name="v_63_SPFOS">Model!$BY$205</definedName>
    <definedName name="v_63_SPO4">Model!$AM$205</definedName>
    <definedName name="v_63_SU">Model!$K$205</definedName>
    <definedName name="v_63_SVFA">Model!$E$205</definedName>
    <definedName name="v_63_XACP">Model!$BS$205</definedName>
    <definedName name="v_63_XALGAE">Model!$Z$205</definedName>
    <definedName name="v_63_XAMETO">Model!$X$205</definedName>
    <definedName name="v_63_XAMX">Model!$W$205</definedName>
    <definedName name="v_63_XAOB">Model!$U$205</definedName>
    <definedName name="v_63_XB">Model!$I$205</definedName>
    <definedName name="v_63_XB_e">Model!$J$205</definedName>
    <definedName name="v_63_XBSH">Model!$BT$205</definedName>
    <definedName name="v_63_XCaCO3">Model!$BR$205</definedName>
    <definedName name="v_63_XCASTO">Model!$S$205</definedName>
    <definedName name="v_63_XE">Model!$P$205</definedName>
    <definedName name="v_63_XE_ana">Model!$Q$205</definedName>
    <definedName name="v_63_XHAO_H">Model!$BK$205</definedName>
    <definedName name="v_63_XHAO_H_P">Model!$BN$205</definedName>
    <definedName name="v_63_XHAO_H_P_old">Model!$BP$205</definedName>
    <definedName name="v_63_XHAO_L">Model!$BL$205</definedName>
    <definedName name="v_63_XHAO_L_P">Model!$BO$205</definedName>
    <definedName name="v_63_XHAO_L_P_old">Model!$BQ$205</definedName>
    <definedName name="v_63_XHAO_old">Model!$BM$205</definedName>
    <definedName name="v_63_XHFO_H">Model!$BD$205</definedName>
    <definedName name="v_63_XHFO_H_P">Model!$BG$205</definedName>
    <definedName name="v_63_XHFO_H_P_old">Model!$BI$205</definedName>
    <definedName name="v_63_XHFO_L">Model!$BE$205</definedName>
    <definedName name="v_63_XHFO_L_P">Model!$BH$205</definedName>
    <definedName name="v_63_XHFO_L_P_old">Model!$BJ$205</definedName>
    <definedName name="v_63_XHFO_old">Model!$BF$205</definedName>
    <definedName name="v_63_XHMETO">Model!$Y$205</definedName>
    <definedName name="v_63_XINORG">Model!$AW$205</definedName>
    <definedName name="v_63_XMEOLO">Model!$T$205</definedName>
    <definedName name="v_63_XN_B">Model!$AJ$205</definedName>
    <definedName name="v_63_XN_Be">Model!$AK$205</definedName>
    <definedName name="v_63_XN_U">Model!$AL$205</definedName>
    <definedName name="v_63_XNOB">Model!$V$205</definedName>
    <definedName name="v_63_XOHO">Model!$R$205</definedName>
    <definedName name="v_63_XP_B">Model!$AP$205</definedName>
    <definedName name="v_63_XP_Be">Model!$AQ$205</definedName>
    <definedName name="v_63_XP_U">Model!$AR$205</definedName>
    <definedName name="v_63_XPFOA">Model!$BX$205</definedName>
    <definedName name="v_63_XPFOS">Model!$BZ$205</definedName>
    <definedName name="v_63_XPHA_GAO">Model!$O$205</definedName>
    <definedName name="v_63_XPHA_PAO">Model!$N$205</definedName>
    <definedName name="v_63_XPP">Model!$AN$205</definedName>
    <definedName name="v_63_XSTR">Model!$BU$205</definedName>
    <definedName name="v_63_XU">Model!$M$205</definedName>
    <definedName name="v_63_XVivi">Model!$BV$205</definedName>
    <definedName name="v_64_CB">Model!$H$206</definedName>
    <definedName name="v_64_CU">Model!$L$206</definedName>
    <definedName name="v_64_GCH4">Model!$CE$206</definedName>
    <definedName name="v_64_GCH4_atm">Model!$CM$206</definedName>
    <definedName name="v_64_GCO2">Model!$CD$206</definedName>
    <definedName name="v_64_GCO2_atm">Model!$CL$206</definedName>
    <definedName name="v_64_GH2">Model!$CF$206</definedName>
    <definedName name="v_64_GH2_atm">Model!$CN$206</definedName>
    <definedName name="v_64_GN2">Model!$CK$206</definedName>
    <definedName name="v_64_GN2_atm">Model!$CS$206</definedName>
    <definedName name="v_64_GN2O">Model!$CJ$206</definedName>
    <definedName name="v_64_GN2O_atm">Model!$CR$206</definedName>
    <definedName name="v_64_GNH3">Model!$CH$206</definedName>
    <definedName name="v_64_GNH3_atm">Model!$CP$206</definedName>
    <definedName name="v_64_GNO">Model!$CI$206</definedName>
    <definedName name="v_64_GNO_atm">Model!$CQ$206</definedName>
    <definedName name="v_64_GO2">Model!$CG$206</definedName>
    <definedName name="v_64_GO2_atm">Model!$CO$206</definedName>
    <definedName name="v_64_SALPHA">Model!$CB$206</definedName>
    <definedName name="v_64_SAN">Model!$AY$206</definedName>
    <definedName name="v_64_SB">Model!$F$206</definedName>
    <definedName name="v_64_SCa">Model!$AZ$206</definedName>
    <definedName name="v_64_SCAT">Model!$AX$206</definedName>
    <definedName name="v_64_SCH4">Model!$AT$206</definedName>
    <definedName name="v_64_SCO2">Model!$AV$206</definedName>
    <definedName name="v_64_SFe2">Model!$BC$206</definedName>
    <definedName name="v_64_SH">Model!$CA$206</definedName>
    <definedName name="v_64_SH2">Model!$AU$206</definedName>
    <definedName name="v_64_SK">Model!$BB$206</definedName>
    <definedName name="v_64_SMEOL">Model!$G$206</definedName>
    <definedName name="v_64_SMg">Model!$BA$206</definedName>
    <definedName name="v_64_SN_B">Model!$AI$206</definedName>
    <definedName name="v_64_SN2">Model!$AH$206</definedName>
    <definedName name="v_64_SN2O">Model!$AG$206</definedName>
    <definedName name="v_64_SNH2OH">Model!$AB$206</definedName>
    <definedName name="v_64_SNHx">Model!$AA$206</definedName>
    <definedName name="v_64_SNO_AOB">Model!$AE$206</definedName>
    <definedName name="v_64_SNO_OHO">Model!$AF$206</definedName>
    <definedName name="v_64_SNO2">Model!$AD$206</definedName>
    <definedName name="v_64_SNO3">Model!$AC$206</definedName>
    <definedName name="v_64_SO2">Model!$AS$206</definedName>
    <definedName name="v_64_SORPswitch">Model!$CC$206</definedName>
    <definedName name="v_64_SP_B">Model!$AO$206</definedName>
    <definedName name="v_64_SPFOA">Model!$BW$206</definedName>
    <definedName name="v_64_SPFOS">Model!$BY$206</definedName>
    <definedName name="v_64_SPO4">Model!$AM$206</definedName>
    <definedName name="v_64_SU">Model!$K$206</definedName>
    <definedName name="v_64_SVFA">Model!$E$206</definedName>
    <definedName name="v_64_XACP">Model!$BS$206</definedName>
    <definedName name="v_64_XALGAE">Model!$Z$206</definedName>
    <definedName name="v_64_XAMETO">Model!$X$206</definedName>
    <definedName name="v_64_XAMX">Model!$W$206</definedName>
    <definedName name="v_64_XAOB">Model!$U$206</definedName>
    <definedName name="v_64_XB">Model!$I$206</definedName>
    <definedName name="v_64_XB_e">Model!$J$206</definedName>
    <definedName name="v_64_XBSH">Model!$BT$206</definedName>
    <definedName name="v_64_XCaCO3">Model!$BR$206</definedName>
    <definedName name="v_64_XCASTO">Model!$S$206</definedName>
    <definedName name="v_64_XE">Model!$P$206</definedName>
    <definedName name="v_64_XE_ana">Model!$Q$206</definedName>
    <definedName name="v_64_XHAO_H">Model!$BK$206</definedName>
    <definedName name="v_64_XHAO_H_P">Model!$BN$206</definedName>
    <definedName name="v_64_XHAO_H_P_old">Model!$BP$206</definedName>
    <definedName name="v_64_XHAO_L">Model!$BL$206</definedName>
    <definedName name="v_64_XHAO_L_P">Model!$BO$206</definedName>
    <definedName name="v_64_XHAO_L_P_old">Model!$BQ$206</definedName>
    <definedName name="v_64_XHAO_old">Model!$BM$206</definedName>
    <definedName name="v_64_XHFO_H">Model!$BD$206</definedName>
    <definedName name="v_64_XHFO_H_P">Model!$BG$206</definedName>
    <definedName name="v_64_XHFO_H_P_old">Model!$BI$206</definedName>
    <definedName name="v_64_XHFO_L">Model!$BE$206</definedName>
    <definedName name="v_64_XHFO_L_P">Model!$BH$206</definedName>
    <definedName name="v_64_XHFO_L_P_old">Model!$BJ$206</definedName>
    <definedName name="v_64_XHFO_old">Model!$BF$206</definedName>
    <definedName name="v_64_XHMETO">Model!$Y$206</definedName>
    <definedName name="v_64_XINORG">Model!$AW$206</definedName>
    <definedName name="v_64_XMEOLO">Model!$T$206</definedName>
    <definedName name="v_64_XN_B">Model!$AJ$206</definedName>
    <definedName name="v_64_XN_Be">Model!$AK$206</definedName>
    <definedName name="v_64_XN_U">Model!$AL$206</definedName>
    <definedName name="v_64_XNOB">Model!$V$206</definedName>
    <definedName name="v_64_XOHO">Model!$R$206</definedName>
    <definedName name="v_64_XP_B">Model!$AP$206</definedName>
    <definedName name="v_64_XP_Be">Model!$AQ$206</definedName>
    <definedName name="v_64_XP_U">Model!$AR$206</definedName>
    <definedName name="v_64_XPFOA">Model!$BX$206</definedName>
    <definedName name="v_64_XPFOS">Model!$BZ$206</definedName>
    <definedName name="v_64_XPHA_GAO">Model!$O$206</definedName>
    <definedName name="v_64_XPHA_PAO">Model!$N$206</definedName>
    <definedName name="v_64_XPP">Model!$AN$206</definedName>
    <definedName name="v_64_XSTR">Model!$BU$206</definedName>
    <definedName name="v_64_XU">Model!$M$206</definedName>
    <definedName name="v_64_XVivi">Model!$BV$206</definedName>
    <definedName name="v_65_CB">Model!$H$207</definedName>
    <definedName name="v_65_CU">Model!$L$207</definedName>
    <definedName name="v_65_GCH4">Model!$CE$207</definedName>
    <definedName name="v_65_GCH4_atm">Model!$CM$207</definedName>
    <definedName name="v_65_GCO2">Model!$CD$207</definedName>
    <definedName name="v_65_GCO2_atm">Model!$CL$207</definedName>
    <definedName name="v_65_GH2">Model!$CF$207</definedName>
    <definedName name="v_65_GH2_atm">Model!$CN$207</definedName>
    <definedName name="v_65_GN2">Model!$CK$207</definedName>
    <definedName name="v_65_GN2_atm">Model!$CS$207</definedName>
    <definedName name="v_65_GN2O">Model!$CJ$207</definedName>
    <definedName name="v_65_GN2O_atm">Model!$CR$207</definedName>
    <definedName name="v_65_GNH3">Model!$CH$207</definedName>
    <definedName name="v_65_GNH3_atm">Model!$CP$207</definedName>
    <definedName name="v_65_GNO">Model!$CI$207</definedName>
    <definedName name="v_65_GNO_atm">Model!$CQ$207</definedName>
    <definedName name="v_65_GO2">Model!$CG$207</definedName>
    <definedName name="v_65_GO2_atm">Model!$CO$207</definedName>
    <definedName name="v_65_SALPHA">Model!$CB$207</definedName>
    <definedName name="v_65_SAN">Model!$AY$207</definedName>
    <definedName name="v_65_SB">Model!$F$207</definedName>
    <definedName name="v_65_SCa">Model!$AZ$207</definedName>
    <definedName name="v_65_SCAT">Model!$AX$207</definedName>
    <definedName name="v_65_SCH4">Model!$AT$207</definedName>
    <definedName name="v_65_SCO2">Model!$AV$207</definedName>
    <definedName name="v_65_SFe2">Model!$BC$207</definedName>
    <definedName name="v_65_SH">Model!$CA$207</definedName>
    <definedName name="v_65_SH2">Model!$AU$207</definedName>
    <definedName name="v_65_SK">Model!$BB$207</definedName>
    <definedName name="v_65_SMEOL">Model!$G$207</definedName>
    <definedName name="v_65_SMg">Model!$BA$207</definedName>
    <definedName name="v_65_SN_B">Model!$AI$207</definedName>
    <definedName name="v_65_SN2">Model!$AH$207</definedName>
    <definedName name="v_65_SN2O">Model!$AG$207</definedName>
    <definedName name="v_65_SNH2OH">Model!$AB$207</definedName>
    <definedName name="v_65_SNHx">Model!$AA$207</definedName>
    <definedName name="v_65_SNO_AOB">Model!$AE$207</definedName>
    <definedName name="v_65_SNO_OHO">Model!$AF$207</definedName>
    <definedName name="v_65_SNO2">Model!$AD$207</definedName>
    <definedName name="v_65_SNO3">Model!$AC$207</definedName>
    <definedName name="v_65_SO2">Model!$AS$207</definedName>
    <definedName name="v_65_SORPswitch">Model!$CC$207</definedName>
    <definedName name="v_65_SP_B">Model!$AO$207</definedName>
    <definedName name="v_65_SPFOA">Model!$BW$207</definedName>
    <definedName name="v_65_SPFOS">Model!$BY$207</definedName>
    <definedName name="v_65_SPO4">Model!$AM$207</definedName>
    <definedName name="v_65_SU">Model!$K$207</definedName>
    <definedName name="v_65_SVFA">Model!$E$207</definedName>
    <definedName name="v_65_XACP">Model!$BS$207</definedName>
    <definedName name="v_65_XALGAE">Model!$Z$207</definedName>
    <definedName name="v_65_XAMETO">Model!$X$207</definedName>
    <definedName name="v_65_XAMX">Model!$W$207</definedName>
    <definedName name="v_65_XAOB">Model!$U$207</definedName>
    <definedName name="v_65_XB">Model!$I$207</definedName>
    <definedName name="v_65_XB_e">Model!$J$207</definedName>
    <definedName name="v_65_XBSH">Model!$BT$207</definedName>
    <definedName name="v_65_XCaCO3">Model!$BR$207</definedName>
    <definedName name="v_65_XCASTO">Model!$S$207</definedName>
    <definedName name="v_65_XE">Model!$P$207</definedName>
    <definedName name="v_65_XE_ana">Model!$Q$207</definedName>
    <definedName name="v_65_XHAO_H">Model!$BK$207</definedName>
    <definedName name="v_65_XHAO_H_P">Model!$BN$207</definedName>
    <definedName name="v_65_XHAO_H_P_old">Model!$BP$207</definedName>
    <definedName name="v_65_XHAO_L">Model!$BL$207</definedName>
    <definedName name="v_65_XHAO_L_P">Model!$BO$207</definedName>
    <definedName name="v_65_XHAO_L_P_old">Model!$BQ$207</definedName>
    <definedName name="v_65_XHAO_old">Model!$BM$207</definedName>
    <definedName name="v_65_XHFO_H">Model!$BD$207</definedName>
    <definedName name="v_65_XHFO_H_P">Model!$BG$207</definedName>
    <definedName name="v_65_XHFO_H_P_old">Model!$BI$207</definedName>
    <definedName name="v_65_XHFO_L">Model!$BE$207</definedName>
    <definedName name="v_65_XHFO_L_P">Model!$BH$207</definedName>
    <definedName name="v_65_XHFO_L_P_old">Model!$BJ$207</definedName>
    <definedName name="v_65_XHFO_old">Model!$BF$207</definedName>
    <definedName name="v_65_XHMETO">Model!$Y$207</definedName>
    <definedName name="v_65_XINORG">Model!$AW$207</definedName>
    <definedName name="v_65_XMEOLO">Model!$T$207</definedName>
    <definedName name="v_65_XN_B">Model!$AJ$207</definedName>
    <definedName name="v_65_XN_Be">Model!$AK$207</definedName>
    <definedName name="v_65_XN_U">Model!$AL$207</definedName>
    <definedName name="v_65_XNOB">Model!$V$207</definedName>
    <definedName name="v_65_XOHO">Model!$R$207</definedName>
    <definedName name="v_65_XP_B">Model!$AP$207</definedName>
    <definedName name="v_65_XP_Be">Model!$AQ$207</definedName>
    <definedName name="v_65_XP_U">Model!$AR$207</definedName>
    <definedName name="v_65_XPFOA">Model!$BX$207</definedName>
    <definedName name="v_65_XPFOS">Model!$BZ$207</definedName>
    <definedName name="v_65_XPHA_GAO">Model!$O$207</definedName>
    <definedName name="v_65_XPHA_PAO">Model!$N$207</definedName>
    <definedName name="v_65_XPP">Model!$AN$207</definedName>
    <definedName name="v_65_XSTR">Model!$BU$207</definedName>
    <definedName name="v_65_XU">Model!$M$207</definedName>
    <definedName name="v_65_XVivi">Model!$BV$207</definedName>
    <definedName name="v_66_CB">Model!$H$208</definedName>
    <definedName name="v_66_CU">Model!$L$208</definedName>
    <definedName name="v_66_GCH4">Model!$CE$208</definedName>
    <definedName name="v_66_GCH4_atm">Model!$CM$208</definedName>
    <definedName name="v_66_GCO2">Model!$CD$208</definedName>
    <definedName name="v_66_GCO2_atm">Model!$CL$208</definedName>
    <definedName name="v_66_GH2">Model!$CF$208</definedName>
    <definedName name="v_66_GH2_atm">Model!$CN$208</definedName>
    <definedName name="v_66_GN2">Model!$CK$208</definedName>
    <definedName name="v_66_GN2_atm">Model!$CS$208</definedName>
    <definedName name="v_66_GN2O">Model!$CJ$208</definedName>
    <definedName name="v_66_GN2O_atm">Model!$CR$208</definedName>
    <definedName name="v_66_GNH3">Model!$CH$208</definedName>
    <definedName name="v_66_GNH3_atm">Model!$CP$208</definedName>
    <definedName name="v_66_GNO">Model!$CI$208</definedName>
    <definedName name="v_66_GNO_atm">Model!$CQ$208</definedName>
    <definedName name="v_66_GO2">Model!$CG$208</definedName>
    <definedName name="v_66_GO2_atm">Model!$CO$208</definedName>
    <definedName name="v_66_SALPHA">Model!$CB$208</definedName>
    <definedName name="v_66_SAN">Model!$AY$208</definedName>
    <definedName name="v_66_SB">Model!$F$208</definedName>
    <definedName name="v_66_SCa">Model!$AZ$208</definedName>
    <definedName name="v_66_SCAT">Model!$AX$208</definedName>
    <definedName name="v_66_SCH4">Model!$AT$208</definedName>
    <definedName name="v_66_SCO2">Model!$AV$208</definedName>
    <definedName name="v_66_SFe2">Model!$BC$208</definedName>
    <definedName name="v_66_SH">Model!$CA$208</definedName>
    <definedName name="v_66_SH2">Model!$AU$208</definedName>
    <definedName name="v_66_SK">Model!$BB$208</definedName>
    <definedName name="v_66_SMEOL">Model!$G$208</definedName>
    <definedName name="v_66_SMg">Model!$BA$208</definedName>
    <definedName name="v_66_SN_B">Model!$AI$208</definedName>
    <definedName name="v_66_SN2">Model!$AH$208</definedName>
    <definedName name="v_66_SN2O">Model!$AG$208</definedName>
    <definedName name="v_66_SNH2OH">Model!$AB$208</definedName>
    <definedName name="v_66_SNHx">Model!$AA$208</definedName>
    <definedName name="v_66_SNO_AOB">Model!$AE$208</definedName>
    <definedName name="v_66_SNO_OHO">Model!$AF$208</definedName>
    <definedName name="v_66_SNO2">Model!$AD$208</definedName>
    <definedName name="v_66_SNO3">Model!$AC$208</definedName>
    <definedName name="v_66_SO2">Model!$AS$208</definedName>
    <definedName name="v_66_SORPswitch">Model!$CC$208</definedName>
    <definedName name="v_66_SP_B">Model!$AO$208</definedName>
    <definedName name="v_66_SPFOA">Model!$BW$208</definedName>
    <definedName name="v_66_SPFOS">Model!$BY$208</definedName>
    <definedName name="v_66_SPO4">Model!$AM$208</definedName>
    <definedName name="v_66_SU">Model!$K$208</definedName>
    <definedName name="v_66_SVFA">Model!$E$208</definedName>
    <definedName name="v_66_XACP">Model!$BS$208</definedName>
    <definedName name="v_66_XALGAE">Model!$Z$208</definedName>
    <definedName name="v_66_XAMETO">Model!$X$208</definedName>
    <definedName name="v_66_XAMX">Model!$W$208</definedName>
    <definedName name="v_66_XAOB">Model!$U$208</definedName>
    <definedName name="v_66_XB">Model!$I$208</definedName>
    <definedName name="v_66_XB_e">Model!$J$208</definedName>
    <definedName name="v_66_XBSH">Model!$BT$208</definedName>
    <definedName name="v_66_XCaCO3">Model!$BR$208</definedName>
    <definedName name="v_66_XCASTO">Model!$S$208</definedName>
    <definedName name="v_66_XE">Model!$P$208</definedName>
    <definedName name="v_66_XE_ana">Model!$Q$208</definedName>
    <definedName name="v_66_XHAO_H">Model!$BK$208</definedName>
    <definedName name="v_66_XHAO_H_P">Model!$BN$208</definedName>
    <definedName name="v_66_XHAO_H_P_old">Model!$BP$208</definedName>
    <definedName name="v_66_XHAO_L">Model!$BL$208</definedName>
    <definedName name="v_66_XHAO_L_P">Model!$BO$208</definedName>
    <definedName name="v_66_XHAO_L_P_old">Model!$BQ$208</definedName>
    <definedName name="v_66_XHAO_old">Model!$BM$208</definedName>
    <definedName name="v_66_XHFO_H">Model!$BD$208</definedName>
    <definedName name="v_66_XHFO_H_P">Model!$BG$208</definedName>
    <definedName name="v_66_XHFO_H_P_old">Model!$BI$208</definedName>
    <definedName name="v_66_XHFO_L">Model!$BE$208</definedName>
    <definedName name="v_66_XHFO_L_P">Model!$BH$208</definedName>
    <definedName name="v_66_XHFO_L_P_old">Model!$BJ$208</definedName>
    <definedName name="v_66_XHFO_old">Model!$BF$208</definedName>
    <definedName name="v_66_XHMETO">Model!$Y$208</definedName>
    <definedName name="v_66_XINORG">Model!$AW$208</definedName>
    <definedName name="v_66_XMEOLO">Model!$T$208</definedName>
    <definedName name="v_66_XN_B">Model!$AJ$208</definedName>
    <definedName name="v_66_XN_Be">Model!$AK$208</definedName>
    <definedName name="v_66_XN_U">Model!$AL$208</definedName>
    <definedName name="v_66_XNOB">Model!$V$208</definedName>
    <definedName name="v_66_XOHO">Model!$R$208</definedName>
    <definedName name="v_66_XP_B">Model!$AP$208</definedName>
    <definedName name="v_66_XP_Be">Model!$AQ$208</definedName>
    <definedName name="v_66_XP_U">Model!$AR$208</definedName>
    <definedName name="v_66_XPFOA">Model!$BX$208</definedName>
    <definedName name="v_66_XPFOS">Model!$BZ$208</definedName>
    <definedName name="v_66_XPHA_GAO">Model!$O$208</definedName>
    <definedName name="v_66_XPHA_PAO">Model!$N$208</definedName>
    <definedName name="v_66_XPP">Model!$AN$208</definedName>
    <definedName name="v_66_XSTR">Model!$BU$208</definedName>
    <definedName name="v_66_XU">Model!$M$208</definedName>
    <definedName name="v_66_XVivi">Model!$BV$208</definedName>
    <definedName name="v_67_CB">Model!$H$209</definedName>
    <definedName name="v_67_CU">Model!$L$209</definedName>
    <definedName name="v_67_GCH4">Model!$CE$209</definedName>
    <definedName name="v_67_GCH4_atm">Model!$CM$209</definedName>
    <definedName name="v_67_GCO2">Model!$CD$209</definedName>
    <definedName name="v_67_GCO2_atm">Model!$CL$209</definedName>
    <definedName name="v_67_GH2">Model!$CF$209</definedName>
    <definedName name="v_67_GH2_atm">Model!$CN$209</definedName>
    <definedName name="v_67_GN2">Model!$CK$209</definedName>
    <definedName name="v_67_GN2_atm">Model!$CS$209</definedName>
    <definedName name="v_67_GN2O">Model!$CJ$209</definedName>
    <definedName name="v_67_GN2O_atm">Model!$CR$209</definedName>
    <definedName name="v_67_GNH3">Model!$CH$209</definedName>
    <definedName name="v_67_GNH3_atm">Model!$CP$209</definedName>
    <definedName name="v_67_GNO">Model!$CI$209</definedName>
    <definedName name="v_67_GNO_atm">Model!$CQ$209</definedName>
    <definedName name="v_67_GO2">Model!$CG$209</definedName>
    <definedName name="v_67_GO2_atm">Model!$CO$209</definedName>
    <definedName name="v_67_SALPHA">Model!$CB$209</definedName>
    <definedName name="v_67_SAN">Model!$AY$209</definedName>
    <definedName name="v_67_SB">Model!$F$209</definedName>
    <definedName name="v_67_SCa">Model!$AZ$209</definedName>
    <definedName name="v_67_SCAT">Model!$AX$209</definedName>
    <definedName name="v_67_SCH4">Model!$AT$209</definedName>
    <definedName name="v_67_SCO2">Model!$AV$209</definedName>
    <definedName name="v_67_SFe2">Model!$BC$209</definedName>
    <definedName name="v_67_SH">Model!$CA$209</definedName>
    <definedName name="v_67_SH2">Model!$AU$209</definedName>
    <definedName name="v_67_SK">Model!$BB$209</definedName>
    <definedName name="v_67_SMEOL">Model!$G$209</definedName>
    <definedName name="v_67_SMg">Model!$BA$209</definedName>
    <definedName name="v_67_SN_B">Model!$AI$209</definedName>
    <definedName name="v_67_SN2">Model!$AH$209</definedName>
    <definedName name="v_67_SN2O">Model!$AG$209</definedName>
    <definedName name="v_67_SNH2OH">Model!$AB$209</definedName>
    <definedName name="v_67_SNHx">Model!$AA$209</definedName>
    <definedName name="v_67_SNO_AOB">Model!$AE$209</definedName>
    <definedName name="v_67_SNO_OHO">Model!$AF$209</definedName>
    <definedName name="v_67_SNO2">Model!$AD$209</definedName>
    <definedName name="v_67_SNO3">Model!$AC$209</definedName>
    <definedName name="v_67_SO2">Model!$AS$209</definedName>
    <definedName name="v_67_SORPswitch">Model!$CC$209</definedName>
    <definedName name="v_67_SP_B">Model!$AO$209</definedName>
    <definedName name="v_67_SPFOA">Model!$BW$209</definedName>
    <definedName name="v_67_SPFOS">Model!$BY$209</definedName>
    <definedName name="v_67_SPO4">Model!$AM$209</definedName>
    <definedName name="v_67_SU">Model!$K$209</definedName>
    <definedName name="v_67_SVFA">Model!$E$209</definedName>
    <definedName name="v_67_XACP">Model!$BS$209</definedName>
    <definedName name="v_67_XALGAE">Model!$Z$209</definedName>
    <definedName name="v_67_XAMETO">Model!$X$209</definedName>
    <definedName name="v_67_XAMX">Model!$W$209</definedName>
    <definedName name="v_67_XAOB">Model!$U$209</definedName>
    <definedName name="v_67_XB">Model!$I$209</definedName>
    <definedName name="v_67_XB_e">Model!$J$209</definedName>
    <definedName name="v_67_XBSH">Model!$BT$209</definedName>
    <definedName name="v_67_XCaCO3">Model!$BR$209</definedName>
    <definedName name="v_67_XCASTO">Model!$S$209</definedName>
    <definedName name="v_67_XE">Model!$P$209</definedName>
    <definedName name="v_67_XE_ana">Model!$Q$209</definedName>
    <definedName name="v_67_XHAO_H">Model!$BK$209</definedName>
    <definedName name="v_67_XHAO_H_P">Model!$BN$209</definedName>
    <definedName name="v_67_XHAO_H_P_old">Model!$BP$209</definedName>
    <definedName name="v_67_XHAO_L">Model!$BL$209</definedName>
    <definedName name="v_67_XHAO_L_P">Model!$BO$209</definedName>
    <definedName name="v_67_XHAO_L_P_old">Model!$BQ$209</definedName>
    <definedName name="v_67_XHAO_old">Model!$BM$209</definedName>
    <definedName name="v_67_XHFO_H">Model!$BD$209</definedName>
    <definedName name="v_67_XHFO_H_P">Model!$BG$209</definedName>
    <definedName name="v_67_XHFO_H_P_old">Model!$BI$209</definedName>
    <definedName name="v_67_XHFO_L">Model!$BE$209</definedName>
    <definedName name="v_67_XHFO_L_P">Model!$BH$209</definedName>
    <definedName name="v_67_XHFO_L_P_old">Model!$BJ$209</definedName>
    <definedName name="v_67_XHFO_old">Model!$BF$209</definedName>
    <definedName name="v_67_XHMETO">Model!$Y$209</definedName>
    <definedName name="v_67_XINORG">Model!$AW$209</definedName>
    <definedName name="v_67_XMEOLO">Model!$T$209</definedName>
    <definedName name="v_67_XN_B">Model!$AJ$209</definedName>
    <definedName name="v_67_XN_Be">Model!$AK$209</definedName>
    <definedName name="v_67_XN_U">Model!$AL$209</definedName>
    <definedName name="v_67_XNOB">Model!$V$209</definedName>
    <definedName name="v_67_XOHO">Model!$R$209</definedName>
    <definedName name="v_67_XP_B">Model!$AP$209</definedName>
    <definedName name="v_67_XP_Be">Model!$AQ$209</definedName>
    <definedName name="v_67_XP_U">Model!$AR$209</definedName>
    <definedName name="v_67_XPFOA">Model!$BX$209</definedName>
    <definedName name="v_67_XPFOS">Model!$BZ$209</definedName>
    <definedName name="v_67_XPHA_GAO">Model!$O$209</definedName>
    <definedName name="v_67_XPHA_PAO">Model!$N$209</definedName>
    <definedName name="v_67_XPP">Model!$AN$209</definedName>
    <definedName name="v_67_XSTR">Model!$BU$209</definedName>
    <definedName name="v_67_XU">Model!$M$209</definedName>
    <definedName name="v_67_XVivi">Model!$BV$209</definedName>
    <definedName name="v_68_CB">Model!$H$210</definedName>
    <definedName name="v_68_CU">Model!$L$210</definedName>
    <definedName name="v_68_GCH4">Model!$CE$210</definedName>
    <definedName name="v_68_GCH4_atm">Model!$CM$210</definedName>
    <definedName name="v_68_GCO2">Model!$CD$210</definedName>
    <definedName name="v_68_GCO2_atm">Model!$CL$210</definedName>
    <definedName name="v_68_GH2">Model!$CF$210</definedName>
    <definedName name="v_68_GH2_atm">Model!$CN$210</definedName>
    <definedName name="v_68_GN2">Model!$CK$210</definedName>
    <definedName name="v_68_GN2_atm">Model!$CS$210</definedName>
    <definedName name="v_68_GN2O">Model!$CJ$210</definedName>
    <definedName name="v_68_GN2O_atm">Model!$CR$210</definedName>
    <definedName name="v_68_GNH3">Model!$CH$210</definedName>
    <definedName name="v_68_GNH3_atm">Model!$CP$210</definedName>
    <definedName name="v_68_GNO">Model!$CI$210</definedName>
    <definedName name="v_68_GNO_atm">Model!$CQ$210</definedName>
    <definedName name="v_68_GO2">Model!$CG$210</definedName>
    <definedName name="v_68_GO2_atm">Model!$CO$210</definedName>
    <definedName name="v_68_SALPHA">Model!$CB$210</definedName>
    <definedName name="v_68_SAN">Model!$AY$210</definedName>
    <definedName name="v_68_SB">Model!$F$210</definedName>
    <definedName name="v_68_SCa">Model!$AZ$210</definedName>
    <definedName name="v_68_SCAT">Model!$AX$210</definedName>
    <definedName name="v_68_SCH4">Model!$AT$210</definedName>
    <definedName name="v_68_SCO2">Model!$AV$210</definedName>
    <definedName name="v_68_SFe2">Model!$BC$210</definedName>
    <definedName name="v_68_SH">Model!$CA$210</definedName>
    <definedName name="v_68_SH2">Model!$AU$210</definedName>
    <definedName name="v_68_SK">Model!$BB$210</definedName>
    <definedName name="v_68_SMEOL">Model!$G$210</definedName>
    <definedName name="v_68_SMg">Model!$BA$210</definedName>
    <definedName name="v_68_SN_B">Model!$AI$210</definedName>
    <definedName name="v_68_SN2">Model!$AH$210</definedName>
    <definedName name="v_68_SN2O">Model!$AG$210</definedName>
    <definedName name="v_68_SNH2OH">Model!$AB$210</definedName>
    <definedName name="v_68_SNHx">Model!$AA$210</definedName>
    <definedName name="v_68_SNO_AOB">Model!$AE$210</definedName>
    <definedName name="v_68_SNO_OHO">Model!$AF$210</definedName>
    <definedName name="v_68_SNO2">Model!$AD$210</definedName>
    <definedName name="v_68_SNO3">Model!$AC$210</definedName>
    <definedName name="v_68_SO2">Model!$AS$210</definedName>
    <definedName name="v_68_SORPswitch">Model!$CC$210</definedName>
    <definedName name="v_68_SP_B">Model!$AO$210</definedName>
    <definedName name="v_68_SPFOA">Model!$BW$210</definedName>
    <definedName name="v_68_SPFOS">Model!$BY$210</definedName>
    <definedName name="v_68_SPO4">Model!$AM$210</definedName>
    <definedName name="v_68_SU">Model!$K$210</definedName>
    <definedName name="v_68_SVFA">Model!$E$210</definedName>
    <definedName name="v_68_XACP">Model!$BS$210</definedName>
    <definedName name="v_68_XALGAE">Model!$Z$210</definedName>
    <definedName name="v_68_XAMETO">Model!$X$210</definedName>
    <definedName name="v_68_XAMX">Model!$W$210</definedName>
    <definedName name="v_68_XAOB">Model!$U$210</definedName>
    <definedName name="v_68_XB">Model!$I$210</definedName>
    <definedName name="v_68_XB_e">Model!$J$210</definedName>
    <definedName name="v_68_XBSH">Model!$BT$210</definedName>
    <definedName name="v_68_XCaCO3">Model!$BR$210</definedName>
    <definedName name="v_68_XCASTO">Model!$S$210</definedName>
    <definedName name="v_68_XE">Model!$P$210</definedName>
    <definedName name="v_68_XE_ana">Model!$Q$210</definedName>
    <definedName name="v_68_XHAO_H">Model!$BK$210</definedName>
    <definedName name="v_68_XHAO_H_P">Model!$BN$210</definedName>
    <definedName name="v_68_XHAO_H_P_old">Model!$BP$210</definedName>
    <definedName name="v_68_XHAO_L">Model!$BL$210</definedName>
    <definedName name="v_68_XHAO_L_P">Model!$BO$210</definedName>
    <definedName name="v_68_XHAO_L_P_old">Model!$BQ$210</definedName>
    <definedName name="v_68_XHAO_old">Model!$BM$210</definedName>
    <definedName name="v_68_XHFO_H">Model!$BD$210</definedName>
    <definedName name="v_68_XHFO_H_P">Model!$BG$210</definedName>
    <definedName name="v_68_XHFO_H_P_old">Model!$BI$210</definedName>
    <definedName name="v_68_XHFO_L">Model!$BE$210</definedName>
    <definedName name="v_68_XHFO_L_P">Model!$BH$210</definedName>
    <definedName name="v_68_XHFO_L_P_old">Model!$BJ$210</definedName>
    <definedName name="v_68_XHFO_old">Model!$BF$210</definedName>
    <definedName name="v_68_XHMETO">Model!$Y$210</definedName>
    <definedName name="v_68_XINORG">Model!$AW$210</definedName>
    <definedName name="v_68_XMEOLO">Model!$T$210</definedName>
    <definedName name="v_68_XN_B">Model!$AJ$210</definedName>
    <definedName name="v_68_XN_Be">Model!$AK$210</definedName>
    <definedName name="v_68_XN_U">Model!$AL$210</definedName>
    <definedName name="v_68_XNOB">Model!$V$210</definedName>
    <definedName name="v_68_XOHO">Model!$R$210</definedName>
    <definedName name="v_68_XP_B">Model!$AP$210</definedName>
    <definedName name="v_68_XP_Be">Model!$AQ$210</definedName>
    <definedName name="v_68_XP_U">Model!$AR$210</definedName>
    <definedName name="v_68_XPFOA">Model!$BX$210</definedName>
    <definedName name="v_68_XPFOS">Model!$BZ$210</definedName>
    <definedName name="v_68_XPHA_GAO">Model!$O$210</definedName>
    <definedName name="v_68_XPHA_PAO">Model!$N$210</definedName>
    <definedName name="v_68_XPP">Model!$AN$210</definedName>
    <definedName name="v_68_XSTR">Model!$BU$210</definedName>
    <definedName name="v_68_XU">Model!$M$210</definedName>
    <definedName name="v_68_XVivi">Model!$BV$210</definedName>
    <definedName name="v_69_CB">Model!$H$211</definedName>
    <definedName name="v_69_CU">Model!$L$211</definedName>
    <definedName name="v_69_GCH4">Model!$CE$211</definedName>
    <definedName name="v_69_GCH4_atm">Model!$CM$211</definedName>
    <definedName name="v_69_GCO2">Model!$CD$211</definedName>
    <definedName name="v_69_GCO2_atm">Model!$CL$211</definedName>
    <definedName name="v_69_GH2">Model!$CF$211</definedName>
    <definedName name="v_69_GH2_atm">Model!$CN$211</definedName>
    <definedName name="v_69_GN2">Model!$CK$211</definedName>
    <definedName name="v_69_GN2_atm">Model!$CS$211</definedName>
    <definedName name="v_69_GN2O">Model!$CJ$211</definedName>
    <definedName name="v_69_GN2O_atm">Model!$CR$211</definedName>
    <definedName name="v_69_GNH3">Model!$CH$211</definedName>
    <definedName name="v_69_GNH3_atm">Model!$CP$211</definedName>
    <definedName name="v_69_GNO">Model!$CI$211</definedName>
    <definedName name="v_69_GNO_atm">Model!$CQ$211</definedName>
    <definedName name="v_69_GO2">Model!$CG$211</definedName>
    <definedName name="v_69_GO2_atm">Model!$CO$211</definedName>
    <definedName name="v_69_SALPHA">Model!$CB$211</definedName>
    <definedName name="v_69_SAN">Model!$AY$211</definedName>
    <definedName name="v_69_SB">Model!$F$211</definedName>
    <definedName name="v_69_SCa">Model!$AZ$211</definedName>
    <definedName name="v_69_SCAT">Model!$AX$211</definedName>
    <definedName name="v_69_SCH4">Model!$AT$211</definedName>
    <definedName name="v_69_SCO2">Model!$AV$211</definedName>
    <definedName name="v_69_SFe2">Model!$BC$211</definedName>
    <definedName name="v_69_SH">Model!$CA$211</definedName>
    <definedName name="v_69_SH2">Model!$AU$211</definedName>
    <definedName name="v_69_SK">Model!$BB$211</definedName>
    <definedName name="v_69_SMEOL">Model!$G$211</definedName>
    <definedName name="v_69_SMg">Model!$BA$211</definedName>
    <definedName name="v_69_SN_B">Model!$AI$211</definedName>
    <definedName name="v_69_SN2">Model!$AH$211</definedName>
    <definedName name="v_69_SN2O">Model!$AG$211</definedName>
    <definedName name="v_69_SNH2OH">Model!$AB$211</definedName>
    <definedName name="v_69_SNHx">Model!$AA$211</definedName>
    <definedName name="v_69_SNO_AOB">Model!$AE$211</definedName>
    <definedName name="v_69_SNO_OHO">Model!$AF$211</definedName>
    <definedName name="v_69_SNO2">Model!$AD$211</definedName>
    <definedName name="v_69_SNO3">Model!$AC$211</definedName>
    <definedName name="v_69_SO2">Model!$AS$211</definedName>
    <definedName name="v_69_SORPswitch">Model!$CC$211</definedName>
    <definedName name="v_69_SP_B">Model!$AO$211</definedName>
    <definedName name="v_69_SPFOA">Model!$BW$211</definedName>
    <definedName name="v_69_SPFOS">Model!$BY$211</definedName>
    <definedName name="v_69_SPO4">Model!$AM$211</definedName>
    <definedName name="v_69_SU">Model!$K$211</definedName>
    <definedName name="v_69_SVFA">Model!$E$211</definedName>
    <definedName name="v_69_XACP">Model!$BS$211</definedName>
    <definedName name="v_69_XALGAE">Model!$Z$211</definedName>
    <definedName name="v_69_XAMETO">Model!$X$211</definedName>
    <definedName name="v_69_XAMX">Model!$W$211</definedName>
    <definedName name="v_69_XAOB">Model!$U$211</definedName>
    <definedName name="v_69_XB">Model!$I$211</definedName>
    <definedName name="v_69_XB_e">Model!$J$211</definedName>
    <definedName name="v_69_XBSH">Model!$BT$211</definedName>
    <definedName name="v_69_XCaCO3">Model!$BR$211</definedName>
    <definedName name="v_69_XCASTO">Model!$S$211</definedName>
    <definedName name="v_69_XE">Model!$P$211</definedName>
    <definedName name="v_69_XE_ana">Model!$Q$211</definedName>
    <definedName name="v_69_XHAO_H">Model!$BK$211</definedName>
    <definedName name="v_69_XHAO_H_P">Model!$BN$211</definedName>
    <definedName name="v_69_XHAO_H_P_old">Model!$BP$211</definedName>
    <definedName name="v_69_XHAO_L">Model!$BL$211</definedName>
    <definedName name="v_69_XHAO_L_P">Model!$BO$211</definedName>
    <definedName name="v_69_XHAO_L_P_old">Model!$BQ$211</definedName>
    <definedName name="v_69_XHAO_old">Model!$BM$211</definedName>
    <definedName name="v_69_XHFO_H">Model!$BD$211</definedName>
    <definedName name="v_69_XHFO_H_P">Model!$BG$211</definedName>
    <definedName name="v_69_XHFO_H_P_old">Model!$BI$211</definedName>
    <definedName name="v_69_XHFO_L">Model!$BE$211</definedName>
    <definedName name="v_69_XHFO_L_P">Model!$BH$211</definedName>
    <definedName name="v_69_XHFO_L_P_old">Model!$BJ$211</definedName>
    <definedName name="v_69_XHFO_old">Model!$BF$211</definedName>
    <definedName name="v_69_XHMETO">Model!$Y$211</definedName>
    <definedName name="v_69_XINORG">Model!$AW$211</definedName>
    <definedName name="v_69_XMEOLO">Model!$T$211</definedName>
    <definedName name="v_69_XN_B">Model!$AJ$211</definedName>
    <definedName name="v_69_XN_Be">Model!$AK$211</definedName>
    <definedName name="v_69_XN_U">Model!$AL$211</definedName>
    <definedName name="v_69_XNOB">Model!$V$211</definedName>
    <definedName name="v_69_XOHO">Model!$R$211</definedName>
    <definedName name="v_69_XP_B">Model!$AP$211</definedName>
    <definedName name="v_69_XP_Be">Model!$AQ$211</definedName>
    <definedName name="v_69_XP_U">Model!$AR$211</definedName>
    <definedName name="v_69_XPFOA">Model!$BX$211</definedName>
    <definedName name="v_69_XPFOS">Model!$BZ$211</definedName>
    <definedName name="v_69_XPHA_GAO">Model!$O$211</definedName>
    <definedName name="v_69_XPHA_PAO">Model!$N$211</definedName>
    <definedName name="v_69_XPP">Model!$AN$211</definedName>
    <definedName name="v_69_XSTR">Model!$BU$211</definedName>
    <definedName name="v_69_XU">Model!$M$211</definedName>
    <definedName name="v_69_XVivi">Model!$BV$211</definedName>
    <definedName name="v_7_CB">Model!$H$149</definedName>
    <definedName name="v_7_CU">Model!$L$149</definedName>
    <definedName name="v_7_GCH4">Model!$CE$149</definedName>
    <definedName name="v_7_GCH4_atm">Model!$CM$149</definedName>
    <definedName name="v_7_GCO2">Model!$CD$149</definedName>
    <definedName name="v_7_GCO2_atm">Model!$CL$149</definedName>
    <definedName name="v_7_GH2">Model!$CF$149</definedName>
    <definedName name="v_7_GH2_atm">Model!$CN$149</definedName>
    <definedName name="v_7_GN2">Model!$CK$149</definedName>
    <definedName name="v_7_GN2_atm">Model!$CS$149</definedName>
    <definedName name="v_7_GN2O">Model!$CJ$149</definedName>
    <definedName name="v_7_GN2O_atm">Model!$CR$149</definedName>
    <definedName name="v_7_GNH3">Model!$CH$149</definedName>
    <definedName name="v_7_GNH3_atm">Model!$CP$149</definedName>
    <definedName name="v_7_GNO">Model!$CI$149</definedName>
    <definedName name="v_7_GNO_atm">Model!$CQ$149</definedName>
    <definedName name="v_7_GO2">Model!$CG$149</definedName>
    <definedName name="v_7_GO2_atm">Model!$CO$149</definedName>
    <definedName name="v_7_SALPHA">Model!$CB$149</definedName>
    <definedName name="v_7_SAN">Model!$AY$149</definedName>
    <definedName name="v_7_SB">Model!$F$149</definedName>
    <definedName name="v_7_SCa">Model!$AZ$149</definedName>
    <definedName name="v_7_SCAT">Model!$AX$149</definedName>
    <definedName name="v_7_SCH4">Model!$AT$149</definedName>
    <definedName name="v_7_SCO2">Model!$AV$149</definedName>
    <definedName name="v_7_SFe2">Model!$BC$149</definedName>
    <definedName name="v_7_SH">Model!$CA$149</definedName>
    <definedName name="v_7_SH2">Model!$AU$149</definedName>
    <definedName name="v_7_SK">Model!$BB$149</definedName>
    <definedName name="v_7_SMEOL">Model!$G$149</definedName>
    <definedName name="v_7_SMg">Model!$BA$149</definedName>
    <definedName name="v_7_SN_B">Model!$AI$149</definedName>
    <definedName name="v_7_SN2">Model!$AH$149</definedName>
    <definedName name="v_7_SN2O">Model!$AG$149</definedName>
    <definedName name="v_7_SNH2OH">Model!$AB$149</definedName>
    <definedName name="v_7_SNHx">Model!$AA$149</definedName>
    <definedName name="v_7_SNO_AOB">Model!$AE$149</definedName>
    <definedName name="v_7_SNO_OHO">Model!$AF$149</definedName>
    <definedName name="v_7_SNO2">Model!$AD$149</definedName>
    <definedName name="v_7_SNO3">Model!$AC$149</definedName>
    <definedName name="v_7_SO2">Model!$AS$149</definedName>
    <definedName name="v_7_SORPswitch">Model!$CC$149</definedName>
    <definedName name="v_7_SP_B">Model!$AO$149</definedName>
    <definedName name="v_7_SPFOA">Model!$BW$149</definedName>
    <definedName name="v_7_SPFOS">Model!$BY$149</definedName>
    <definedName name="v_7_SPO4">Model!$AM$149</definedName>
    <definedName name="v_7_SU">Model!$K$149</definedName>
    <definedName name="v_7_SVFA">Model!$E$149</definedName>
    <definedName name="v_7_XACP">Model!$BS$149</definedName>
    <definedName name="v_7_XALGAE">Model!$Z$149</definedName>
    <definedName name="v_7_XAMETO">Model!$X$149</definedName>
    <definedName name="v_7_XAMX">Model!$W$149</definedName>
    <definedName name="v_7_XAOB">Model!$U$149</definedName>
    <definedName name="v_7_XB">Model!$I$149</definedName>
    <definedName name="v_7_XB_e">Model!$J$149</definedName>
    <definedName name="v_7_XBSH">Model!$BT$149</definedName>
    <definedName name="v_7_XCaCO3">Model!$BR$149</definedName>
    <definedName name="v_7_XCASTO">Model!$S$149</definedName>
    <definedName name="v_7_XE">Model!$P$149</definedName>
    <definedName name="v_7_XE_ana">Model!$Q$149</definedName>
    <definedName name="v_7_XHAO_H">Model!$BK$149</definedName>
    <definedName name="v_7_XHAO_H_P">Model!$BN$149</definedName>
    <definedName name="v_7_XHAO_H_P_old">Model!$BP$149</definedName>
    <definedName name="v_7_XHAO_L">Model!$BL$149</definedName>
    <definedName name="v_7_XHAO_L_P">Model!$BO$149</definedName>
    <definedName name="v_7_XHAO_L_P_old">Model!$BQ$149</definedName>
    <definedName name="v_7_XHAO_old">Model!$BM$149</definedName>
    <definedName name="v_7_XHFO_H">Model!$BD$149</definedName>
    <definedName name="v_7_XHFO_H_P">Model!$BG$149</definedName>
    <definedName name="v_7_XHFO_H_P_old">Model!$BI$149</definedName>
    <definedName name="v_7_XHFO_L">Model!$BE$149</definedName>
    <definedName name="v_7_XHFO_L_P">Model!$BH$149</definedName>
    <definedName name="v_7_XHFO_L_P_old">Model!$BJ$149</definedName>
    <definedName name="v_7_XHFO_old">Model!$BF$149</definedName>
    <definedName name="v_7_XHMETO">Model!$Y$149</definedName>
    <definedName name="v_7_XINORG">Model!$AW$149</definedName>
    <definedName name="v_7_XMEOLO">Model!$T$149</definedName>
    <definedName name="v_7_XN_B">Model!$AJ$149</definedName>
    <definedName name="v_7_XN_Be">Model!$AK$149</definedName>
    <definedName name="v_7_XN_U">Model!$AL$149</definedName>
    <definedName name="v_7_XNOB">Model!$V$149</definedName>
    <definedName name="v_7_XOHO">Model!$R$149</definedName>
    <definedName name="v_7_XP_B">Model!$AP$149</definedName>
    <definedName name="v_7_XP_Be">Model!$AQ$149</definedName>
    <definedName name="v_7_XP_U">Model!$AR$149</definedName>
    <definedName name="v_7_XPFOA">Model!$BX$149</definedName>
    <definedName name="v_7_XPFOS">Model!$BZ$149</definedName>
    <definedName name="v_7_XPHA_GAO">Model!$O$149</definedName>
    <definedName name="v_7_XPHA_PAO">Model!$N$149</definedName>
    <definedName name="v_7_XPP">Model!$AN$149</definedName>
    <definedName name="v_7_XSTR">Model!$BU$149</definedName>
    <definedName name="v_7_XU">Model!$M$149</definedName>
    <definedName name="v_7_XVivi">Model!$BV$149</definedName>
    <definedName name="v_70_CB">Model!$H$212</definedName>
    <definedName name="v_70_CU">Model!$L$212</definedName>
    <definedName name="v_70_GCH4">Model!$CE$212</definedName>
    <definedName name="v_70_GCH4_atm">Model!$CM$212</definedName>
    <definedName name="v_70_GCO2">Model!$CD$212</definedName>
    <definedName name="v_70_GCO2_atm">Model!$CL$212</definedName>
    <definedName name="v_70_GH2">Model!$CF$212</definedName>
    <definedName name="v_70_GH2_atm">Model!$CN$212</definedName>
    <definedName name="v_70_GN2">Model!$CK$212</definedName>
    <definedName name="v_70_GN2_atm">Model!$CS$212</definedName>
    <definedName name="v_70_GN2O">Model!$CJ$212</definedName>
    <definedName name="v_70_GN2O_atm">Model!$CR$212</definedName>
    <definedName name="v_70_GNH3">Model!$CH$212</definedName>
    <definedName name="v_70_GNH3_atm">Model!$CP$212</definedName>
    <definedName name="v_70_GNO">Model!$CI$212</definedName>
    <definedName name="v_70_GNO_atm">Model!$CQ$212</definedName>
    <definedName name="v_70_GO2">Model!$CG$212</definedName>
    <definedName name="v_70_GO2_atm">Model!$CO$212</definedName>
    <definedName name="v_70_SALPHA">Model!$CB$212</definedName>
    <definedName name="v_70_SAN">Model!$AY$212</definedName>
    <definedName name="v_70_SB">Model!$F$212</definedName>
    <definedName name="v_70_SCa">Model!$AZ$212</definedName>
    <definedName name="v_70_SCAT">Model!$AX$212</definedName>
    <definedName name="v_70_SCH4">Model!$AT$212</definedName>
    <definedName name="v_70_SCO2">Model!$AV$212</definedName>
    <definedName name="v_70_SFe2">Model!$BC$212</definedName>
    <definedName name="v_70_SH">Model!$CA$212</definedName>
    <definedName name="v_70_SH2">Model!$AU$212</definedName>
    <definedName name="v_70_SK">Model!$BB$212</definedName>
    <definedName name="v_70_SMEOL">Model!$G$212</definedName>
    <definedName name="v_70_SMg">Model!$BA$212</definedName>
    <definedName name="v_70_SN_B">Model!$AI$212</definedName>
    <definedName name="v_70_SN2">Model!$AH$212</definedName>
    <definedName name="v_70_SN2O">Model!$AG$212</definedName>
    <definedName name="v_70_SNH2OH">Model!$AB$212</definedName>
    <definedName name="v_70_SNHx">Model!$AA$212</definedName>
    <definedName name="v_70_SNO_AOB">Model!$AE$212</definedName>
    <definedName name="v_70_SNO_OHO">Model!$AF$212</definedName>
    <definedName name="v_70_SNO2">Model!$AD$212</definedName>
    <definedName name="v_70_SNO3">Model!$AC$212</definedName>
    <definedName name="v_70_SO2">Model!$AS$212</definedName>
    <definedName name="v_70_SORPswitch">Model!$CC$212</definedName>
    <definedName name="v_70_SP_B">Model!$AO$212</definedName>
    <definedName name="v_70_SPFOA">Model!$BW$212</definedName>
    <definedName name="v_70_SPFOS">Model!$BY$212</definedName>
    <definedName name="v_70_SPO4">Model!$AM$212</definedName>
    <definedName name="v_70_SU">Model!$K$212</definedName>
    <definedName name="v_70_SVFA">Model!$E$212</definedName>
    <definedName name="v_70_XACP">Model!$BS$212</definedName>
    <definedName name="v_70_XALGAE">Model!$Z$212</definedName>
    <definedName name="v_70_XAMETO">Model!$X$212</definedName>
    <definedName name="v_70_XAMX">Model!$W$212</definedName>
    <definedName name="v_70_XAOB">Model!$U$212</definedName>
    <definedName name="v_70_XB">Model!$I$212</definedName>
    <definedName name="v_70_XB_e">Model!$J$212</definedName>
    <definedName name="v_70_XBSH">Model!$BT$212</definedName>
    <definedName name="v_70_XCaCO3">Model!$BR$212</definedName>
    <definedName name="v_70_XCASTO">Model!$S$212</definedName>
    <definedName name="v_70_XE">Model!$P$212</definedName>
    <definedName name="v_70_XE_ana">Model!$Q$212</definedName>
    <definedName name="v_70_XHAO_H">Model!$BK$212</definedName>
    <definedName name="v_70_XHAO_H_P">Model!$BN$212</definedName>
    <definedName name="v_70_XHAO_H_P_old">Model!$BP$212</definedName>
    <definedName name="v_70_XHAO_L">Model!$BL$212</definedName>
    <definedName name="v_70_XHAO_L_P">Model!$BO$212</definedName>
    <definedName name="v_70_XHAO_L_P_old">Model!$BQ$212</definedName>
    <definedName name="v_70_XHAO_old">Model!$BM$212</definedName>
    <definedName name="v_70_XHFO_H">Model!$BD$212</definedName>
    <definedName name="v_70_XHFO_H_P">Model!$BG$212</definedName>
    <definedName name="v_70_XHFO_H_P_old">Model!$BI$212</definedName>
    <definedName name="v_70_XHFO_L">Model!$BE$212</definedName>
    <definedName name="v_70_XHFO_L_P">Model!$BH$212</definedName>
    <definedName name="v_70_XHFO_L_P_old">Model!$BJ$212</definedName>
    <definedName name="v_70_XHFO_old">Model!$BF$212</definedName>
    <definedName name="v_70_XHMETO">Model!$Y$212</definedName>
    <definedName name="v_70_XINORG">Model!$AW$212</definedName>
    <definedName name="v_70_XMEOLO">Model!$T$212</definedName>
    <definedName name="v_70_XN_B">Model!$AJ$212</definedName>
    <definedName name="v_70_XN_Be">Model!$AK$212</definedName>
    <definedName name="v_70_XN_U">Model!$AL$212</definedName>
    <definedName name="v_70_XNOB">Model!$V$212</definedName>
    <definedName name="v_70_XOHO">Model!$R$212</definedName>
    <definedName name="v_70_XP_B">Model!$AP$212</definedName>
    <definedName name="v_70_XP_Be">Model!$AQ$212</definedName>
    <definedName name="v_70_XP_U">Model!$AR$212</definedName>
    <definedName name="v_70_XPFOA">Model!$BX$212</definedName>
    <definedName name="v_70_XPFOS">Model!$BZ$212</definedName>
    <definedName name="v_70_XPHA_GAO">Model!$O$212</definedName>
    <definedName name="v_70_XPHA_PAO">Model!$N$212</definedName>
    <definedName name="v_70_XPP">Model!$AN$212</definedName>
    <definedName name="v_70_XSTR">Model!$BU$212</definedName>
    <definedName name="v_70_XU">Model!$M$212</definedName>
    <definedName name="v_70_XVivi">Model!$BV$212</definedName>
    <definedName name="v_71_CB">Model!$H$213</definedName>
    <definedName name="v_71_CU">Model!$L$213</definedName>
    <definedName name="v_71_GCH4">Model!$CE$213</definedName>
    <definedName name="v_71_GCH4_atm">Model!$CM$213</definedName>
    <definedName name="v_71_GCO2">Model!$CD$213</definedName>
    <definedName name="v_71_GCO2_atm">Model!$CL$213</definedName>
    <definedName name="v_71_GH2">Model!$CF$213</definedName>
    <definedName name="v_71_GH2_atm">Model!$CN$213</definedName>
    <definedName name="v_71_GN2">Model!$CK$213</definedName>
    <definedName name="v_71_GN2_atm">Model!$CS$213</definedName>
    <definedName name="v_71_GN2O">Model!$CJ$213</definedName>
    <definedName name="v_71_GN2O_atm">Model!$CR$213</definedName>
    <definedName name="v_71_GNH3">Model!$CH$213</definedName>
    <definedName name="v_71_GNH3_atm">Model!$CP$213</definedName>
    <definedName name="v_71_GNO">Model!$CI$213</definedName>
    <definedName name="v_71_GNO_atm">Model!$CQ$213</definedName>
    <definedName name="v_71_GO2">Model!$CG$213</definedName>
    <definedName name="v_71_GO2_atm">Model!$CO$213</definedName>
    <definedName name="v_71_SALPHA">Model!$CB$213</definedName>
    <definedName name="v_71_SAN">Model!$AY$213</definedName>
    <definedName name="v_71_SB">Model!$F$213</definedName>
    <definedName name="v_71_SCa">Model!$AZ$213</definedName>
    <definedName name="v_71_SCAT">Model!$AX$213</definedName>
    <definedName name="v_71_SCH4">Model!$AT$213</definedName>
    <definedName name="v_71_SCO2">Model!$AV$213</definedName>
    <definedName name="v_71_SFe2">Model!$BC$213</definedName>
    <definedName name="v_71_SH">Model!$CA$213</definedName>
    <definedName name="v_71_SH2">Model!$AU$213</definedName>
    <definedName name="v_71_SK">Model!$BB$213</definedName>
    <definedName name="v_71_SMEOL">Model!$G$213</definedName>
    <definedName name="v_71_SMg">Model!$BA$213</definedName>
    <definedName name="v_71_SN_B">Model!$AI$213</definedName>
    <definedName name="v_71_SN2">Model!$AH$213</definedName>
    <definedName name="v_71_SN2O">Model!$AG$213</definedName>
    <definedName name="v_71_SNH2OH">Model!$AB$213</definedName>
    <definedName name="v_71_SNHx">Model!$AA$213</definedName>
    <definedName name="v_71_SNO_AOB">Model!$AE$213</definedName>
    <definedName name="v_71_SNO_OHO">Model!$AF$213</definedName>
    <definedName name="v_71_SNO2">Model!$AD$213</definedName>
    <definedName name="v_71_SNO3">Model!$AC$213</definedName>
    <definedName name="v_71_SO2">Model!$AS$213</definedName>
    <definedName name="v_71_SORPswitch">Model!$CC$213</definedName>
    <definedName name="v_71_SP_B">Model!$AO$213</definedName>
    <definedName name="v_71_SPFOA">Model!$BW$213</definedName>
    <definedName name="v_71_SPFOS">Model!$BY$213</definedName>
    <definedName name="v_71_SPO4">Model!$AM$213</definedName>
    <definedName name="v_71_SU">Model!$K$213</definedName>
    <definedName name="v_71_SVFA">Model!$E$213</definedName>
    <definedName name="v_71_XACP">Model!$BS$213</definedName>
    <definedName name="v_71_XALGAE">Model!$Z$213</definedName>
    <definedName name="v_71_XAMETO">Model!$X$213</definedName>
    <definedName name="v_71_XAMX">Model!$W$213</definedName>
    <definedName name="v_71_XAOB">Model!$U$213</definedName>
    <definedName name="v_71_XB">Model!$I$213</definedName>
    <definedName name="v_71_XB_e">Model!$J$213</definedName>
    <definedName name="v_71_XBSH">Model!$BT$213</definedName>
    <definedName name="v_71_XCaCO3">Model!$BR$213</definedName>
    <definedName name="v_71_XCASTO">Model!$S$213</definedName>
    <definedName name="v_71_XE">Model!$P$213</definedName>
    <definedName name="v_71_XE_ana">Model!$Q$213</definedName>
    <definedName name="v_71_XHAO_H">Model!$BK$213</definedName>
    <definedName name="v_71_XHAO_H_P">Model!$BN$213</definedName>
    <definedName name="v_71_XHAO_H_P_old">Model!$BP$213</definedName>
    <definedName name="v_71_XHAO_L">Model!$BL$213</definedName>
    <definedName name="v_71_XHAO_L_P">Model!$BO$213</definedName>
    <definedName name="v_71_XHAO_L_P_old">Model!$BQ$213</definedName>
    <definedName name="v_71_XHAO_old">Model!$BM$213</definedName>
    <definedName name="v_71_XHFO_H">Model!$BD$213</definedName>
    <definedName name="v_71_XHFO_H_P">Model!$BG$213</definedName>
    <definedName name="v_71_XHFO_H_P_old">Model!$BI$213</definedName>
    <definedName name="v_71_XHFO_L">Model!$BE$213</definedName>
    <definedName name="v_71_XHFO_L_P">Model!$BH$213</definedName>
    <definedName name="v_71_XHFO_L_P_old">Model!$BJ$213</definedName>
    <definedName name="v_71_XHFO_old">Model!$BF$213</definedName>
    <definedName name="v_71_XHMETO">Model!$Y$213</definedName>
    <definedName name="v_71_XINORG">Model!$AW$213</definedName>
    <definedName name="v_71_XMEOLO">Model!$T$213</definedName>
    <definedName name="v_71_XN_B">Model!$AJ$213</definedName>
    <definedName name="v_71_XN_Be">Model!$AK$213</definedName>
    <definedName name="v_71_XN_U">Model!$AL$213</definedName>
    <definedName name="v_71_XNOB">Model!$V$213</definedName>
    <definedName name="v_71_XOHO">Model!$R$213</definedName>
    <definedName name="v_71_XP_B">Model!$AP$213</definedName>
    <definedName name="v_71_XP_Be">Model!$AQ$213</definedName>
    <definedName name="v_71_XP_U">Model!$AR$213</definedName>
    <definedName name="v_71_XPFOA">Model!$BX$213</definedName>
    <definedName name="v_71_XPFOS">Model!$BZ$213</definedName>
    <definedName name="v_71_XPHA_GAO">Model!$O$213</definedName>
    <definedName name="v_71_XPHA_PAO">Model!$N$213</definedName>
    <definedName name="v_71_XPP">Model!$AN$213</definedName>
    <definedName name="v_71_XSTR">Model!$BU$213</definedName>
    <definedName name="v_71_XU">Model!$M$213</definedName>
    <definedName name="v_71_XVivi">Model!$BV$213</definedName>
    <definedName name="v_72_CB">Model!$H$214</definedName>
    <definedName name="v_72_CU">Model!$L$214</definedName>
    <definedName name="v_72_GCH4">Model!$CE$214</definedName>
    <definedName name="v_72_GCH4_atm">Model!$CM$214</definedName>
    <definedName name="v_72_GCO2">Model!$CD$214</definedName>
    <definedName name="v_72_GCO2_atm">Model!$CL$214</definedName>
    <definedName name="v_72_GH2">Model!$CF$214</definedName>
    <definedName name="v_72_GH2_atm">Model!$CN$214</definedName>
    <definedName name="v_72_GN2">Model!$CK$214</definedName>
    <definedName name="v_72_GN2_atm">Model!$CS$214</definedName>
    <definedName name="v_72_GN2O">Model!$CJ$214</definedName>
    <definedName name="v_72_GN2O_atm">Model!$CR$214</definedName>
    <definedName name="v_72_GNH3">Model!$CH$214</definedName>
    <definedName name="v_72_GNH3_atm">Model!$CP$214</definedName>
    <definedName name="v_72_GNO">Model!$CI$214</definedName>
    <definedName name="v_72_GNO_atm">Model!$CQ$214</definedName>
    <definedName name="v_72_GO2">Model!$CG$214</definedName>
    <definedName name="v_72_GO2_atm">Model!$CO$214</definedName>
    <definedName name="v_72_SALPHA">Model!$CB$214</definedName>
    <definedName name="v_72_SAN">Model!$AY$214</definedName>
    <definedName name="v_72_SB">Model!$F$214</definedName>
    <definedName name="v_72_SCa">Model!$AZ$214</definedName>
    <definedName name="v_72_SCAT">Model!$AX$214</definedName>
    <definedName name="v_72_SCH4">Model!$AT$214</definedName>
    <definedName name="v_72_SCO2">Model!$AV$214</definedName>
    <definedName name="v_72_SFe2">Model!$BC$214</definedName>
    <definedName name="v_72_SH">Model!$CA$214</definedName>
    <definedName name="v_72_SH2">Model!$AU$214</definedName>
    <definedName name="v_72_SK">Model!$BB$214</definedName>
    <definedName name="v_72_SMEOL">Model!$G$214</definedName>
    <definedName name="v_72_SMg">Model!$BA$214</definedName>
    <definedName name="v_72_SN_B">Model!$AI$214</definedName>
    <definedName name="v_72_SN2">Model!$AH$214</definedName>
    <definedName name="v_72_SN2O">Model!$AG$214</definedName>
    <definedName name="v_72_SNH2OH">Model!$AB$214</definedName>
    <definedName name="v_72_SNHx">Model!$AA$214</definedName>
    <definedName name="v_72_SNO_AOB">Model!$AE$214</definedName>
    <definedName name="v_72_SNO_OHO">Model!$AF$214</definedName>
    <definedName name="v_72_SNO2">Model!$AD$214</definedName>
    <definedName name="v_72_SNO3">Model!$AC$214</definedName>
    <definedName name="v_72_SO2">Model!$AS$214</definedName>
    <definedName name="v_72_SORPswitch">Model!$CC$214</definedName>
    <definedName name="v_72_SP_B">Model!$AO$214</definedName>
    <definedName name="v_72_SPFOA">Model!$BW$214</definedName>
    <definedName name="v_72_SPFOS">Model!$BY$214</definedName>
    <definedName name="v_72_SPO4">Model!$AM$214</definedName>
    <definedName name="v_72_SU">Model!$K$214</definedName>
    <definedName name="v_72_SVFA">Model!$E$214</definedName>
    <definedName name="v_72_XACP">Model!$BS$214</definedName>
    <definedName name="v_72_XALGAE">Model!$Z$214</definedName>
    <definedName name="v_72_XAMETO">Model!$X$214</definedName>
    <definedName name="v_72_XAMX">Model!$W$214</definedName>
    <definedName name="v_72_XAOB">Model!$U$214</definedName>
    <definedName name="v_72_XB">Model!$I$214</definedName>
    <definedName name="v_72_XB_e">Model!$J$214</definedName>
    <definedName name="v_72_XBSH">Model!$BT$214</definedName>
    <definedName name="v_72_XCaCO3">Model!$BR$214</definedName>
    <definedName name="v_72_XCASTO">Model!$S$214</definedName>
    <definedName name="v_72_XE">Model!$P$214</definedName>
    <definedName name="v_72_XE_ana">Model!$Q$214</definedName>
    <definedName name="v_72_XHAO_H">Model!$BK$214</definedName>
    <definedName name="v_72_XHAO_H_P">Model!$BN$214</definedName>
    <definedName name="v_72_XHAO_H_P_old">Model!$BP$214</definedName>
    <definedName name="v_72_XHAO_L">Model!$BL$214</definedName>
    <definedName name="v_72_XHAO_L_P">Model!$BO$214</definedName>
    <definedName name="v_72_XHAO_L_P_old">Model!$BQ$214</definedName>
    <definedName name="v_72_XHAO_old">Model!$BM$214</definedName>
    <definedName name="v_72_XHFO_H">Model!$BD$214</definedName>
    <definedName name="v_72_XHFO_H_P">Model!$BG$214</definedName>
    <definedName name="v_72_XHFO_H_P_old">Model!$BI$214</definedName>
    <definedName name="v_72_XHFO_L">Model!$BE$214</definedName>
    <definedName name="v_72_XHFO_L_P">Model!$BH$214</definedName>
    <definedName name="v_72_XHFO_L_P_old">Model!$BJ$214</definedName>
    <definedName name="v_72_XHFO_old">Model!$BF$214</definedName>
    <definedName name="v_72_XHMETO">Model!$Y$214</definedName>
    <definedName name="v_72_XINORG">Model!$AW$214</definedName>
    <definedName name="v_72_XMEOLO">Model!$T$214</definedName>
    <definedName name="v_72_XN_B">Model!$AJ$214</definedName>
    <definedName name="v_72_XN_Be">Model!$AK$214</definedName>
    <definedName name="v_72_XN_U">Model!$AL$214</definedName>
    <definedName name="v_72_XNOB">Model!$V$214</definedName>
    <definedName name="v_72_XOHO">Model!$R$214</definedName>
    <definedName name="v_72_XP_B">Model!$AP$214</definedName>
    <definedName name="v_72_XP_Be">Model!$AQ$214</definedName>
    <definedName name="v_72_XP_U">Model!$AR$214</definedName>
    <definedName name="v_72_XPFOA">Model!$BX$214</definedName>
    <definedName name="v_72_XPFOS">Model!$BZ$214</definedName>
    <definedName name="v_72_XPHA_GAO">Model!$O$214</definedName>
    <definedName name="v_72_XPHA_PAO">Model!$N$214</definedName>
    <definedName name="v_72_XPP">Model!$AN$214</definedName>
    <definedName name="v_72_XSTR">Model!$BU$214</definedName>
    <definedName name="v_72_XU">Model!$M$214</definedName>
    <definedName name="v_72_XVivi">Model!$BV$214</definedName>
    <definedName name="v_73_CB">Model!$H$215</definedName>
    <definedName name="v_73_CU">Model!$L$215</definedName>
    <definedName name="v_73_GCH4">Model!$CE$215</definedName>
    <definedName name="v_73_GCH4_atm">Model!$CM$215</definedName>
    <definedName name="v_73_GCO2">Model!$CD$215</definedName>
    <definedName name="v_73_GCO2_atm">Model!$CL$215</definedName>
    <definedName name="v_73_GH2">Model!$CF$215</definedName>
    <definedName name="v_73_GH2_atm">Model!$CN$215</definedName>
    <definedName name="v_73_GN2">Model!$CK$215</definedName>
    <definedName name="v_73_GN2_atm">Model!$CS$215</definedName>
    <definedName name="v_73_GN2O">Model!$CJ$215</definedName>
    <definedName name="v_73_GN2O_atm">Model!$CR$215</definedName>
    <definedName name="v_73_GNH3">Model!$CH$215</definedName>
    <definedName name="v_73_GNH3_atm">Model!$CP$215</definedName>
    <definedName name="v_73_GNO">Model!$CI$215</definedName>
    <definedName name="v_73_GNO_atm">Model!$CQ$215</definedName>
    <definedName name="v_73_GO2">Model!$CG$215</definedName>
    <definedName name="v_73_GO2_atm">Model!$CO$215</definedName>
    <definedName name="v_73_SALPHA">Model!$CB$215</definedName>
    <definedName name="v_73_SAN">Model!$AY$215</definedName>
    <definedName name="v_73_SB">Model!$F$215</definedName>
    <definedName name="v_73_SCa">Model!$AZ$215</definedName>
    <definedName name="v_73_SCAT">Model!$AX$215</definedName>
    <definedName name="v_73_SCH4">Model!$AT$215</definedName>
    <definedName name="v_73_SCO2">Model!$AV$215</definedName>
    <definedName name="v_73_SFe2">Model!$BC$215</definedName>
    <definedName name="v_73_SH">Model!$CA$215</definedName>
    <definedName name="v_73_SH2">Model!$AU$215</definedName>
    <definedName name="v_73_SK">Model!$BB$215</definedName>
    <definedName name="v_73_SMEOL">Model!$G$215</definedName>
    <definedName name="v_73_SMg">Model!$BA$215</definedName>
    <definedName name="v_73_SN_B">Model!$AI$215</definedName>
    <definedName name="v_73_SN2">Model!$AH$215</definedName>
    <definedName name="v_73_SN2O">Model!$AG$215</definedName>
    <definedName name="v_73_SNH2OH">Model!$AB$215</definedName>
    <definedName name="v_73_SNHx">Model!$AA$215</definedName>
    <definedName name="v_73_SNO_AOB">Model!$AE$215</definedName>
    <definedName name="v_73_SNO_OHO">Model!$AF$215</definedName>
    <definedName name="v_73_SNO2">Model!$AD$215</definedName>
    <definedName name="v_73_SNO3">Model!$AC$215</definedName>
    <definedName name="v_73_SO2">Model!$AS$215</definedName>
    <definedName name="v_73_SORPswitch">Model!$CC$215</definedName>
    <definedName name="v_73_SP_B">Model!$AO$215</definedName>
    <definedName name="v_73_SPFOA">Model!$BW$215</definedName>
    <definedName name="v_73_SPFOS">Model!$BY$215</definedName>
    <definedName name="v_73_SPO4">Model!$AM$215</definedName>
    <definedName name="v_73_SU">Model!$K$215</definedName>
    <definedName name="v_73_SVFA">Model!$E$215</definedName>
    <definedName name="v_73_XACP">Model!$BS$215</definedName>
    <definedName name="v_73_XALGAE">Model!$Z$215</definedName>
    <definedName name="v_73_XAMETO">Model!$X$215</definedName>
    <definedName name="v_73_XAMX">Model!$W$215</definedName>
    <definedName name="v_73_XAOB">Model!$U$215</definedName>
    <definedName name="v_73_XB">Model!$I$215</definedName>
    <definedName name="v_73_XB_e">Model!$J$215</definedName>
    <definedName name="v_73_XBSH">Model!$BT$215</definedName>
    <definedName name="v_73_XCaCO3">Model!$BR$215</definedName>
    <definedName name="v_73_XCASTO">Model!$S$215</definedName>
    <definedName name="v_73_XE">Model!$P$215</definedName>
    <definedName name="v_73_XE_ana">Model!$Q$215</definedName>
    <definedName name="v_73_XHAO_H">Model!$BK$215</definedName>
    <definedName name="v_73_XHAO_H_P">Model!$BN$215</definedName>
    <definedName name="v_73_XHAO_H_P_old">Model!$BP$215</definedName>
    <definedName name="v_73_XHAO_L">Model!$BL$215</definedName>
    <definedName name="v_73_XHAO_L_P">Model!$BO$215</definedName>
    <definedName name="v_73_XHAO_L_P_old">Model!$BQ$215</definedName>
    <definedName name="v_73_XHAO_old">Model!$BM$215</definedName>
    <definedName name="v_73_XHFO_H">Model!$BD$215</definedName>
    <definedName name="v_73_XHFO_H_P">Model!$BG$215</definedName>
    <definedName name="v_73_XHFO_H_P_old">Model!$BI$215</definedName>
    <definedName name="v_73_XHFO_L">Model!$BE$215</definedName>
    <definedName name="v_73_XHFO_L_P">Model!$BH$215</definedName>
    <definedName name="v_73_XHFO_L_P_old">Model!$BJ$215</definedName>
    <definedName name="v_73_XHFO_old">Model!$BF$215</definedName>
    <definedName name="v_73_XHMETO">Model!$Y$215</definedName>
    <definedName name="v_73_XINORG">Model!$AW$215</definedName>
    <definedName name="v_73_XMEOLO">Model!$T$215</definedName>
    <definedName name="v_73_XN_B">Model!$AJ$215</definedName>
    <definedName name="v_73_XN_Be">Model!$AK$215</definedName>
    <definedName name="v_73_XN_U">Model!$AL$215</definedName>
    <definedName name="v_73_XNOB">Model!$V$215</definedName>
    <definedName name="v_73_XOHO">Model!$R$215</definedName>
    <definedName name="v_73_XP_B">Model!$AP$215</definedName>
    <definedName name="v_73_XP_Be">Model!$AQ$215</definedName>
    <definedName name="v_73_XP_U">Model!$AR$215</definedName>
    <definedName name="v_73_XPFOA">Model!$BX$215</definedName>
    <definedName name="v_73_XPFOS">Model!$BZ$215</definedName>
    <definedName name="v_73_XPHA_GAO">Model!$O$215</definedName>
    <definedName name="v_73_XPHA_PAO">Model!$N$215</definedName>
    <definedName name="v_73_XPP">Model!$AN$215</definedName>
    <definedName name="v_73_XSTR">Model!$BU$215</definedName>
    <definedName name="v_73_XU">Model!$M$215</definedName>
    <definedName name="v_73_XVivi">Model!$BV$215</definedName>
    <definedName name="v_74_CB">Model!$H$216</definedName>
    <definedName name="v_74_CU">Model!$L$216</definedName>
    <definedName name="v_74_GCH4">Model!$CE$216</definedName>
    <definedName name="v_74_GCH4_atm">Model!$CM$216</definedName>
    <definedName name="v_74_GCO2">Model!$CD$216</definedName>
    <definedName name="v_74_GCO2_atm">Model!$CL$216</definedName>
    <definedName name="v_74_GH2">Model!$CF$216</definedName>
    <definedName name="v_74_GH2_atm">Model!$CN$216</definedName>
    <definedName name="v_74_GN2">Model!$CK$216</definedName>
    <definedName name="v_74_GN2_atm">Model!$CS$216</definedName>
    <definedName name="v_74_GN2O">Model!$CJ$216</definedName>
    <definedName name="v_74_GN2O_atm">Model!$CR$216</definedName>
    <definedName name="v_74_GNH3">Model!$CH$216</definedName>
    <definedName name="v_74_GNH3_atm">Model!$CP$216</definedName>
    <definedName name="v_74_GNO">Model!$CI$216</definedName>
    <definedName name="v_74_GNO_atm">Model!$CQ$216</definedName>
    <definedName name="v_74_GO2">Model!$CG$216</definedName>
    <definedName name="v_74_GO2_atm">Model!$CO$216</definedName>
    <definedName name="v_74_SALPHA">Model!$CB$216</definedName>
    <definedName name="v_74_SAN">Model!$AY$216</definedName>
    <definedName name="v_74_SB">Model!$F$216</definedName>
    <definedName name="v_74_SCa">Model!$AZ$216</definedName>
    <definedName name="v_74_SCAT">Model!$AX$216</definedName>
    <definedName name="v_74_SCH4">Model!$AT$216</definedName>
    <definedName name="v_74_SCO2">Model!$AV$216</definedName>
    <definedName name="v_74_SFe2">Model!$BC$216</definedName>
    <definedName name="v_74_SH">Model!$CA$216</definedName>
    <definedName name="v_74_SH2">Model!$AU$216</definedName>
    <definedName name="v_74_SK">Model!$BB$216</definedName>
    <definedName name="v_74_SMEOL">Model!$G$216</definedName>
    <definedName name="v_74_SMg">Model!$BA$216</definedName>
    <definedName name="v_74_SN_B">Model!$AI$216</definedName>
    <definedName name="v_74_SN2">Model!$AH$216</definedName>
    <definedName name="v_74_SN2O">Model!$AG$216</definedName>
    <definedName name="v_74_SNH2OH">Model!$AB$216</definedName>
    <definedName name="v_74_SNHx">Model!$AA$216</definedName>
    <definedName name="v_74_SNO_AOB">Model!$AE$216</definedName>
    <definedName name="v_74_SNO_OHO">Model!$AF$216</definedName>
    <definedName name="v_74_SNO2">Model!$AD$216</definedName>
    <definedName name="v_74_SNO3">Model!$AC$216</definedName>
    <definedName name="v_74_SO2">Model!$AS$216</definedName>
    <definedName name="v_74_SORPswitch">Model!$CC$216</definedName>
    <definedName name="v_74_SP_B">Model!$AO$216</definedName>
    <definedName name="v_74_SPFOA">Model!$BW$216</definedName>
    <definedName name="v_74_SPFOS">Model!$BY$216</definedName>
    <definedName name="v_74_SPO4">Model!$AM$216</definedName>
    <definedName name="v_74_SU">Model!$K$216</definedName>
    <definedName name="v_74_SVFA">Model!$E$216</definedName>
    <definedName name="v_74_XACP">Model!$BS$216</definedName>
    <definedName name="v_74_XALGAE">Model!$Z$216</definedName>
    <definedName name="v_74_XAMETO">Model!$X$216</definedName>
    <definedName name="v_74_XAMX">Model!$W$216</definedName>
    <definedName name="v_74_XAOB">Model!$U$216</definedName>
    <definedName name="v_74_XB">Model!$I$216</definedName>
    <definedName name="v_74_XB_e">Model!$J$216</definedName>
    <definedName name="v_74_XBSH">Model!$BT$216</definedName>
    <definedName name="v_74_XCaCO3">Model!$BR$216</definedName>
    <definedName name="v_74_XCASTO">Model!$S$216</definedName>
    <definedName name="v_74_XE">Model!$P$216</definedName>
    <definedName name="v_74_XE_ana">Model!$Q$216</definedName>
    <definedName name="v_74_XHAO_H">Model!$BK$216</definedName>
    <definedName name="v_74_XHAO_H_P">Model!$BN$216</definedName>
    <definedName name="v_74_XHAO_H_P_old">Model!$BP$216</definedName>
    <definedName name="v_74_XHAO_L">Model!$BL$216</definedName>
    <definedName name="v_74_XHAO_L_P">Model!$BO$216</definedName>
    <definedName name="v_74_XHAO_L_P_old">Model!$BQ$216</definedName>
    <definedName name="v_74_XHAO_old">Model!$BM$216</definedName>
    <definedName name="v_74_XHFO_H">Model!$BD$216</definedName>
    <definedName name="v_74_XHFO_H_P">Model!$BG$216</definedName>
    <definedName name="v_74_XHFO_H_P_old">Model!$BI$216</definedName>
    <definedName name="v_74_XHFO_L">Model!$BE$216</definedName>
    <definedName name="v_74_XHFO_L_P">Model!$BH$216</definedName>
    <definedName name="v_74_XHFO_L_P_old">Model!$BJ$216</definedName>
    <definedName name="v_74_XHFO_old">Model!$BF$216</definedName>
    <definedName name="v_74_XHMETO">Model!$Y$216</definedName>
    <definedName name="v_74_XINORG">Model!$AW$216</definedName>
    <definedName name="v_74_XMEOLO">Model!$T$216</definedName>
    <definedName name="v_74_XN_B">Model!$AJ$216</definedName>
    <definedName name="v_74_XN_Be">Model!$AK$216</definedName>
    <definedName name="v_74_XN_U">Model!$AL$216</definedName>
    <definedName name="v_74_XNOB">Model!$V$216</definedName>
    <definedName name="v_74_XOHO">Model!$R$216</definedName>
    <definedName name="v_74_XP_B">Model!$AP$216</definedName>
    <definedName name="v_74_XP_Be">Model!$AQ$216</definedName>
    <definedName name="v_74_XP_U">Model!$AR$216</definedName>
    <definedName name="v_74_XPFOA">Model!$BX$216</definedName>
    <definedName name="v_74_XPFOS">Model!$BZ$216</definedName>
    <definedName name="v_74_XPHA_GAO">Model!$O$216</definedName>
    <definedName name="v_74_XPHA_PAO">Model!$N$216</definedName>
    <definedName name="v_74_XPP">Model!$AN$216</definedName>
    <definedName name="v_74_XSTR">Model!$BU$216</definedName>
    <definedName name="v_74_XU">Model!$M$216</definedName>
    <definedName name="v_74_XVivi">Model!$BV$216</definedName>
    <definedName name="v_75_CB">Model!$H$217</definedName>
    <definedName name="v_75_CU">Model!$L$217</definedName>
    <definedName name="v_75_GCH4">Model!$CE$217</definedName>
    <definedName name="v_75_GCH4_atm">Model!$CM$217</definedName>
    <definedName name="v_75_GCO2">Model!$CD$217</definedName>
    <definedName name="v_75_GCO2_atm">Model!$CL$217</definedName>
    <definedName name="v_75_GH2">Model!$CF$217</definedName>
    <definedName name="v_75_GH2_atm">Model!$CN$217</definedName>
    <definedName name="v_75_GN2">Model!$CK$217</definedName>
    <definedName name="v_75_GN2_atm">Model!$CS$217</definedName>
    <definedName name="v_75_GN2O">Model!$CJ$217</definedName>
    <definedName name="v_75_GN2O_atm">Model!$CR$217</definedName>
    <definedName name="v_75_GNH3">Model!$CH$217</definedName>
    <definedName name="v_75_GNH3_atm">Model!$CP$217</definedName>
    <definedName name="v_75_GNO">Model!$CI$217</definedName>
    <definedName name="v_75_GNO_atm">Model!$CQ$217</definedName>
    <definedName name="v_75_GO2">Model!$CG$217</definedName>
    <definedName name="v_75_GO2_atm">Model!$CO$217</definedName>
    <definedName name="v_75_SALPHA">Model!$CB$217</definedName>
    <definedName name="v_75_SAN">Model!$AY$217</definedName>
    <definedName name="v_75_SB">Model!$F$217</definedName>
    <definedName name="v_75_SCa">Model!$AZ$217</definedName>
    <definedName name="v_75_SCAT">Model!$AX$217</definedName>
    <definedName name="v_75_SCH4">Model!$AT$217</definedName>
    <definedName name="v_75_SCO2">Model!$AV$217</definedName>
    <definedName name="v_75_SFe2">Model!$BC$217</definedName>
    <definedName name="v_75_SH">Model!$CA$217</definedName>
    <definedName name="v_75_SH2">Model!$AU$217</definedName>
    <definedName name="v_75_SK">Model!$BB$217</definedName>
    <definedName name="v_75_SMEOL">Model!$G$217</definedName>
    <definedName name="v_75_SMg">Model!$BA$217</definedName>
    <definedName name="v_75_SN_B">Model!$AI$217</definedName>
    <definedName name="v_75_SN2">Model!$AH$217</definedName>
    <definedName name="v_75_SN2O">Model!$AG$217</definedName>
    <definedName name="v_75_SNH2OH">Model!$AB$217</definedName>
    <definedName name="v_75_SNHx">Model!$AA$217</definedName>
    <definedName name="v_75_SNO_AOB">Model!$AE$217</definedName>
    <definedName name="v_75_SNO_OHO">Model!$AF$217</definedName>
    <definedName name="v_75_SNO2">Model!$AD$217</definedName>
    <definedName name="v_75_SNO3">Model!$AC$217</definedName>
    <definedName name="v_75_SO2">Model!$AS$217</definedName>
    <definedName name="v_75_SORPswitch">Model!$CC$217</definedName>
    <definedName name="v_75_SP_B">Model!$AO$217</definedName>
    <definedName name="v_75_SPFOA">Model!$BW$217</definedName>
    <definedName name="v_75_SPFOS">Model!$BY$217</definedName>
    <definedName name="v_75_SPO4">Model!$AM$217</definedName>
    <definedName name="v_75_SU">Model!$K$217</definedName>
    <definedName name="v_75_SVFA">Model!$E$217</definedName>
    <definedName name="v_75_XACP">Model!$BS$217</definedName>
    <definedName name="v_75_XALGAE">Model!$Z$217</definedName>
    <definedName name="v_75_XAMETO">Model!$X$217</definedName>
    <definedName name="v_75_XAMX">Model!$W$217</definedName>
    <definedName name="v_75_XAOB">Model!$U$217</definedName>
    <definedName name="v_75_XB">Model!$I$217</definedName>
    <definedName name="v_75_XB_e">Model!$J$217</definedName>
    <definedName name="v_75_XBSH">Model!$BT$217</definedName>
    <definedName name="v_75_XCaCO3">Model!$BR$217</definedName>
    <definedName name="v_75_XCASTO">Model!$S$217</definedName>
    <definedName name="v_75_XE">Model!$P$217</definedName>
    <definedName name="v_75_XE_ana">Model!$Q$217</definedName>
    <definedName name="v_75_XHAO_H">Model!$BK$217</definedName>
    <definedName name="v_75_XHAO_H_P">Model!$BN$217</definedName>
    <definedName name="v_75_XHAO_H_P_old">Model!$BP$217</definedName>
    <definedName name="v_75_XHAO_L">Model!$BL$217</definedName>
    <definedName name="v_75_XHAO_L_P">Model!$BO$217</definedName>
    <definedName name="v_75_XHAO_L_P_old">Model!$BQ$217</definedName>
    <definedName name="v_75_XHAO_old">Model!$BM$217</definedName>
    <definedName name="v_75_XHFO_H">Model!$BD$217</definedName>
    <definedName name="v_75_XHFO_H_P">Model!$BG$217</definedName>
    <definedName name="v_75_XHFO_H_P_old">Model!$BI$217</definedName>
    <definedName name="v_75_XHFO_L">Model!$BE$217</definedName>
    <definedName name="v_75_XHFO_L_P">Model!$BH$217</definedName>
    <definedName name="v_75_XHFO_L_P_old">Model!$BJ$217</definedName>
    <definedName name="v_75_XHFO_old">Model!$BF$217</definedName>
    <definedName name="v_75_XHMETO">Model!$Y$217</definedName>
    <definedName name="v_75_XINORG">Model!$AW$217</definedName>
    <definedName name="v_75_XMEOLO">Model!$T$217</definedName>
    <definedName name="v_75_XN_B">Model!$AJ$217</definedName>
    <definedName name="v_75_XN_Be">Model!$AK$217</definedName>
    <definedName name="v_75_XN_U">Model!$AL$217</definedName>
    <definedName name="v_75_XNOB">Model!$V$217</definedName>
    <definedName name="v_75_XOHO">Model!$R$217</definedName>
    <definedName name="v_75_XP_B">Model!$AP$217</definedName>
    <definedName name="v_75_XP_Be">Model!$AQ$217</definedName>
    <definedName name="v_75_XP_U">Model!$AR$217</definedName>
    <definedName name="v_75_XPFOA">Model!$BX$217</definedName>
    <definedName name="v_75_XPFOS">Model!$BZ$217</definedName>
    <definedName name="v_75_XPHA_GAO">Model!$O$217</definedName>
    <definedName name="v_75_XPHA_PAO">Model!$N$217</definedName>
    <definedName name="v_75_XPP">Model!$AN$217</definedName>
    <definedName name="v_75_XSTR">Model!$BU$217</definedName>
    <definedName name="v_75_XU">Model!$M$217</definedName>
    <definedName name="v_75_XVivi">Model!$BV$217</definedName>
    <definedName name="v_76_CB">Model!$H$218</definedName>
    <definedName name="v_76_CU">Model!$L$218</definedName>
    <definedName name="v_76_GCH4">Model!$CE$218</definedName>
    <definedName name="v_76_GCH4_atm">Model!$CM$218</definedName>
    <definedName name="v_76_GCO2">Model!$CD$218</definedName>
    <definedName name="v_76_GCO2_atm">Model!$CL$218</definedName>
    <definedName name="v_76_GH2">Model!$CF$218</definedName>
    <definedName name="v_76_GH2_atm">Model!$CN$218</definedName>
    <definedName name="v_76_GN2">Model!$CK$218</definedName>
    <definedName name="v_76_GN2_atm">Model!$CS$218</definedName>
    <definedName name="v_76_GN2O">Model!$CJ$218</definedName>
    <definedName name="v_76_GN2O_atm">Model!$CR$218</definedName>
    <definedName name="v_76_GNH3">Model!$CH$218</definedName>
    <definedName name="v_76_GNH3_atm">Model!$CP$218</definedName>
    <definedName name="v_76_GNO">Model!$CI$218</definedName>
    <definedName name="v_76_GNO_atm">Model!$CQ$218</definedName>
    <definedName name="v_76_GO2">Model!$CG$218</definedName>
    <definedName name="v_76_GO2_atm">Model!$CO$218</definedName>
    <definedName name="v_76_SALPHA">Model!$CB$218</definedName>
    <definedName name="v_76_SAN">Model!$AY$218</definedName>
    <definedName name="v_76_SB">Model!$F$218</definedName>
    <definedName name="v_76_SCa">Model!$AZ$218</definedName>
    <definedName name="v_76_SCAT">Model!$AX$218</definedName>
    <definedName name="v_76_SCH4">Model!$AT$218</definedName>
    <definedName name="v_76_SCO2">Model!$AV$218</definedName>
    <definedName name="v_76_SFe2">Model!$BC$218</definedName>
    <definedName name="v_76_SH">Model!$CA$218</definedName>
    <definedName name="v_76_SH2">Model!$AU$218</definedName>
    <definedName name="v_76_SK">Model!$BB$218</definedName>
    <definedName name="v_76_SMEOL">Model!$G$218</definedName>
    <definedName name="v_76_SMg">Model!$BA$218</definedName>
    <definedName name="v_76_SN_B">Model!$AI$218</definedName>
    <definedName name="v_76_SN2">Model!$AH$218</definedName>
    <definedName name="v_76_SN2O">Model!$AG$218</definedName>
    <definedName name="v_76_SNH2OH">Model!$AB$218</definedName>
    <definedName name="v_76_SNHx">Model!$AA$218</definedName>
    <definedName name="v_76_SNO_AOB">Model!$AE$218</definedName>
    <definedName name="v_76_SNO_OHO">Model!$AF$218</definedName>
    <definedName name="v_76_SNO2">Model!$AD$218</definedName>
    <definedName name="v_76_SNO3">Model!$AC$218</definedName>
    <definedName name="v_76_SO2">Model!$AS$218</definedName>
    <definedName name="v_76_SORPswitch">Model!$CC$218</definedName>
    <definedName name="v_76_SP_B">Model!$AO$218</definedName>
    <definedName name="v_76_SPFOA">Model!$BW$218</definedName>
    <definedName name="v_76_SPFOS">Model!$BY$218</definedName>
    <definedName name="v_76_SPO4">Model!$AM$218</definedName>
    <definedName name="v_76_SU">Model!$K$218</definedName>
    <definedName name="v_76_SVFA">Model!$E$218</definedName>
    <definedName name="v_76_XACP">Model!$BS$218</definedName>
    <definedName name="v_76_XALGAE">Model!$Z$218</definedName>
    <definedName name="v_76_XAMETO">Model!$X$218</definedName>
    <definedName name="v_76_XAMX">Model!$W$218</definedName>
    <definedName name="v_76_XAOB">Model!$U$218</definedName>
    <definedName name="v_76_XB">Model!$I$218</definedName>
    <definedName name="v_76_XB_e">Model!$J$218</definedName>
    <definedName name="v_76_XBSH">Model!$BT$218</definedName>
    <definedName name="v_76_XCaCO3">Model!$BR$218</definedName>
    <definedName name="v_76_XCASTO">Model!$S$218</definedName>
    <definedName name="v_76_XE">Model!$P$218</definedName>
    <definedName name="v_76_XE_ana">Model!$Q$218</definedName>
    <definedName name="v_76_XHAO_H">Model!$BK$218</definedName>
    <definedName name="v_76_XHAO_H_P">Model!$BN$218</definedName>
    <definedName name="v_76_XHAO_H_P_old">Model!$BP$218</definedName>
    <definedName name="v_76_XHAO_L">Model!$BL$218</definedName>
    <definedName name="v_76_XHAO_L_P">Model!$BO$218</definedName>
    <definedName name="v_76_XHAO_L_P_old">Model!$BQ$218</definedName>
    <definedName name="v_76_XHAO_old">Model!$BM$218</definedName>
    <definedName name="v_76_XHFO_H">Model!$BD$218</definedName>
    <definedName name="v_76_XHFO_H_P">Model!$BG$218</definedName>
    <definedName name="v_76_XHFO_H_P_old">Model!$BI$218</definedName>
    <definedName name="v_76_XHFO_L">Model!$BE$218</definedName>
    <definedName name="v_76_XHFO_L_P">Model!$BH$218</definedName>
    <definedName name="v_76_XHFO_L_P_old">Model!$BJ$218</definedName>
    <definedName name="v_76_XHFO_old">Model!$BF$218</definedName>
    <definedName name="v_76_XHMETO">Model!$Y$218</definedName>
    <definedName name="v_76_XINORG">Model!$AW$218</definedName>
    <definedName name="v_76_XMEOLO">Model!$T$218</definedName>
    <definedName name="v_76_XN_B">Model!$AJ$218</definedName>
    <definedName name="v_76_XN_Be">Model!$AK$218</definedName>
    <definedName name="v_76_XN_U">Model!$AL$218</definedName>
    <definedName name="v_76_XNOB">Model!$V$218</definedName>
    <definedName name="v_76_XOHO">Model!$R$218</definedName>
    <definedName name="v_76_XP_B">Model!$AP$218</definedName>
    <definedName name="v_76_XP_Be">Model!$AQ$218</definedName>
    <definedName name="v_76_XP_U">Model!$AR$218</definedName>
    <definedName name="v_76_XPFOA">Model!$BX$218</definedName>
    <definedName name="v_76_XPFOS">Model!$BZ$218</definedName>
    <definedName name="v_76_XPHA_GAO">Model!$O$218</definedName>
    <definedName name="v_76_XPHA_PAO">Model!$N$218</definedName>
    <definedName name="v_76_XPP">Model!$AN$218</definedName>
    <definedName name="v_76_XSTR">Model!$BU$218</definedName>
    <definedName name="v_76_XU">Model!$M$218</definedName>
    <definedName name="v_76_XVivi">Model!$BV$218</definedName>
    <definedName name="v_77_CB">Model!$H$219</definedName>
    <definedName name="v_77_CU">Model!$L$219</definedName>
    <definedName name="v_77_GCH4">Model!$CE$219</definedName>
    <definedName name="v_77_GCH4_atm">Model!$CM$219</definedName>
    <definedName name="v_77_GCO2">Model!$CD$219</definedName>
    <definedName name="v_77_GCO2_atm">Model!$CL$219</definedName>
    <definedName name="v_77_GH2">Model!$CF$219</definedName>
    <definedName name="v_77_GH2_atm">Model!$CN$219</definedName>
    <definedName name="v_77_GN2">Model!$CK$219</definedName>
    <definedName name="v_77_GN2_atm">Model!$CS$219</definedName>
    <definedName name="v_77_GN2O">Model!$CJ$219</definedName>
    <definedName name="v_77_GN2O_atm">Model!$CR$219</definedName>
    <definedName name="v_77_GNH3">Model!$CH$219</definedName>
    <definedName name="v_77_GNH3_atm">Model!$CP$219</definedName>
    <definedName name="v_77_GNO">Model!$CI$219</definedName>
    <definedName name="v_77_GNO_atm">Model!$CQ$219</definedName>
    <definedName name="v_77_GO2">Model!$CG$219</definedName>
    <definedName name="v_77_GO2_atm">Model!$CO$219</definedName>
    <definedName name="v_77_SALPHA">Model!$CB$219</definedName>
    <definedName name="v_77_SAN">Model!$AY$219</definedName>
    <definedName name="v_77_SB">Model!$F$219</definedName>
    <definedName name="v_77_SCa">Model!$AZ$219</definedName>
    <definedName name="v_77_SCAT">Model!$AX$219</definedName>
    <definedName name="v_77_SCH4">Model!$AT$219</definedName>
    <definedName name="v_77_SCO2">Model!$AV$219</definedName>
    <definedName name="v_77_SFe2">Model!$BC$219</definedName>
    <definedName name="v_77_SH">Model!$CA$219</definedName>
    <definedName name="v_77_SH2">Model!$AU$219</definedName>
    <definedName name="v_77_SK">Model!$BB$219</definedName>
    <definedName name="v_77_SMEOL">Model!$G$219</definedName>
    <definedName name="v_77_SMg">Model!$BA$219</definedName>
    <definedName name="v_77_SN_B">Model!$AI$219</definedName>
    <definedName name="v_77_SN2">Model!$AH$219</definedName>
    <definedName name="v_77_SN2O">Model!$AG$219</definedName>
    <definedName name="v_77_SNH2OH">Model!$AB$219</definedName>
    <definedName name="v_77_SNHx">Model!$AA$219</definedName>
    <definedName name="v_77_SNO_AOB">Model!$AE$219</definedName>
    <definedName name="v_77_SNO_OHO">Model!$AF$219</definedName>
    <definedName name="v_77_SNO2">Model!$AD$219</definedName>
    <definedName name="v_77_SNO3">Model!$AC$219</definedName>
    <definedName name="v_77_SO2">Model!$AS$219</definedName>
    <definedName name="v_77_SORPswitch">Model!$CC$219</definedName>
    <definedName name="v_77_SP_B">Model!$AO$219</definedName>
    <definedName name="v_77_SPFOA">Model!$BW$219</definedName>
    <definedName name="v_77_SPFOS">Model!$BY$219</definedName>
    <definedName name="v_77_SPO4">Model!$AM$219</definedName>
    <definedName name="v_77_SU">Model!$K$219</definedName>
    <definedName name="v_77_SVFA">Model!$E$219</definedName>
    <definedName name="v_77_XACP">Model!$BS$219</definedName>
    <definedName name="v_77_XALGAE">Model!$Z$219</definedName>
    <definedName name="v_77_XAMETO">Model!$X$219</definedName>
    <definedName name="v_77_XAMX">Model!$W$219</definedName>
    <definedName name="v_77_XAOB">Model!$U$219</definedName>
    <definedName name="v_77_XB">Model!$I$219</definedName>
    <definedName name="v_77_XB_e">Model!$J$219</definedName>
    <definedName name="v_77_XBSH">Model!$BT$219</definedName>
    <definedName name="v_77_XCaCO3">Model!$BR$219</definedName>
    <definedName name="v_77_XCASTO">Model!$S$219</definedName>
    <definedName name="v_77_XE">Model!$P$219</definedName>
    <definedName name="v_77_XE_ana">Model!$Q$219</definedName>
    <definedName name="v_77_XHAO_H">Model!$BK$219</definedName>
    <definedName name="v_77_XHAO_H_P">Model!$BN$219</definedName>
    <definedName name="v_77_XHAO_H_P_old">Model!$BP$219</definedName>
    <definedName name="v_77_XHAO_L">Model!$BL$219</definedName>
    <definedName name="v_77_XHAO_L_P">Model!$BO$219</definedName>
    <definedName name="v_77_XHAO_L_P_old">Model!$BQ$219</definedName>
    <definedName name="v_77_XHAO_old">Model!$BM$219</definedName>
    <definedName name="v_77_XHFO_H">Model!$BD$219</definedName>
    <definedName name="v_77_XHFO_H_P">Model!$BG$219</definedName>
    <definedName name="v_77_XHFO_H_P_old">Model!$BI$219</definedName>
    <definedName name="v_77_XHFO_L">Model!$BE$219</definedName>
    <definedName name="v_77_XHFO_L_P">Model!$BH$219</definedName>
    <definedName name="v_77_XHFO_L_P_old">Model!$BJ$219</definedName>
    <definedName name="v_77_XHFO_old">Model!$BF$219</definedName>
    <definedName name="v_77_XHMETO">Model!$Y$219</definedName>
    <definedName name="v_77_XINORG">Model!$AW$219</definedName>
    <definedName name="v_77_XMEOLO">Model!$T$219</definedName>
    <definedName name="v_77_XN_B">Model!$AJ$219</definedName>
    <definedName name="v_77_XN_Be">Model!$AK$219</definedName>
    <definedName name="v_77_XN_U">Model!$AL$219</definedName>
    <definedName name="v_77_XNOB">Model!$V$219</definedName>
    <definedName name="v_77_XOHO">Model!$R$219</definedName>
    <definedName name="v_77_XP_B">Model!$AP$219</definedName>
    <definedName name="v_77_XP_Be">Model!$AQ$219</definedName>
    <definedName name="v_77_XP_U">Model!$AR$219</definedName>
    <definedName name="v_77_XPFOA">Model!$BX$219</definedName>
    <definedName name="v_77_XPFOS">Model!$BZ$219</definedName>
    <definedName name="v_77_XPHA_GAO">Model!$O$219</definedName>
    <definedName name="v_77_XPHA_PAO">Model!$N$219</definedName>
    <definedName name="v_77_XPP">Model!$AN$219</definedName>
    <definedName name="v_77_XSTR">Model!$BU$219</definedName>
    <definedName name="v_77_XU">Model!$M$219</definedName>
    <definedName name="v_77_XVivi">Model!$BV$219</definedName>
    <definedName name="v_78_CB">Model!$H$220</definedName>
    <definedName name="v_78_CU">Model!$L$220</definedName>
    <definedName name="v_78_GCH4">Model!$CE$220</definedName>
    <definedName name="v_78_GCH4_atm">Model!$CM$220</definedName>
    <definedName name="v_78_GCO2">Model!$CD$220</definedName>
    <definedName name="v_78_GCO2_atm">Model!$CL$220</definedName>
    <definedName name="v_78_GH2">Model!$CF$220</definedName>
    <definedName name="v_78_GH2_atm">Model!$CN$220</definedName>
    <definedName name="v_78_GN2">Model!$CK$220</definedName>
    <definedName name="v_78_GN2_atm">Model!$CS$220</definedName>
    <definedName name="v_78_GN2O">Model!$CJ$220</definedName>
    <definedName name="v_78_GN2O_atm">Model!$CR$220</definedName>
    <definedName name="v_78_GNH3">Model!$CH$220</definedName>
    <definedName name="v_78_GNH3_atm">Model!$CP$220</definedName>
    <definedName name="v_78_GNO">Model!$CI$220</definedName>
    <definedName name="v_78_GNO_atm">Model!$CQ$220</definedName>
    <definedName name="v_78_GO2">Model!$CG$220</definedName>
    <definedName name="v_78_GO2_atm">Model!$CO$220</definedName>
    <definedName name="v_78_SALPHA">Model!$CB$220</definedName>
    <definedName name="v_78_SAN">Model!$AY$220</definedName>
    <definedName name="v_78_SB">Model!$F$220</definedName>
    <definedName name="v_78_SCa">Model!$AZ$220</definedName>
    <definedName name="v_78_SCAT">Model!$AX$220</definedName>
    <definedName name="v_78_SCH4">Model!$AT$220</definedName>
    <definedName name="v_78_SCO2">Model!$AV$220</definedName>
    <definedName name="v_78_SFe2">Model!$BC$220</definedName>
    <definedName name="v_78_SH">Model!$CA$220</definedName>
    <definedName name="v_78_SH2">Model!$AU$220</definedName>
    <definedName name="v_78_SK">Model!$BB$220</definedName>
    <definedName name="v_78_SMEOL">Model!$G$220</definedName>
    <definedName name="v_78_SMg">Model!$BA$220</definedName>
    <definedName name="v_78_SN_B">Model!$AI$220</definedName>
    <definedName name="v_78_SN2">Model!$AH$220</definedName>
    <definedName name="v_78_SN2O">Model!$AG$220</definedName>
    <definedName name="v_78_SNH2OH">Model!$AB$220</definedName>
    <definedName name="v_78_SNHx">Model!$AA$220</definedName>
    <definedName name="v_78_SNO_AOB">Model!$AE$220</definedName>
    <definedName name="v_78_SNO_OHO">Model!$AF$220</definedName>
    <definedName name="v_78_SNO2">Model!$AD$220</definedName>
    <definedName name="v_78_SNO3">Model!$AC$220</definedName>
    <definedName name="v_78_SO2">Model!$AS$220</definedName>
    <definedName name="v_78_SORPswitch">Model!$CC$220</definedName>
    <definedName name="v_78_SP_B">Model!$AO$220</definedName>
    <definedName name="v_78_SPFOA">Model!$BW$220</definedName>
    <definedName name="v_78_SPFOS">Model!$BY$220</definedName>
    <definedName name="v_78_SPO4">Model!$AM$220</definedName>
    <definedName name="v_78_SU">Model!$K$220</definedName>
    <definedName name="v_78_SVFA">Model!$E$220</definedName>
    <definedName name="v_78_XACP">Model!$BS$220</definedName>
    <definedName name="v_78_XALGAE">Model!$Z$220</definedName>
    <definedName name="v_78_XAMETO">Model!$X$220</definedName>
    <definedName name="v_78_XAMX">Model!$W$220</definedName>
    <definedName name="v_78_XAOB">Model!$U$220</definedName>
    <definedName name="v_78_XB">Model!$I$220</definedName>
    <definedName name="v_78_XB_e">Model!$J$220</definedName>
    <definedName name="v_78_XBSH">Model!$BT$220</definedName>
    <definedName name="v_78_XCaCO3">Model!$BR$220</definedName>
    <definedName name="v_78_XCASTO">Model!$S$220</definedName>
    <definedName name="v_78_XE">Model!$P$220</definedName>
    <definedName name="v_78_XE_ana">Model!$Q$220</definedName>
    <definedName name="v_78_XHAO_H">Model!$BK$220</definedName>
    <definedName name="v_78_XHAO_H_P">Model!$BN$220</definedName>
    <definedName name="v_78_XHAO_H_P_old">Model!$BP$220</definedName>
    <definedName name="v_78_XHAO_L">Model!$BL$220</definedName>
    <definedName name="v_78_XHAO_L_P">Model!$BO$220</definedName>
    <definedName name="v_78_XHAO_L_P_old">Model!$BQ$220</definedName>
    <definedName name="v_78_XHAO_old">Model!$BM$220</definedName>
    <definedName name="v_78_XHFO_H">Model!$BD$220</definedName>
    <definedName name="v_78_XHFO_H_P">Model!$BG$220</definedName>
    <definedName name="v_78_XHFO_H_P_old">Model!$BI$220</definedName>
    <definedName name="v_78_XHFO_L">Model!$BE$220</definedName>
    <definedName name="v_78_XHFO_L_P">Model!$BH$220</definedName>
    <definedName name="v_78_XHFO_L_P_old">Model!$BJ$220</definedName>
    <definedName name="v_78_XHFO_old">Model!$BF$220</definedName>
    <definedName name="v_78_XHMETO">Model!$Y$220</definedName>
    <definedName name="v_78_XINORG">Model!$AW$220</definedName>
    <definedName name="v_78_XMEOLO">Model!$T$220</definedName>
    <definedName name="v_78_XN_B">Model!$AJ$220</definedName>
    <definedName name="v_78_XN_Be">Model!$AK$220</definedName>
    <definedName name="v_78_XN_U">Model!$AL$220</definedName>
    <definedName name="v_78_XNOB">Model!$V$220</definedName>
    <definedName name="v_78_XOHO">Model!$R$220</definedName>
    <definedName name="v_78_XP_B">Model!$AP$220</definedName>
    <definedName name="v_78_XP_Be">Model!$AQ$220</definedName>
    <definedName name="v_78_XP_U">Model!$AR$220</definedName>
    <definedName name="v_78_XPFOA">Model!$BX$220</definedName>
    <definedName name="v_78_XPFOS">Model!$BZ$220</definedName>
    <definedName name="v_78_XPHA_GAO">Model!$O$220</definedName>
    <definedName name="v_78_XPHA_PAO">Model!$N$220</definedName>
    <definedName name="v_78_XPP">Model!$AN$220</definedName>
    <definedName name="v_78_XSTR">Model!$BU$220</definedName>
    <definedName name="v_78_XU">Model!$M$220</definedName>
    <definedName name="v_78_XVivi">Model!$BV$220</definedName>
    <definedName name="v_79_CB">Model!$H$221</definedName>
    <definedName name="v_79_CU">Model!$L$221</definedName>
    <definedName name="v_79_GCH4">Model!$CE$221</definedName>
    <definedName name="v_79_GCH4_atm">Model!$CM$221</definedName>
    <definedName name="v_79_GCO2">Model!$CD$221</definedName>
    <definedName name="v_79_GCO2_atm">Model!$CL$221</definedName>
    <definedName name="v_79_GH2">Model!$CF$221</definedName>
    <definedName name="v_79_GH2_atm">Model!$CN$221</definedName>
    <definedName name="v_79_GN2">Model!$CK$221</definedName>
    <definedName name="v_79_GN2_atm">Model!$CS$221</definedName>
    <definedName name="v_79_GN2O">Model!$CJ$221</definedName>
    <definedName name="v_79_GN2O_atm">Model!$CR$221</definedName>
    <definedName name="v_79_GNH3">Model!$CH$221</definedName>
    <definedName name="v_79_GNH3_atm">Model!$CP$221</definedName>
    <definedName name="v_79_GNO">Model!$CI$221</definedName>
    <definedName name="v_79_GNO_atm">Model!$CQ$221</definedName>
    <definedName name="v_79_GO2">Model!$CG$221</definedName>
    <definedName name="v_79_GO2_atm">Model!$CO$221</definedName>
    <definedName name="v_79_SALPHA">Model!$CB$221</definedName>
    <definedName name="v_79_SAN">Model!$AY$221</definedName>
    <definedName name="v_79_SB">Model!$F$221</definedName>
    <definedName name="v_79_SCa">Model!$AZ$221</definedName>
    <definedName name="v_79_SCAT">Model!$AX$221</definedName>
    <definedName name="v_79_SCH4">Model!$AT$221</definedName>
    <definedName name="v_79_SCO2">Model!$AV$221</definedName>
    <definedName name="v_79_SFe2">Model!$BC$221</definedName>
    <definedName name="v_79_SH">Model!$CA$221</definedName>
    <definedName name="v_79_SH2">Model!$AU$221</definedName>
    <definedName name="v_79_SK">Model!$BB$221</definedName>
    <definedName name="v_79_SMEOL">Model!$G$221</definedName>
    <definedName name="v_79_SMg">Model!$BA$221</definedName>
    <definedName name="v_79_SN_B">Model!$AI$221</definedName>
    <definedName name="v_79_SN2">Model!$AH$221</definedName>
    <definedName name="v_79_SN2O">Model!$AG$221</definedName>
    <definedName name="v_79_SNH2OH">Model!$AB$221</definedName>
    <definedName name="v_79_SNHx">Model!$AA$221</definedName>
    <definedName name="v_79_SNO_AOB">Model!$AE$221</definedName>
    <definedName name="v_79_SNO_OHO">Model!$AF$221</definedName>
    <definedName name="v_79_SNO2">Model!$AD$221</definedName>
    <definedName name="v_79_SNO3">Model!$AC$221</definedName>
    <definedName name="v_79_SO2">Model!$AS$221</definedName>
    <definedName name="v_79_SORPswitch">Model!$CC$221</definedName>
    <definedName name="v_79_SP_B">Model!$AO$221</definedName>
    <definedName name="v_79_SPFOA">Model!$BW$221</definedName>
    <definedName name="v_79_SPFOS">Model!$BY$221</definedName>
    <definedName name="v_79_SPO4">Model!$AM$221</definedName>
    <definedName name="v_79_SU">Model!$K$221</definedName>
    <definedName name="v_79_SVFA">Model!$E$221</definedName>
    <definedName name="v_79_XACP">Model!$BS$221</definedName>
    <definedName name="v_79_XALGAE">Model!$Z$221</definedName>
    <definedName name="v_79_XAMETO">Model!$X$221</definedName>
    <definedName name="v_79_XAMX">Model!$W$221</definedName>
    <definedName name="v_79_XAOB">Model!$U$221</definedName>
    <definedName name="v_79_XB">Model!$I$221</definedName>
    <definedName name="v_79_XB_e">Model!$J$221</definedName>
    <definedName name="v_79_XBSH">Model!$BT$221</definedName>
    <definedName name="v_79_XCaCO3">Model!$BR$221</definedName>
    <definedName name="v_79_XCASTO">Model!$S$221</definedName>
    <definedName name="v_79_XE">Model!$P$221</definedName>
    <definedName name="v_79_XE_ana">Model!$Q$221</definedName>
    <definedName name="v_79_XHAO_H">Model!$BK$221</definedName>
    <definedName name="v_79_XHAO_H_P">Model!$BN$221</definedName>
    <definedName name="v_79_XHAO_H_P_old">Model!$BP$221</definedName>
    <definedName name="v_79_XHAO_L">Model!$BL$221</definedName>
    <definedName name="v_79_XHAO_L_P">Model!$BO$221</definedName>
    <definedName name="v_79_XHAO_L_P_old">Model!$BQ$221</definedName>
    <definedName name="v_79_XHAO_old">Model!$BM$221</definedName>
    <definedName name="v_79_XHFO_H">Model!$BD$221</definedName>
    <definedName name="v_79_XHFO_H_P">Model!$BG$221</definedName>
    <definedName name="v_79_XHFO_H_P_old">Model!$BI$221</definedName>
    <definedName name="v_79_XHFO_L">Model!$BE$221</definedName>
    <definedName name="v_79_XHFO_L_P">Model!$BH$221</definedName>
    <definedName name="v_79_XHFO_L_P_old">Model!$BJ$221</definedName>
    <definedName name="v_79_XHFO_old">Model!$BF$221</definedName>
    <definedName name="v_79_XHMETO">Model!$Y$221</definedName>
    <definedName name="v_79_XINORG">Model!$AW$221</definedName>
    <definedName name="v_79_XMEOLO">Model!$T$221</definedName>
    <definedName name="v_79_XN_B">Model!$AJ$221</definedName>
    <definedName name="v_79_XN_Be">Model!$AK$221</definedName>
    <definedName name="v_79_XN_U">Model!$AL$221</definedName>
    <definedName name="v_79_XNOB">Model!$V$221</definedName>
    <definedName name="v_79_XOHO">Model!$R$221</definedName>
    <definedName name="v_79_XP_B">Model!$AP$221</definedName>
    <definedName name="v_79_XP_Be">Model!$AQ$221</definedName>
    <definedName name="v_79_XP_U">Model!$AR$221</definedName>
    <definedName name="v_79_XPFOA">Model!$BX$221</definedName>
    <definedName name="v_79_XPFOS">Model!$BZ$221</definedName>
    <definedName name="v_79_XPHA_GAO">Model!$O$221</definedName>
    <definedName name="v_79_XPHA_PAO">Model!$N$221</definedName>
    <definedName name="v_79_XPP">Model!$AN$221</definedName>
    <definedName name="v_79_XSTR">Model!$BU$221</definedName>
    <definedName name="v_79_XU">Model!$M$221</definedName>
    <definedName name="v_79_XVivi">Model!$BV$221</definedName>
    <definedName name="v_8_CB">Model!$H$150</definedName>
    <definedName name="v_8_CU">Model!$L$150</definedName>
    <definedName name="v_8_GCH4">Model!$CE$150</definedName>
    <definedName name="v_8_GCH4_atm">Model!$CM$150</definedName>
    <definedName name="v_8_GCO2">Model!$CD$150</definedName>
    <definedName name="v_8_GCO2_atm">Model!$CL$150</definedName>
    <definedName name="v_8_GH2">Model!$CF$150</definedName>
    <definedName name="v_8_GH2_atm">Model!$CN$150</definedName>
    <definedName name="v_8_GN2">Model!$CK$150</definedName>
    <definedName name="v_8_GN2_atm">Model!$CS$150</definedName>
    <definedName name="v_8_GN2O">Model!$CJ$150</definedName>
    <definedName name="v_8_GN2O_atm">Model!$CR$150</definedName>
    <definedName name="v_8_GNH3">Model!$CH$150</definedName>
    <definedName name="v_8_GNH3_atm">Model!$CP$150</definedName>
    <definedName name="v_8_GNO">Model!$CI$150</definedName>
    <definedName name="v_8_GNO_atm">Model!$CQ$150</definedName>
    <definedName name="v_8_GO2">Model!$CG$150</definedName>
    <definedName name="v_8_GO2_atm">Model!$CO$150</definedName>
    <definedName name="v_8_SALPHA">Model!$CB$150</definedName>
    <definedName name="v_8_SAN">Model!$AY$150</definedName>
    <definedName name="v_8_SB">Model!$F$150</definedName>
    <definedName name="v_8_SCa">Model!$AZ$150</definedName>
    <definedName name="v_8_SCAT">Model!$AX$150</definedName>
    <definedName name="v_8_SCH4">Model!$AT$150</definedName>
    <definedName name="v_8_SCO2">Model!$AV$150</definedName>
    <definedName name="v_8_SFe2">Model!$BC$150</definedName>
    <definedName name="v_8_SH">Model!$CA$150</definedName>
    <definedName name="v_8_SH2">Model!$AU$150</definedName>
    <definedName name="v_8_SK">Model!$BB$150</definedName>
    <definedName name="v_8_SMEOL">Model!$G$150</definedName>
    <definedName name="v_8_SMg">Model!$BA$150</definedName>
    <definedName name="v_8_SN_B">Model!$AI$150</definedName>
    <definedName name="v_8_SN2">Model!$AH$150</definedName>
    <definedName name="v_8_SN2O">Model!$AG$150</definedName>
    <definedName name="v_8_SNH2OH">Model!$AB$150</definedName>
    <definedName name="v_8_SNHx">Model!$AA$150</definedName>
    <definedName name="v_8_SNO_AOB">Model!$AE$150</definedName>
    <definedName name="v_8_SNO_OHO">Model!$AF$150</definedName>
    <definedName name="v_8_SNO2">Model!$AD$150</definedName>
    <definedName name="v_8_SNO3">Model!$AC$150</definedName>
    <definedName name="v_8_SO2">Model!$AS$150</definedName>
    <definedName name="v_8_SORPswitch">Model!$CC$150</definedName>
    <definedName name="v_8_SP_B">Model!$AO$150</definedName>
    <definedName name="v_8_SPFOA">Model!$BW$150</definedName>
    <definedName name="v_8_SPFOS">Model!$BY$150</definedName>
    <definedName name="v_8_SPO4">Model!$AM$150</definedName>
    <definedName name="v_8_SU">Model!$K$150</definedName>
    <definedName name="v_8_SVFA">Model!$E$150</definedName>
    <definedName name="v_8_XACP">Model!$BS$150</definedName>
    <definedName name="v_8_XALGAE">Model!$Z$150</definedName>
    <definedName name="v_8_XAMETO">Model!$X$150</definedName>
    <definedName name="v_8_XAMX">Model!$W$150</definedName>
    <definedName name="v_8_XAOB">Model!$U$150</definedName>
    <definedName name="v_8_XB">Model!$I$150</definedName>
    <definedName name="v_8_XB_e">Model!$J$150</definedName>
    <definedName name="v_8_XBSH">Model!$BT$150</definedName>
    <definedName name="v_8_XCaCO3">Model!$BR$150</definedName>
    <definedName name="v_8_XCASTO">Model!$S$150</definedName>
    <definedName name="v_8_XE">Model!$P$150</definedName>
    <definedName name="v_8_XE_ana">Model!$Q$150</definedName>
    <definedName name="v_8_XHAO_H">Model!$BK$150</definedName>
    <definedName name="v_8_XHAO_H_P">Model!$BN$150</definedName>
    <definedName name="v_8_XHAO_H_P_old">Model!$BP$150</definedName>
    <definedName name="v_8_XHAO_L">Model!$BL$150</definedName>
    <definedName name="v_8_XHAO_L_P">Model!$BO$150</definedName>
    <definedName name="v_8_XHAO_L_P_old">Model!$BQ$150</definedName>
    <definedName name="v_8_XHAO_old">Model!$BM$150</definedName>
    <definedName name="v_8_XHFO_H">Model!$BD$150</definedName>
    <definedName name="v_8_XHFO_H_P">Model!$BG$150</definedName>
    <definedName name="v_8_XHFO_H_P_old">Model!$BI$150</definedName>
    <definedName name="v_8_XHFO_L">Model!$BE$150</definedName>
    <definedName name="v_8_XHFO_L_P">Model!$BH$150</definedName>
    <definedName name="v_8_XHFO_L_P_old">Model!$BJ$150</definedName>
    <definedName name="v_8_XHFO_old">Model!$BF$150</definedName>
    <definedName name="v_8_XHMETO">Model!$Y$150</definedName>
    <definedName name="v_8_XINORG">Model!$AW$150</definedName>
    <definedName name="v_8_XMEOLO">Model!$T$150</definedName>
    <definedName name="v_8_XN_B">Model!$AJ$150</definedName>
    <definedName name="v_8_XN_Be">Model!$AK$150</definedName>
    <definedName name="v_8_XN_U">Model!$AL$150</definedName>
    <definedName name="v_8_XNOB">Model!$V$150</definedName>
    <definedName name="v_8_XOHO">Model!$R$150</definedName>
    <definedName name="v_8_XP_B">Model!$AP$150</definedName>
    <definedName name="v_8_XP_Be">Model!$AQ$150</definedName>
    <definedName name="v_8_XP_U">Model!$AR$150</definedName>
    <definedName name="v_8_XPFOA">Model!$BX$150</definedName>
    <definedName name="v_8_XPFOS">Model!$BZ$150</definedName>
    <definedName name="v_8_XPHA_GAO">Model!$O$150</definedName>
    <definedName name="v_8_XPHA_PAO">Model!$N$150</definedName>
    <definedName name="v_8_XPP">Model!$AN$150</definedName>
    <definedName name="v_8_XSTR">Model!$BU$150</definedName>
    <definedName name="v_8_XU">Model!$M$150</definedName>
    <definedName name="v_8_XVivi">Model!$BV$150</definedName>
    <definedName name="v_80_CB">Model!$H$222</definedName>
    <definedName name="v_80_CU">Model!$L$222</definedName>
    <definedName name="v_80_GCH4">Model!$CE$222</definedName>
    <definedName name="v_80_GCH4_atm">Model!$CM$222</definedName>
    <definedName name="v_80_GCO2">Model!$CD$222</definedName>
    <definedName name="v_80_GCO2_atm">Model!$CL$222</definedName>
    <definedName name="v_80_GH2">Model!$CF$222</definedName>
    <definedName name="v_80_GH2_atm">Model!$CN$222</definedName>
    <definedName name="v_80_GN2">Model!$CK$222</definedName>
    <definedName name="v_80_GN2_atm">Model!$CS$222</definedName>
    <definedName name="v_80_GN2O">Model!$CJ$222</definedName>
    <definedName name="v_80_GN2O_atm">Model!$CR$222</definedName>
    <definedName name="v_80_GNH3">Model!$CH$222</definedName>
    <definedName name="v_80_GNH3_atm">Model!$CP$222</definedName>
    <definedName name="v_80_GNO">Model!$CI$222</definedName>
    <definedName name="v_80_GNO_atm">Model!$CQ$222</definedName>
    <definedName name="v_80_GO2">Model!$CG$222</definedName>
    <definedName name="v_80_GO2_atm">Model!$CO$222</definedName>
    <definedName name="v_80_SALPHA">Model!$CB$222</definedName>
    <definedName name="v_80_SAN">Model!$AY$222</definedName>
    <definedName name="v_80_SB">Model!$F$222</definedName>
    <definedName name="v_80_SCa">Model!$AZ$222</definedName>
    <definedName name="v_80_SCAT">Model!$AX$222</definedName>
    <definedName name="v_80_SCH4">Model!$AT$222</definedName>
    <definedName name="v_80_SCO2">Model!$AV$222</definedName>
    <definedName name="v_80_SFe2">Model!$BC$222</definedName>
    <definedName name="v_80_SH">Model!$CA$222</definedName>
    <definedName name="v_80_SH2">Model!$AU$222</definedName>
    <definedName name="v_80_SK">Model!$BB$222</definedName>
    <definedName name="v_80_SMEOL">Model!$G$222</definedName>
    <definedName name="v_80_SMg">Model!$BA$222</definedName>
    <definedName name="v_80_SN_B">Model!$AI$222</definedName>
    <definedName name="v_80_SN2">Model!$AH$222</definedName>
    <definedName name="v_80_SN2O">Model!$AG$222</definedName>
    <definedName name="v_80_SNH2OH">Model!$AB$222</definedName>
    <definedName name="v_80_SNHx">Model!$AA$222</definedName>
    <definedName name="v_80_SNO_AOB">Model!$AE$222</definedName>
    <definedName name="v_80_SNO_OHO">Model!$AF$222</definedName>
    <definedName name="v_80_SNO2">Model!$AD$222</definedName>
    <definedName name="v_80_SNO3">Model!$AC$222</definedName>
    <definedName name="v_80_SO2">Model!$AS$222</definedName>
    <definedName name="v_80_SORPswitch">Model!$CC$222</definedName>
    <definedName name="v_80_SP_B">Model!$AO$222</definedName>
    <definedName name="v_80_SPFOA">Model!$BW$222</definedName>
    <definedName name="v_80_SPFOS">Model!$BY$222</definedName>
    <definedName name="v_80_SPO4">Model!$AM$222</definedName>
    <definedName name="v_80_SU">Model!$K$222</definedName>
    <definedName name="v_80_SVFA">Model!$E$222</definedName>
    <definedName name="v_80_XACP">Model!$BS$222</definedName>
    <definedName name="v_80_XALGAE">Model!$Z$222</definedName>
    <definedName name="v_80_XAMETO">Model!$X$222</definedName>
    <definedName name="v_80_XAMX">Model!$W$222</definedName>
    <definedName name="v_80_XAOB">Model!$U$222</definedName>
    <definedName name="v_80_XB">Model!$I$222</definedName>
    <definedName name="v_80_XB_e">Model!$J$222</definedName>
    <definedName name="v_80_XBSH">Model!$BT$222</definedName>
    <definedName name="v_80_XCaCO3">Model!$BR$222</definedName>
    <definedName name="v_80_XCASTO">Model!$S$222</definedName>
    <definedName name="v_80_XE">Model!$P$222</definedName>
    <definedName name="v_80_XE_ana">Model!$Q$222</definedName>
    <definedName name="v_80_XHAO_H">Model!$BK$222</definedName>
    <definedName name="v_80_XHAO_H_P">Model!$BN$222</definedName>
    <definedName name="v_80_XHAO_H_P_old">Model!$BP$222</definedName>
    <definedName name="v_80_XHAO_L">Model!$BL$222</definedName>
    <definedName name="v_80_XHAO_L_P">Model!$BO$222</definedName>
    <definedName name="v_80_XHAO_L_P_old">Model!$BQ$222</definedName>
    <definedName name="v_80_XHAO_old">Model!$BM$222</definedName>
    <definedName name="v_80_XHFO_H">Model!$BD$222</definedName>
    <definedName name="v_80_XHFO_H_P">Model!$BG$222</definedName>
    <definedName name="v_80_XHFO_H_P_old">Model!$BI$222</definedName>
    <definedName name="v_80_XHFO_L">Model!$BE$222</definedName>
    <definedName name="v_80_XHFO_L_P">Model!$BH$222</definedName>
    <definedName name="v_80_XHFO_L_P_old">Model!$BJ$222</definedName>
    <definedName name="v_80_XHFO_old">Model!$BF$222</definedName>
    <definedName name="v_80_XHMETO">Model!$Y$222</definedName>
    <definedName name="v_80_XINORG">Model!$AW$222</definedName>
    <definedName name="v_80_XMEOLO">Model!$T$222</definedName>
    <definedName name="v_80_XN_B">Model!$AJ$222</definedName>
    <definedName name="v_80_XN_Be">Model!$AK$222</definedName>
    <definedName name="v_80_XN_U">Model!$AL$222</definedName>
    <definedName name="v_80_XNOB">Model!$V$222</definedName>
    <definedName name="v_80_XOHO">Model!$R$222</definedName>
    <definedName name="v_80_XP_B">Model!$AP$222</definedName>
    <definedName name="v_80_XP_Be">Model!$AQ$222</definedName>
    <definedName name="v_80_XP_U">Model!$AR$222</definedName>
    <definedName name="v_80_XPFOA">Model!$BX$222</definedName>
    <definedName name="v_80_XPFOS">Model!$BZ$222</definedName>
    <definedName name="v_80_XPHA_GAO">Model!$O$222</definedName>
    <definedName name="v_80_XPHA_PAO">Model!$N$222</definedName>
    <definedName name="v_80_XPP">Model!$AN$222</definedName>
    <definedName name="v_80_XSTR">Model!$BU$222</definedName>
    <definedName name="v_80_XU">Model!$M$222</definedName>
    <definedName name="v_80_XVivi">Model!$BV$222</definedName>
    <definedName name="v_81_CB">Model!$H$223</definedName>
    <definedName name="v_81_CU">Model!$L$223</definedName>
    <definedName name="v_81_GCH4">Model!$CE$223</definedName>
    <definedName name="v_81_GCH4_atm">Model!$CM$223</definedName>
    <definedName name="v_81_GCO2">Model!$CD$223</definedName>
    <definedName name="v_81_GCO2_atm">Model!$CL$223</definedName>
    <definedName name="v_81_GH2">Model!$CF$223</definedName>
    <definedName name="v_81_GH2_atm">Model!$CN$223</definedName>
    <definedName name="v_81_GN2">Model!$CK$223</definedName>
    <definedName name="v_81_GN2_atm">Model!$CS$223</definedName>
    <definedName name="v_81_GN2O">Model!$CJ$223</definedName>
    <definedName name="v_81_GN2O_atm">Model!$CR$223</definedName>
    <definedName name="v_81_GNH3">Model!$CH$223</definedName>
    <definedName name="v_81_GNH3_atm">Model!$CP$223</definedName>
    <definedName name="v_81_GNO">Model!$CI$223</definedName>
    <definedName name="v_81_GNO_atm">Model!$CQ$223</definedName>
    <definedName name="v_81_GO2">Model!$CG$223</definedName>
    <definedName name="v_81_GO2_atm">Model!$CO$223</definedName>
    <definedName name="v_81_SALPHA">Model!$CB$223</definedName>
    <definedName name="v_81_SAN">Model!$AY$223</definedName>
    <definedName name="v_81_SB">Model!$F$223</definedName>
    <definedName name="v_81_SCa">Model!$AZ$223</definedName>
    <definedName name="v_81_SCAT">Model!$AX$223</definedName>
    <definedName name="v_81_SCH4">Model!$AT$223</definedName>
    <definedName name="v_81_SCO2">Model!$AV$223</definedName>
    <definedName name="v_81_SFe2">Model!$BC$223</definedName>
    <definedName name="v_81_SH">Model!$CA$223</definedName>
    <definedName name="v_81_SH2">Model!$AU$223</definedName>
    <definedName name="v_81_SK">Model!$BB$223</definedName>
    <definedName name="v_81_SMEOL">Model!$G$223</definedName>
    <definedName name="v_81_SMg">Model!$BA$223</definedName>
    <definedName name="v_81_SN_B">Model!$AI$223</definedName>
    <definedName name="v_81_SN2">Model!$AH$223</definedName>
    <definedName name="v_81_SN2O">Model!$AG$223</definedName>
    <definedName name="v_81_SNH2OH">Model!$AB$223</definedName>
    <definedName name="v_81_SNHx">Model!$AA$223</definedName>
    <definedName name="v_81_SNO_AOB">Model!$AE$223</definedName>
    <definedName name="v_81_SNO_OHO">Model!$AF$223</definedName>
    <definedName name="v_81_SNO2">Model!$AD$223</definedName>
    <definedName name="v_81_SNO3">Model!$AC$223</definedName>
    <definedName name="v_81_SO2">Model!$AS$223</definedName>
    <definedName name="v_81_SORPswitch">Model!$CC$223</definedName>
    <definedName name="v_81_SP_B">Model!$AO$223</definedName>
    <definedName name="v_81_SPFOA">Model!$BW$223</definedName>
    <definedName name="v_81_SPFOS">Model!$BY$223</definedName>
    <definedName name="v_81_SPO4">Model!$AM$223</definedName>
    <definedName name="v_81_SU">Model!$K$223</definedName>
    <definedName name="v_81_SVFA">Model!$E$223</definedName>
    <definedName name="v_81_XACP">Model!$BS$223</definedName>
    <definedName name="v_81_XALGAE">Model!$Z$223</definedName>
    <definedName name="v_81_XAMETO">Model!$X$223</definedName>
    <definedName name="v_81_XAMX">Model!$W$223</definedName>
    <definedName name="v_81_XAOB">Model!$U$223</definedName>
    <definedName name="v_81_XB">Model!$I$223</definedName>
    <definedName name="v_81_XB_e">Model!$J$223</definedName>
    <definedName name="v_81_XBSH">Model!$BT$223</definedName>
    <definedName name="v_81_XCaCO3">Model!$BR$223</definedName>
    <definedName name="v_81_XCASTO">Model!$S$223</definedName>
    <definedName name="v_81_XE">Model!$P$223</definedName>
    <definedName name="v_81_XE_ana">Model!$Q$223</definedName>
    <definedName name="v_81_XHAO_H">Model!$BK$223</definedName>
    <definedName name="v_81_XHAO_H_P">Model!$BN$223</definedName>
    <definedName name="v_81_XHAO_H_P_old">Model!$BP$223</definedName>
    <definedName name="v_81_XHAO_L">Model!$BL$223</definedName>
    <definedName name="v_81_XHAO_L_P">Model!$BO$223</definedName>
    <definedName name="v_81_XHAO_L_P_old">Model!$BQ$223</definedName>
    <definedName name="v_81_XHAO_old">Model!$BM$223</definedName>
    <definedName name="v_81_XHFO_H">Model!$BD$223</definedName>
    <definedName name="v_81_XHFO_H_P">Model!$BG$223</definedName>
    <definedName name="v_81_XHFO_H_P_old">Model!$BI$223</definedName>
    <definedName name="v_81_XHFO_L">Model!$BE$223</definedName>
    <definedName name="v_81_XHFO_L_P">Model!$BH$223</definedName>
    <definedName name="v_81_XHFO_L_P_old">Model!$BJ$223</definedName>
    <definedName name="v_81_XHFO_old">Model!$BF$223</definedName>
    <definedName name="v_81_XHMETO">Model!$Y$223</definedName>
    <definedName name="v_81_XINORG">Model!$AW$223</definedName>
    <definedName name="v_81_XMEOLO">Model!$T$223</definedName>
    <definedName name="v_81_XN_B">Model!$AJ$223</definedName>
    <definedName name="v_81_XN_Be">Model!$AK$223</definedName>
    <definedName name="v_81_XN_U">Model!$AL$223</definedName>
    <definedName name="v_81_XNOB">Model!$V$223</definedName>
    <definedName name="v_81_XOHO">Model!$R$223</definedName>
    <definedName name="v_81_XP_B">Model!$AP$223</definedName>
    <definedName name="v_81_XP_Be">Model!$AQ$223</definedName>
    <definedName name="v_81_XP_U">Model!$AR$223</definedName>
    <definedName name="v_81_XPFOA">Model!$BX$223</definedName>
    <definedName name="v_81_XPFOS">Model!$BZ$223</definedName>
    <definedName name="v_81_XPHA_GAO">Model!$O$223</definedName>
    <definedName name="v_81_XPHA_PAO">Model!$N$223</definedName>
    <definedName name="v_81_XPP">Model!$AN$223</definedName>
    <definedName name="v_81_XSTR">Model!$BU$223</definedName>
    <definedName name="v_81_XU">Model!$M$223</definedName>
    <definedName name="v_81_XVivi">Model!$BV$223</definedName>
    <definedName name="v_82_CB">Model!$H$224</definedName>
    <definedName name="v_82_CU">Model!$L$224</definedName>
    <definedName name="v_82_GCH4">Model!$CE$224</definedName>
    <definedName name="v_82_GCH4_atm">Model!$CM$224</definedName>
    <definedName name="v_82_GCO2">Model!$CD$224</definedName>
    <definedName name="v_82_GCO2_atm">Model!$CL$224</definedName>
    <definedName name="v_82_GH2">Model!$CF$224</definedName>
    <definedName name="v_82_GH2_atm">Model!$CN$224</definedName>
    <definedName name="v_82_GN2">Model!$CK$224</definedName>
    <definedName name="v_82_GN2_atm">Model!$CS$224</definedName>
    <definedName name="v_82_GN2O">Model!$CJ$224</definedName>
    <definedName name="v_82_GN2O_atm">Model!$CR$224</definedName>
    <definedName name="v_82_GNH3">Model!$CH$224</definedName>
    <definedName name="v_82_GNH3_atm">Model!$CP$224</definedName>
    <definedName name="v_82_GNO">Model!$CI$224</definedName>
    <definedName name="v_82_GNO_atm">Model!$CQ$224</definedName>
    <definedName name="v_82_GO2">Model!$CG$224</definedName>
    <definedName name="v_82_GO2_atm">Model!$CO$224</definedName>
    <definedName name="v_82_SALPHA">Model!$CB$224</definedName>
    <definedName name="v_82_SAN">Model!$AY$224</definedName>
    <definedName name="v_82_SB">Model!$F$224</definedName>
    <definedName name="v_82_SCa">Model!$AZ$224</definedName>
    <definedName name="v_82_SCAT">Model!$AX$224</definedName>
    <definedName name="v_82_SCH4">Model!$AT$224</definedName>
    <definedName name="v_82_SCO2">Model!$AV$224</definedName>
    <definedName name="v_82_SFe2">Model!$BC$224</definedName>
    <definedName name="v_82_SH">Model!$CA$224</definedName>
    <definedName name="v_82_SH2">Model!$AU$224</definedName>
    <definedName name="v_82_SK">Model!$BB$224</definedName>
    <definedName name="v_82_SMEOL">Model!$G$224</definedName>
    <definedName name="v_82_SMg">Model!$BA$224</definedName>
    <definedName name="v_82_SN_B">Model!$AI$224</definedName>
    <definedName name="v_82_SN2">Model!$AH$224</definedName>
    <definedName name="v_82_SN2O">Model!$AG$224</definedName>
    <definedName name="v_82_SNH2OH">Model!$AB$224</definedName>
    <definedName name="v_82_SNHx">Model!$AA$224</definedName>
    <definedName name="v_82_SNO_AOB">Model!$AE$224</definedName>
    <definedName name="v_82_SNO_OHO">Model!$AF$224</definedName>
    <definedName name="v_82_SNO2">Model!$AD$224</definedName>
    <definedName name="v_82_SNO3">Model!$AC$224</definedName>
    <definedName name="v_82_SO2">Model!$AS$224</definedName>
    <definedName name="v_82_SORPswitch">Model!$CC$224</definedName>
    <definedName name="v_82_SP_B">Model!$AO$224</definedName>
    <definedName name="v_82_SPFOA">Model!$BW$224</definedName>
    <definedName name="v_82_SPFOS">Model!$BY$224</definedName>
    <definedName name="v_82_SPO4">Model!$AM$224</definedName>
    <definedName name="v_82_SU">Model!$K$224</definedName>
    <definedName name="v_82_SVFA">Model!$E$224</definedName>
    <definedName name="v_82_XACP">Model!$BS$224</definedName>
    <definedName name="v_82_XALGAE">Model!$Z$224</definedName>
    <definedName name="v_82_XAMETO">Model!$X$224</definedName>
    <definedName name="v_82_XAMX">Model!$W$224</definedName>
    <definedName name="v_82_XAOB">Model!$U$224</definedName>
    <definedName name="v_82_XB">Model!$I$224</definedName>
    <definedName name="v_82_XB_e">Model!$J$224</definedName>
    <definedName name="v_82_XBSH">Model!$BT$224</definedName>
    <definedName name="v_82_XCaCO3">Model!$BR$224</definedName>
    <definedName name="v_82_XCASTO">Model!$S$224</definedName>
    <definedName name="v_82_XE">Model!$P$224</definedName>
    <definedName name="v_82_XE_ana">Model!$Q$224</definedName>
    <definedName name="v_82_XHAO_H">Model!$BK$224</definedName>
    <definedName name="v_82_XHAO_H_P">Model!$BN$224</definedName>
    <definedName name="v_82_XHAO_H_P_old">Model!$BP$224</definedName>
    <definedName name="v_82_XHAO_L">Model!$BL$224</definedName>
    <definedName name="v_82_XHAO_L_P">Model!$BO$224</definedName>
    <definedName name="v_82_XHAO_L_P_old">Model!$BQ$224</definedName>
    <definedName name="v_82_XHAO_old">Model!$BM$224</definedName>
    <definedName name="v_82_XHFO_H">Model!$BD$224</definedName>
    <definedName name="v_82_XHFO_H_P">Model!$BG$224</definedName>
    <definedName name="v_82_XHFO_H_P_old">Model!$BI$224</definedName>
    <definedName name="v_82_XHFO_L">Model!$BE$224</definedName>
    <definedName name="v_82_XHFO_L_P">Model!$BH$224</definedName>
    <definedName name="v_82_XHFO_L_P_old">Model!$BJ$224</definedName>
    <definedName name="v_82_XHFO_old">Model!$BF$224</definedName>
    <definedName name="v_82_XHMETO">Model!$Y$224</definedName>
    <definedName name="v_82_XINORG">Model!$AW$224</definedName>
    <definedName name="v_82_XMEOLO">Model!$T$224</definedName>
    <definedName name="v_82_XN_B">Model!$AJ$224</definedName>
    <definedName name="v_82_XN_Be">Model!$AK$224</definedName>
    <definedName name="v_82_XN_U">Model!$AL$224</definedName>
    <definedName name="v_82_XNOB">Model!$V$224</definedName>
    <definedName name="v_82_XOHO">Model!$R$224</definedName>
    <definedName name="v_82_XP_B">Model!$AP$224</definedName>
    <definedName name="v_82_XP_Be">Model!$AQ$224</definedName>
    <definedName name="v_82_XP_U">Model!$AR$224</definedName>
    <definedName name="v_82_XPFOA">Model!$BX$224</definedName>
    <definedName name="v_82_XPFOS">Model!$BZ$224</definedName>
    <definedName name="v_82_XPHA_GAO">Model!$O$224</definedName>
    <definedName name="v_82_XPHA_PAO">Model!$N$224</definedName>
    <definedName name="v_82_XPP">Model!$AN$224</definedName>
    <definedName name="v_82_XSTR">Model!$BU$224</definedName>
    <definedName name="v_82_XU">Model!$M$224</definedName>
    <definedName name="v_82_XVivi">Model!$BV$224</definedName>
    <definedName name="v_83_CB">Model!$H$225</definedName>
    <definedName name="v_83_CU">Model!$L$225</definedName>
    <definedName name="v_83_GCH4">Model!$CE$225</definedName>
    <definedName name="v_83_GCH4_atm">Model!$CM$225</definedName>
    <definedName name="v_83_GCO2">Model!$CD$225</definedName>
    <definedName name="v_83_GCO2_atm">Model!$CL$225</definedName>
    <definedName name="v_83_GH2">Model!$CF$225</definedName>
    <definedName name="v_83_GH2_atm">Model!$CN$225</definedName>
    <definedName name="v_83_GN2">Model!$CK$225</definedName>
    <definedName name="v_83_GN2_atm">Model!$CS$225</definedName>
    <definedName name="v_83_GN2O">Model!$CJ$225</definedName>
    <definedName name="v_83_GN2O_atm">Model!$CR$225</definedName>
    <definedName name="v_83_GNH3">Model!$CH$225</definedName>
    <definedName name="v_83_GNH3_atm">Model!$CP$225</definedName>
    <definedName name="v_83_GNO">Model!$CI$225</definedName>
    <definedName name="v_83_GNO_atm">Model!$CQ$225</definedName>
    <definedName name="v_83_GO2">Model!$CG$225</definedName>
    <definedName name="v_83_GO2_atm">Model!$CO$225</definedName>
    <definedName name="v_83_SALPHA">Model!$CB$225</definedName>
    <definedName name="v_83_SAN">Model!$AY$225</definedName>
    <definedName name="v_83_SB">Model!$F$225</definedName>
    <definedName name="v_83_SCa">Model!$AZ$225</definedName>
    <definedName name="v_83_SCAT">Model!$AX$225</definedName>
    <definedName name="v_83_SCH4">Model!$AT$225</definedName>
    <definedName name="v_83_SCO2">Model!$AV$225</definedName>
    <definedName name="v_83_SFe2">Model!$BC$225</definedName>
    <definedName name="v_83_SH">Model!$CA$225</definedName>
    <definedName name="v_83_SH2">Model!$AU$225</definedName>
    <definedName name="v_83_SK">Model!$BB$225</definedName>
    <definedName name="v_83_SMEOL">Model!$G$225</definedName>
    <definedName name="v_83_SMg">Model!$BA$225</definedName>
    <definedName name="v_83_SN_B">Model!$AI$225</definedName>
    <definedName name="v_83_SN2">Model!$AH$225</definedName>
    <definedName name="v_83_SN2O">Model!$AG$225</definedName>
    <definedName name="v_83_SNH2OH">Model!$AB$225</definedName>
    <definedName name="v_83_SNHx">Model!$AA$225</definedName>
    <definedName name="v_83_SNO_AOB">Model!$AE$225</definedName>
    <definedName name="v_83_SNO_OHO">Model!$AF$225</definedName>
    <definedName name="v_83_SNO2">Model!$AD$225</definedName>
    <definedName name="v_83_SNO3">Model!$AC$225</definedName>
    <definedName name="v_83_SO2">Model!$AS$225</definedName>
    <definedName name="v_83_SORPswitch">Model!$CC$225</definedName>
    <definedName name="v_83_SP_B">Model!$AO$225</definedName>
    <definedName name="v_83_SPFOA">Model!$BW$225</definedName>
    <definedName name="v_83_SPFOS">Model!$BY$225</definedName>
    <definedName name="v_83_SPO4">Model!$AM$225</definedName>
    <definedName name="v_83_SU">Model!$K$225</definedName>
    <definedName name="v_83_SVFA">Model!$E$225</definedName>
    <definedName name="v_83_XACP">Model!$BS$225</definedName>
    <definedName name="v_83_XALGAE">Model!$Z$225</definedName>
    <definedName name="v_83_XAMETO">Model!$X$225</definedName>
    <definedName name="v_83_XAMX">Model!$W$225</definedName>
    <definedName name="v_83_XAOB">Model!$U$225</definedName>
    <definedName name="v_83_XB">Model!$I$225</definedName>
    <definedName name="v_83_XB_e">Model!$J$225</definedName>
    <definedName name="v_83_XBSH">Model!$BT$225</definedName>
    <definedName name="v_83_XCaCO3">Model!$BR$225</definedName>
    <definedName name="v_83_XCASTO">Model!$S$225</definedName>
    <definedName name="v_83_XE">Model!$P$225</definedName>
    <definedName name="v_83_XE_ana">Model!$Q$225</definedName>
    <definedName name="v_83_XHAO_H">Model!$BK$225</definedName>
    <definedName name="v_83_XHAO_H_P">Model!$BN$225</definedName>
    <definedName name="v_83_XHAO_H_P_old">Model!$BP$225</definedName>
    <definedName name="v_83_XHAO_L">Model!$BL$225</definedName>
    <definedName name="v_83_XHAO_L_P">Model!$BO$225</definedName>
    <definedName name="v_83_XHAO_L_P_old">Model!$BQ$225</definedName>
    <definedName name="v_83_XHAO_old">Model!$BM$225</definedName>
    <definedName name="v_83_XHFO_H">Model!$BD$225</definedName>
    <definedName name="v_83_XHFO_H_P">Model!$BG$225</definedName>
    <definedName name="v_83_XHFO_H_P_old">Model!$BI$225</definedName>
    <definedName name="v_83_XHFO_L">Model!$BE$225</definedName>
    <definedName name="v_83_XHFO_L_P">Model!$BH$225</definedName>
    <definedName name="v_83_XHFO_L_P_old">Model!$BJ$225</definedName>
    <definedName name="v_83_XHFO_old">Model!$BF$225</definedName>
    <definedName name="v_83_XHMETO">Model!$Y$225</definedName>
    <definedName name="v_83_XINORG">Model!$AW$225</definedName>
    <definedName name="v_83_XMEOLO">Model!$T$225</definedName>
    <definedName name="v_83_XN_B">Model!$AJ$225</definedName>
    <definedName name="v_83_XN_Be">Model!$AK$225</definedName>
    <definedName name="v_83_XN_U">Model!$AL$225</definedName>
    <definedName name="v_83_XNOB">Model!$V$225</definedName>
    <definedName name="v_83_XOHO">Model!$R$225</definedName>
    <definedName name="v_83_XP_B">Model!$AP$225</definedName>
    <definedName name="v_83_XP_Be">Model!$AQ$225</definedName>
    <definedName name="v_83_XP_U">Model!$AR$225</definedName>
    <definedName name="v_83_XPFOA">Model!$BX$225</definedName>
    <definedName name="v_83_XPFOS">Model!$BZ$225</definedName>
    <definedName name="v_83_XPHA_GAO">Model!$O$225</definedName>
    <definedName name="v_83_XPHA_PAO">Model!$N$225</definedName>
    <definedName name="v_83_XPP">Model!$AN$225</definedName>
    <definedName name="v_83_XSTR">Model!$BU$225</definedName>
    <definedName name="v_83_XU">Model!$M$225</definedName>
    <definedName name="v_83_XVivi">Model!$BV$225</definedName>
    <definedName name="v_84_CB">Model!$H$226</definedName>
    <definedName name="v_84_CU">Model!$L$226</definedName>
    <definedName name="v_84_GCH4">Model!$CE$226</definedName>
    <definedName name="v_84_GCH4_atm">Model!$CM$226</definedName>
    <definedName name="v_84_GCO2">Model!$CD$226</definedName>
    <definedName name="v_84_GCO2_atm">Model!$CL$226</definedName>
    <definedName name="v_84_GH2">Model!$CF$226</definedName>
    <definedName name="v_84_GH2_atm">Model!$CN$226</definedName>
    <definedName name="v_84_GN2">Model!$CK$226</definedName>
    <definedName name="v_84_GN2_atm">Model!$CS$226</definedName>
    <definedName name="v_84_GN2O">Model!$CJ$226</definedName>
    <definedName name="v_84_GN2O_atm">Model!$CR$226</definedName>
    <definedName name="v_84_GNH3">Model!$CH$226</definedName>
    <definedName name="v_84_GNH3_atm">Model!$CP$226</definedName>
    <definedName name="v_84_GNO">Model!$CI$226</definedName>
    <definedName name="v_84_GNO_atm">Model!$CQ$226</definedName>
    <definedName name="v_84_GO2">Model!$CG$226</definedName>
    <definedName name="v_84_GO2_atm">Model!$CO$226</definedName>
    <definedName name="v_84_SALPHA">Model!$CB$226</definedName>
    <definedName name="v_84_SAN">Model!$AY$226</definedName>
    <definedName name="v_84_SB">Model!$F$226</definedName>
    <definedName name="v_84_SCa">Model!$AZ$226</definedName>
    <definedName name="v_84_SCAT">Model!$AX$226</definedName>
    <definedName name="v_84_SCH4">Model!$AT$226</definedName>
    <definedName name="v_84_SCO2">Model!$AV$226</definedName>
    <definedName name="v_84_SFe2">Model!$BC$226</definedName>
    <definedName name="v_84_SH">Model!$CA$226</definedName>
    <definedName name="v_84_SH2">Model!$AU$226</definedName>
    <definedName name="v_84_SK">Model!$BB$226</definedName>
    <definedName name="v_84_SMEOL">Model!$G$226</definedName>
    <definedName name="v_84_SMg">Model!$BA$226</definedName>
    <definedName name="v_84_SN_B">Model!$AI$226</definedName>
    <definedName name="v_84_SN2">Model!$AH$226</definedName>
    <definedName name="v_84_SN2O">Model!$AG$226</definedName>
    <definedName name="v_84_SNH2OH">Model!$AB$226</definedName>
    <definedName name="v_84_SNHx">Model!$AA$226</definedName>
    <definedName name="v_84_SNO_AOB">Model!$AE$226</definedName>
    <definedName name="v_84_SNO_OHO">Model!$AF$226</definedName>
    <definedName name="v_84_SNO2">Model!$AD$226</definedName>
    <definedName name="v_84_SNO3">Model!$AC$226</definedName>
    <definedName name="v_84_SO2">Model!$AS$226</definedName>
    <definedName name="v_84_SORPswitch">Model!$CC$226</definedName>
    <definedName name="v_84_SP_B">Model!$AO$226</definedName>
    <definedName name="v_84_SPFOA">Model!$BW$226</definedName>
    <definedName name="v_84_SPFOS">Model!$BY$226</definedName>
    <definedName name="v_84_SPO4">Model!$AM$226</definedName>
    <definedName name="v_84_SU">Model!$K$226</definedName>
    <definedName name="v_84_SVFA">Model!$E$226</definedName>
    <definedName name="v_84_XACP">Model!$BS$226</definedName>
    <definedName name="v_84_XALGAE">Model!$Z$226</definedName>
    <definedName name="v_84_XAMETO">Model!$X$226</definedName>
    <definedName name="v_84_XAMX">Model!$W$226</definedName>
    <definedName name="v_84_XAOB">Model!$U$226</definedName>
    <definedName name="v_84_XB">Model!$I$226</definedName>
    <definedName name="v_84_XB_e">Model!$J$226</definedName>
    <definedName name="v_84_XBSH">Model!$BT$226</definedName>
    <definedName name="v_84_XCaCO3">Model!$BR$226</definedName>
    <definedName name="v_84_XCASTO">Model!$S$226</definedName>
    <definedName name="v_84_XE">Model!$P$226</definedName>
    <definedName name="v_84_XE_ana">Model!$Q$226</definedName>
    <definedName name="v_84_XHAO_H">Model!$BK$226</definedName>
    <definedName name="v_84_XHAO_H_P">Model!$BN$226</definedName>
    <definedName name="v_84_XHAO_H_P_old">Model!$BP$226</definedName>
    <definedName name="v_84_XHAO_L">Model!$BL$226</definedName>
    <definedName name="v_84_XHAO_L_P">Model!$BO$226</definedName>
    <definedName name="v_84_XHAO_L_P_old">Model!$BQ$226</definedName>
    <definedName name="v_84_XHAO_old">Model!$BM$226</definedName>
    <definedName name="v_84_XHFO_H">Model!$BD$226</definedName>
    <definedName name="v_84_XHFO_H_P">Model!$BG$226</definedName>
    <definedName name="v_84_XHFO_H_P_old">Model!$BI$226</definedName>
    <definedName name="v_84_XHFO_L">Model!$BE$226</definedName>
    <definedName name="v_84_XHFO_L_P">Model!$BH$226</definedName>
    <definedName name="v_84_XHFO_L_P_old">Model!$BJ$226</definedName>
    <definedName name="v_84_XHFO_old">Model!$BF$226</definedName>
    <definedName name="v_84_XHMETO">Model!$Y$226</definedName>
    <definedName name="v_84_XINORG">Model!$AW$226</definedName>
    <definedName name="v_84_XMEOLO">Model!$T$226</definedName>
    <definedName name="v_84_XN_B">Model!$AJ$226</definedName>
    <definedName name="v_84_XN_Be">Model!$AK$226</definedName>
    <definedName name="v_84_XN_U">Model!$AL$226</definedName>
    <definedName name="v_84_XNOB">Model!$V$226</definedName>
    <definedName name="v_84_XOHO">Model!$R$226</definedName>
    <definedName name="v_84_XP_B">Model!$AP$226</definedName>
    <definedName name="v_84_XP_Be">Model!$AQ$226</definedName>
    <definedName name="v_84_XP_U">Model!$AR$226</definedName>
    <definedName name="v_84_XPFOA">Model!$BX$226</definedName>
    <definedName name="v_84_XPFOS">Model!$BZ$226</definedName>
    <definedName name="v_84_XPHA_GAO">Model!$O$226</definedName>
    <definedName name="v_84_XPHA_PAO">Model!$N$226</definedName>
    <definedName name="v_84_XPP">Model!$AN$226</definedName>
    <definedName name="v_84_XSTR">Model!$BU$226</definedName>
    <definedName name="v_84_XU">Model!$M$226</definedName>
    <definedName name="v_84_XVivi">Model!$BV$226</definedName>
    <definedName name="v_85_CB">Model!$H$227</definedName>
    <definedName name="v_85_CU">Model!$L$227</definedName>
    <definedName name="v_85_GCH4">Model!$CE$227</definedName>
    <definedName name="v_85_GCH4_atm">Model!$CM$227</definedName>
    <definedName name="v_85_GCO2">Model!$CD$227</definedName>
    <definedName name="v_85_GCO2_atm">Model!$CL$227</definedName>
    <definedName name="v_85_GH2">Model!$CF$227</definedName>
    <definedName name="v_85_GH2_atm">Model!$CN$227</definedName>
    <definedName name="v_85_GN2">Model!$CK$227</definedName>
    <definedName name="v_85_GN2_atm">Model!$CS$227</definedName>
    <definedName name="v_85_GN2O">Model!$CJ$227</definedName>
    <definedName name="v_85_GN2O_atm">Model!$CR$227</definedName>
    <definedName name="v_85_GNH3">Model!$CH$227</definedName>
    <definedName name="v_85_GNH3_atm">Model!$CP$227</definedName>
    <definedName name="v_85_GNO">Model!$CI$227</definedName>
    <definedName name="v_85_GNO_atm">Model!$CQ$227</definedName>
    <definedName name="v_85_GO2">Model!$CG$227</definedName>
    <definedName name="v_85_GO2_atm">Model!$CO$227</definedName>
    <definedName name="v_85_SALPHA">Model!$CB$227</definedName>
    <definedName name="v_85_SAN">Model!$AY$227</definedName>
    <definedName name="v_85_SB">Model!$F$227</definedName>
    <definedName name="v_85_SCa">Model!$AZ$227</definedName>
    <definedName name="v_85_SCAT">Model!$AX$227</definedName>
    <definedName name="v_85_SCH4">Model!$AT$227</definedName>
    <definedName name="v_85_SCO2">Model!$AV$227</definedName>
    <definedName name="v_85_SFe2">Model!$BC$227</definedName>
    <definedName name="v_85_SH">Model!$CA$227</definedName>
    <definedName name="v_85_SH2">Model!$AU$227</definedName>
    <definedName name="v_85_SK">Model!$BB$227</definedName>
    <definedName name="v_85_SMEOL">Model!$G$227</definedName>
    <definedName name="v_85_SMg">Model!$BA$227</definedName>
    <definedName name="v_85_SN_B">Model!$AI$227</definedName>
    <definedName name="v_85_SN2">Model!$AH$227</definedName>
    <definedName name="v_85_SN2O">Model!$AG$227</definedName>
    <definedName name="v_85_SNH2OH">Model!$AB$227</definedName>
    <definedName name="v_85_SNHx">Model!$AA$227</definedName>
    <definedName name="v_85_SNO_AOB">Model!$AE$227</definedName>
    <definedName name="v_85_SNO_OHO">Model!$AF$227</definedName>
    <definedName name="v_85_SNO2">Model!$AD$227</definedName>
    <definedName name="v_85_SNO3">Model!$AC$227</definedName>
    <definedName name="v_85_SO2">Model!$AS$227</definedName>
    <definedName name="v_85_SORPswitch">Model!$CC$227</definedName>
    <definedName name="v_85_SP_B">Model!$AO$227</definedName>
    <definedName name="v_85_SPFOA">Model!$BW$227</definedName>
    <definedName name="v_85_SPFOS">Model!$BY$227</definedName>
    <definedName name="v_85_SPO4">Model!$AM$227</definedName>
    <definedName name="v_85_SU">Model!$K$227</definedName>
    <definedName name="v_85_SVFA">Model!$E$227</definedName>
    <definedName name="v_85_XACP">Model!$BS$227</definedName>
    <definedName name="v_85_XALGAE">Model!$Z$227</definedName>
    <definedName name="v_85_XAMETO">Model!$X$227</definedName>
    <definedName name="v_85_XAMX">Model!$W$227</definedName>
    <definedName name="v_85_XAOB">Model!$U$227</definedName>
    <definedName name="v_85_XB">Model!$I$227</definedName>
    <definedName name="v_85_XB_e">Model!$J$227</definedName>
    <definedName name="v_85_XBSH">Model!$BT$227</definedName>
    <definedName name="v_85_XCaCO3">Model!$BR$227</definedName>
    <definedName name="v_85_XCASTO">Model!$S$227</definedName>
    <definedName name="v_85_XE">Model!$P$227</definedName>
    <definedName name="v_85_XE_ana">Model!$Q$227</definedName>
    <definedName name="v_85_XHAO_H">Model!$BK$227</definedName>
    <definedName name="v_85_XHAO_H_P">Model!$BN$227</definedName>
    <definedName name="v_85_XHAO_H_P_old">Model!$BP$227</definedName>
    <definedName name="v_85_XHAO_L">Model!$BL$227</definedName>
    <definedName name="v_85_XHAO_L_P">Model!$BO$227</definedName>
    <definedName name="v_85_XHAO_L_P_old">Model!$BQ$227</definedName>
    <definedName name="v_85_XHAO_old">Model!$BM$227</definedName>
    <definedName name="v_85_XHFO_H">Model!$BD$227</definedName>
    <definedName name="v_85_XHFO_H_P">Model!$BG$227</definedName>
    <definedName name="v_85_XHFO_H_P_old">Model!$BI$227</definedName>
    <definedName name="v_85_XHFO_L">Model!$BE$227</definedName>
    <definedName name="v_85_XHFO_L_P">Model!$BH$227</definedName>
    <definedName name="v_85_XHFO_L_P_old">Model!$BJ$227</definedName>
    <definedName name="v_85_XHFO_old">Model!$BF$227</definedName>
    <definedName name="v_85_XHMETO">Model!$Y$227</definedName>
    <definedName name="v_85_XINORG">Model!$AW$227</definedName>
    <definedName name="v_85_XMEOLO">Model!$T$227</definedName>
    <definedName name="v_85_XN_B">Model!$AJ$227</definedName>
    <definedName name="v_85_XN_Be">Model!$AK$227</definedName>
    <definedName name="v_85_XN_U">Model!$AL$227</definedName>
    <definedName name="v_85_XNOB">Model!$V$227</definedName>
    <definedName name="v_85_XOHO">Model!$R$227</definedName>
    <definedName name="v_85_XP_B">Model!$AP$227</definedName>
    <definedName name="v_85_XP_Be">Model!$AQ$227</definedName>
    <definedName name="v_85_XP_U">Model!$AR$227</definedName>
    <definedName name="v_85_XPFOA">Model!$BX$227</definedName>
    <definedName name="v_85_XPFOS">Model!$BZ$227</definedName>
    <definedName name="v_85_XPHA_GAO">Model!$O$227</definedName>
    <definedName name="v_85_XPHA_PAO">Model!$N$227</definedName>
    <definedName name="v_85_XPP">Model!$AN$227</definedName>
    <definedName name="v_85_XSTR">Model!$BU$227</definedName>
    <definedName name="v_85_XU">Model!$M$227</definedName>
    <definedName name="v_85_XVivi">Model!$BV$227</definedName>
    <definedName name="v_86_CB">Model!$H$228</definedName>
    <definedName name="v_86_CU">Model!$L$228</definedName>
    <definedName name="v_86_GCH4">Model!$CE$228</definedName>
    <definedName name="v_86_GCH4_atm">Model!$CM$228</definedName>
    <definedName name="v_86_GCO2">Model!$CD$228</definedName>
    <definedName name="v_86_GCO2_atm">Model!$CL$228</definedName>
    <definedName name="v_86_GH2">Model!$CF$228</definedName>
    <definedName name="v_86_GH2_atm">Model!$CN$228</definedName>
    <definedName name="v_86_GN2">Model!$CK$228</definedName>
    <definedName name="v_86_GN2_atm">Model!$CS$228</definedName>
    <definedName name="v_86_GN2O">Model!$CJ$228</definedName>
    <definedName name="v_86_GN2O_atm">Model!$CR$228</definedName>
    <definedName name="v_86_GNH3">Model!$CH$228</definedName>
    <definedName name="v_86_GNH3_atm">Model!$CP$228</definedName>
    <definedName name="v_86_GNO">Model!$CI$228</definedName>
    <definedName name="v_86_GNO_atm">Model!$CQ$228</definedName>
    <definedName name="v_86_GO2">Model!$CG$228</definedName>
    <definedName name="v_86_GO2_atm">Model!$CO$228</definedName>
    <definedName name="v_86_SALPHA">Model!$CB$228</definedName>
    <definedName name="v_86_SAN">Model!$AY$228</definedName>
    <definedName name="v_86_SB">Model!$F$228</definedName>
    <definedName name="v_86_SCa">Model!$AZ$228</definedName>
    <definedName name="v_86_SCAT">Model!$AX$228</definedName>
    <definedName name="v_86_SCH4">Model!$AT$228</definedName>
    <definedName name="v_86_SCO2">Model!$AV$228</definedName>
    <definedName name="v_86_SFe2">Model!$BC$228</definedName>
    <definedName name="v_86_SH">Model!$CA$228</definedName>
    <definedName name="v_86_SH2">Model!$AU$228</definedName>
    <definedName name="v_86_SK">Model!$BB$228</definedName>
    <definedName name="v_86_SMEOL">Model!$G$228</definedName>
    <definedName name="v_86_SMg">Model!$BA$228</definedName>
    <definedName name="v_86_SN_B">Model!$AI$228</definedName>
    <definedName name="v_86_SN2">Model!$AH$228</definedName>
    <definedName name="v_86_SN2O">Model!$AG$228</definedName>
    <definedName name="v_86_SNH2OH">Model!$AB$228</definedName>
    <definedName name="v_86_SNHx">Model!$AA$228</definedName>
    <definedName name="v_86_SNO_AOB">Model!$AE$228</definedName>
    <definedName name="v_86_SNO_OHO">Model!$AF$228</definedName>
    <definedName name="v_86_SNO2">Model!$AD$228</definedName>
    <definedName name="v_86_SNO3">Model!$AC$228</definedName>
    <definedName name="v_86_SO2">Model!$AS$228</definedName>
    <definedName name="v_86_SORPswitch">Model!$CC$228</definedName>
    <definedName name="v_86_SP_B">Model!$AO$228</definedName>
    <definedName name="v_86_SPFOA">Model!$BW$228</definedName>
    <definedName name="v_86_SPFOS">Model!$BY$228</definedName>
    <definedName name="v_86_SPO4">Model!$AM$228</definedName>
    <definedName name="v_86_SU">Model!$K$228</definedName>
    <definedName name="v_86_SVFA">Model!$E$228</definedName>
    <definedName name="v_86_XACP">Model!$BS$228</definedName>
    <definedName name="v_86_XALGAE">Model!$Z$228</definedName>
    <definedName name="v_86_XAMETO">Model!$X$228</definedName>
    <definedName name="v_86_XAMX">Model!$W$228</definedName>
    <definedName name="v_86_XAOB">Model!$U$228</definedName>
    <definedName name="v_86_XB">Model!$I$228</definedName>
    <definedName name="v_86_XB_e">Model!$J$228</definedName>
    <definedName name="v_86_XBSH">Model!$BT$228</definedName>
    <definedName name="v_86_XCaCO3">Model!$BR$228</definedName>
    <definedName name="v_86_XCASTO">Model!$S$228</definedName>
    <definedName name="v_86_XE">Model!$P$228</definedName>
    <definedName name="v_86_XE_ana">Model!$Q$228</definedName>
    <definedName name="v_86_XHAO_H">Model!$BK$228</definedName>
    <definedName name="v_86_XHAO_H_P">Model!$BN$228</definedName>
    <definedName name="v_86_XHAO_H_P_old">Model!$BP$228</definedName>
    <definedName name="v_86_XHAO_L">Model!$BL$228</definedName>
    <definedName name="v_86_XHAO_L_P">Model!$BO$228</definedName>
    <definedName name="v_86_XHAO_L_P_old">Model!$BQ$228</definedName>
    <definedName name="v_86_XHAO_old">Model!$BM$228</definedName>
    <definedName name="v_86_XHFO_H">Model!$BD$228</definedName>
    <definedName name="v_86_XHFO_H_P">Model!$BG$228</definedName>
    <definedName name="v_86_XHFO_H_P_old">Model!$BI$228</definedName>
    <definedName name="v_86_XHFO_L">Model!$BE$228</definedName>
    <definedName name="v_86_XHFO_L_P">Model!$BH$228</definedName>
    <definedName name="v_86_XHFO_L_P_old">Model!$BJ$228</definedName>
    <definedName name="v_86_XHFO_old">Model!$BF$228</definedName>
    <definedName name="v_86_XHMETO">Model!$Y$228</definedName>
    <definedName name="v_86_XINORG">Model!$AW$228</definedName>
    <definedName name="v_86_XMEOLO">Model!$T$228</definedName>
    <definedName name="v_86_XN_B">Model!$AJ$228</definedName>
    <definedName name="v_86_XN_Be">Model!$AK$228</definedName>
    <definedName name="v_86_XN_U">Model!$AL$228</definedName>
    <definedName name="v_86_XNOB">Model!$V$228</definedName>
    <definedName name="v_86_XOHO">Model!$R$228</definedName>
    <definedName name="v_86_XP_B">Model!$AP$228</definedName>
    <definedName name="v_86_XP_Be">Model!$AQ$228</definedName>
    <definedName name="v_86_XP_U">Model!$AR$228</definedName>
    <definedName name="v_86_XPFOA">Model!$BX$228</definedName>
    <definedName name="v_86_XPFOS">Model!$BZ$228</definedName>
    <definedName name="v_86_XPHA_GAO">Model!$O$228</definedName>
    <definedName name="v_86_XPHA_PAO">Model!$N$228</definedName>
    <definedName name="v_86_XPP">Model!$AN$228</definedName>
    <definedName name="v_86_XSTR">Model!$BU$228</definedName>
    <definedName name="v_86_XU">Model!$M$228</definedName>
    <definedName name="v_86_XVivi">Model!$BV$228</definedName>
    <definedName name="v_87_CB">Model!$H$229</definedName>
    <definedName name="v_87_CU">Model!$L$229</definedName>
    <definedName name="v_87_GCH4">Model!$CE$229</definedName>
    <definedName name="v_87_GCH4_atm">Model!$CM$229</definedName>
    <definedName name="v_87_GCO2">Model!$CD$229</definedName>
    <definedName name="v_87_GCO2_atm">Model!$CL$229</definedName>
    <definedName name="v_87_GH2">Model!$CF$229</definedName>
    <definedName name="v_87_GH2_atm">Model!$CN$229</definedName>
    <definedName name="v_87_GN2">Model!$CK$229</definedName>
    <definedName name="v_87_GN2_atm">Model!$CS$229</definedName>
    <definedName name="v_87_GN2O">Model!$CJ$229</definedName>
    <definedName name="v_87_GN2O_atm">Model!$CR$229</definedName>
    <definedName name="v_87_GNH3">Model!$CH$229</definedName>
    <definedName name="v_87_GNH3_atm">Model!$CP$229</definedName>
    <definedName name="v_87_GNO">Model!$CI$229</definedName>
    <definedName name="v_87_GNO_atm">Model!$CQ$229</definedName>
    <definedName name="v_87_GO2">Model!$CG$229</definedName>
    <definedName name="v_87_GO2_atm">Model!$CO$229</definedName>
    <definedName name="v_87_SALPHA">Model!$CB$229</definedName>
    <definedName name="v_87_SAN">Model!$AY$229</definedName>
    <definedName name="v_87_SB">Model!$F$229</definedName>
    <definedName name="v_87_SCa">Model!$AZ$229</definedName>
    <definedName name="v_87_SCAT">Model!$AX$229</definedName>
    <definedName name="v_87_SCH4">Model!$AT$229</definedName>
    <definedName name="v_87_SCO2">Model!$AV$229</definedName>
    <definedName name="v_87_SFe2">Model!$BC$229</definedName>
    <definedName name="v_87_SH">Model!$CA$229</definedName>
    <definedName name="v_87_SH2">Model!$AU$229</definedName>
    <definedName name="v_87_SK">Model!$BB$229</definedName>
    <definedName name="v_87_SMEOL">Model!$G$229</definedName>
    <definedName name="v_87_SMg">Model!$BA$229</definedName>
    <definedName name="v_87_SN_B">Model!$AI$229</definedName>
    <definedName name="v_87_SN2">Model!$AH$229</definedName>
    <definedName name="v_87_SN2O">Model!$AG$229</definedName>
    <definedName name="v_87_SNH2OH">Model!$AB$229</definedName>
    <definedName name="v_87_SNHx">Model!$AA$229</definedName>
    <definedName name="v_87_SNO_AOB">Model!$AE$229</definedName>
    <definedName name="v_87_SNO_OHO">Model!$AF$229</definedName>
    <definedName name="v_87_SNO2">Model!$AD$229</definedName>
    <definedName name="v_87_SNO3">Model!$AC$229</definedName>
    <definedName name="v_87_SO2">Model!$AS$229</definedName>
    <definedName name="v_87_SORPswitch">Model!$CC$229</definedName>
    <definedName name="v_87_SP_B">Model!$AO$229</definedName>
    <definedName name="v_87_SPFOA">Model!$BW$229</definedName>
    <definedName name="v_87_SPFOS">Model!$BY$229</definedName>
    <definedName name="v_87_SPO4">Model!$AM$229</definedName>
    <definedName name="v_87_SU">Model!$K$229</definedName>
    <definedName name="v_87_SVFA">Model!$E$229</definedName>
    <definedName name="v_87_XACP">Model!$BS$229</definedName>
    <definedName name="v_87_XALGAE">Model!$Z$229</definedName>
    <definedName name="v_87_XAMETO">Model!$X$229</definedName>
    <definedName name="v_87_XAMX">Model!$W$229</definedName>
    <definedName name="v_87_XAOB">Model!$U$229</definedName>
    <definedName name="v_87_XB">Model!$I$229</definedName>
    <definedName name="v_87_XB_e">Model!$J$229</definedName>
    <definedName name="v_87_XBSH">Model!$BT$229</definedName>
    <definedName name="v_87_XCaCO3">Model!$BR$229</definedName>
    <definedName name="v_87_XCASTO">Model!$S$229</definedName>
    <definedName name="v_87_XE">Model!$P$229</definedName>
    <definedName name="v_87_XE_ana">Model!$Q$229</definedName>
    <definedName name="v_87_XHAO_H">Model!$BK$229</definedName>
    <definedName name="v_87_XHAO_H_P">Model!$BN$229</definedName>
    <definedName name="v_87_XHAO_H_P_old">Model!$BP$229</definedName>
    <definedName name="v_87_XHAO_L">Model!$BL$229</definedName>
    <definedName name="v_87_XHAO_L_P">Model!$BO$229</definedName>
    <definedName name="v_87_XHAO_L_P_old">Model!$BQ$229</definedName>
    <definedName name="v_87_XHAO_old">Model!$BM$229</definedName>
    <definedName name="v_87_XHFO_H">Model!$BD$229</definedName>
    <definedName name="v_87_XHFO_H_P">Model!$BG$229</definedName>
    <definedName name="v_87_XHFO_H_P_old">Model!$BI$229</definedName>
    <definedName name="v_87_XHFO_L">Model!$BE$229</definedName>
    <definedName name="v_87_XHFO_L_P">Model!$BH$229</definedName>
    <definedName name="v_87_XHFO_L_P_old">Model!$BJ$229</definedName>
    <definedName name="v_87_XHFO_old">Model!$BF$229</definedName>
    <definedName name="v_87_XHMETO">Model!$Y$229</definedName>
    <definedName name="v_87_XINORG">Model!$AW$229</definedName>
    <definedName name="v_87_XMEOLO">Model!$T$229</definedName>
    <definedName name="v_87_XN_B">Model!$AJ$229</definedName>
    <definedName name="v_87_XN_Be">Model!$AK$229</definedName>
    <definedName name="v_87_XN_U">Model!$AL$229</definedName>
    <definedName name="v_87_XNOB">Model!$V$229</definedName>
    <definedName name="v_87_XOHO">Model!$R$229</definedName>
    <definedName name="v_87_XP_B">Model!$AP$229</definedName>
    <definedName name="v_87_XP_Be">Model!$AQ$229</definedName>
    <definedName name="v_87_XP_U">Model!$AR$229</definedName>
    <definedName name="v_87_XPFOA">Model!$BX$229</definedName>
    <definedName name="v_87_XPFOS">Model!$BZ$229</definedName>
    <definedName name="v_87_XPHA_GAO">Model!$O$229</definedName>
    <definedName name="v_87_XPHA_PAO">Model!$N$229</definedName>
    <definedName name="v_87_XPP">Model!$AN$229</definedName>
    <definedName name="v_87_XSTR">Model!$BU$229</definedName>
    <definedName name="v_87_XU">Model!$M$229</definedName>
    <definedName name="v_87_XVivi">Model!$BV$229</definedName>
    <definedName name="v_88_CB">Model!$H$230</definedName>
    <definedName name="v_88_CU">Model!$L$230</definedName>
    <definedName name="v_88_GCH4">Model!$CE$230</definedName>
    <definedName name="v_88_GCH4_atm">Model!$CM$230</definedName>
    <definedName name="v_88_GCO2">Model!$CD$230</definedName>
    <definedName name="v_88_GCO2_atm">Model!$CL$230</definedName>
    <definedName name="v_88_GH2">Model!$CF$230</definedName>
    <definedName name="v_88_GH2_atm">Model!$CN$230</definedName>
    <definedName name="v_88_GN2">Model!$CK$230</definedName>
    <definedName name="v_88_GN2_atm">Model!$CS$230</definedName>
    <definedName name="v_88_GN2O">Model!$CJ$230</definedName>
    <definedName name="v_88_GN2O_atm">Model!$CR$230</definedName>
    <definedName name="v_88_GNH3">Model!$CH$230</definedName>
    <definedName name="v_88_GNH3_atm">Model!$CP$230</definedName>
    <definedName name="v_88_GNO">Model!$CI$230</definedName>
    <definedName name="v_88_GNO_atm">Model!$CQ$230</definedName>
    <definedName name="v_88_GO2">Model!$CG$230</definedName>
    <definedName name="v_88_GO2_atm">Model!$CO$230</definedName>
    <definedName name="v_88_SALPHA">Model!$CB$230</definedName>
    <definedName name="v_88_SAN">Model!$AY$230</definedName>
    <definedName name="v_88_SB">Model!$F$230</definedName>
    <definedName name="v_88_SCa">Model!$AZ$230</definedName>
    <definedName name="v_88_SCAT">Model!$AX$230</definedName>
    <definedName name="v_88_SCH4">Model!$AT$230</definedName>
    <definedName name="v_88_SCO2">Model!$AV$230</definedName>
    <definedName name="v_88_SFe2">Model!$BC$230</definedName>
    <definedName name="v_88_SH">Model!$CA$230</definedName>
    <definedName name="v_88_SH2">Model!$AU$230</definedName>
    <definedName name="v_88_SK">Model!$BB$230</definedName>
    <definedName name="v_88_SMEOL">Model!$G$230</definedName>
    <definedName name="v_88_SMg">Model!$BA$230</definedName>
    <definedName name="v_88_SN_B">Model!$AI$230</definedName>
    <definedName name="v_88_SN2">Model!$AH$230</definedName>
    <definedName name="v_88_SN2O">Model!$AG$230</definedName>
    <definedName name="v_88_SNH2OH">Model!$AB$230</definedName>
    <definedName name="v_88_SNHx">Model!$AA$230</definedName>
    <definedName name="v_88_SNO_AOB">Model!$AE$230</definedName>
    <definedName name="v_88_SNO_OHO">Model!$AF$230</definedName>
    <definedName name="v_88_SNO2">Model!$AD$230</definedName>
    <definedName name="v_88_SNO3">Model!$AC$230</definedName>
    <definedName name="v_88_SO2">Model!$AS$230</definedName>
    <definedName name="v_88_SORPswitch">Model!$CC$230</definedName>
    <definedName name="v_88_SP_B">Model!$AO$230</definedName>
    <definedName name="v_88_SPFOA">Model!$BW$230</definedName>
    <definedName name="v_88_SPFOS">Model!$BY$230</definedName>
    <definedName name="v_88_SPO4">Model!$AM$230</definedName>
    <definedName name="v_88_SU">Model!$K$230</definedName>
    <definedName name="v_88_SVFA">Model!$E$230</definedName>
    <definedName name="v_88_XACP">Model!$BS$230</definedName>
    <definedName name="v_88_XALGAE">Model!$Z$230</definedName>
    <definedName name="v_88_XAMETO">Model!$X$230</definedName>
    <definedName name="v_88_XAMX">Model!$W$230</definedName>
    <definedName name="v_88_XAOB">Model!$U$230</definedName>
    <definedName name="v_88_XB">Model!$I$230</definedName>
    <definedName name="v_88_XB_e">Model!$J$230</definedName>
    <definedName name="v_88_XBSH">Model!$BT$230</definedName>
    <definedName name="v_88_XCaCO3">Model!$BR$230</definedName>
    <definedName name="v_88_XCASTO">Model!$S$230</definedName>
    <definedName name="v_88_XE">Model!$P$230</definedName>
    <definedName name="v_88_XE_ana">Model!$Q$230</definedName>
    <definedName name="v_88_XHAO_H">Model!$BK$230</definedName>
    <definedName name="v_88_XHAO_H_P">Model!$BN$230</definedName>
    <definedName name="v_88_XHAO_H_P_old">Model!$BP$230</definedName>
    <definedName name="v_88_XHAO_L">Model!$BL$230</definedName>
    <definedName name="v_88_XHAO_L_P">Model!$BO$230</definedName>
    <definedName name="v_88_XHAO_L_P_old">Model!$BQ$230</definedName>
    <definedName name="v_88_XHAO_old">Model!$BM$230</definedName>
    <definedName name="v_88_XHFO_H">Model!$BD$230</definedName>
    <definedName name="v_88_XHFO_H_P">Model!$BG$230</definedName>
    <definedName name="v_88_XHFO_H_P_old">Model!$BI$230</definedName>
    <definedName name="v_88_XHFO_L">Model!$BE$230</definedName>
    <definedName name="v_88_XHFO_L_P">Model!$BH$230</definedName>
    <definedName name="v_88_XHFO_L_P_old">Model!$BJ$230</definedName>
    <definedName name="v_88_XHFO_old">Model!$BF$230</definedName>
    <definedName name="v_88_XHMETO">Model!$Y$230</definedName>
    <definedName name="v_88_XINORG">Model!$AW$230</definedName>
    <definedName name="v_88_XMEOLO">Model!$T$230</definedName>
    <definedName name="v_88_XN_B">Model!$AJ$230</definedName>
    <definedName name="v_88_XN_Be">Model!$AK$230</definedName>
    <definedName name="v_88_XN_U">Model!$AL$230</definedName>
    <definedName name="v_88_XNOB">Model!$V$230</definedName>
    <definedName name="v_88_XOHO">Model!$R$230</definedName>
    <definedName name="v_88_XP_B">Model!$AP$230</definedName>
    <definedName name="v_88_XP_Be">Model!$AQ$230</definedName>
    <definedName name="v_88_XP_U">Model!$AR$230</definedName>
    <definedName name="v_88_XPFOA">Model!$BX$230</definedName>
    <definedName name="v_88_XPFOS">Model!$BZ$230</definedName>
    <definedName name="v_88_XPHA_GAO">Model!$O$230</definedName>
    <definedName name="v_88_XPHA_PAO">Model!$N$230</definedName>
    <definedName name="v_88_XPP">Model!$AN$230</definedName>
    <definedName name="v_88_XSTR">Model!$BU$230</definedName>
    <definedName name="v_88_XU">Model!$M$230</definedName>
    <definedName name="v_88_XVivi">Model!$BV$230</definedName>
    <definedName name="v_89_CB">Model!$H$231</definedName>
    <definedName name="v_89_CU">Model!$L$231</definedName>
    <definedName name="v_89_GCH4">Model!$CE$231</definedName>
    <definedName name="v_89_GCH4_atm">Model!$CM$231</definedName>
    <definedName name="v_89_GCO2">Model!$CD$231</definedName>
    <definedName name="v_89_GCO2_atm">Model!$CL$231</definedName>
    <definedName name="v_89_GH2">Model!$CF$231</definedName>
    <definedName name="v_89_GH2_atm">Model!$CN$231</definedName>
    <definedName name="v_89_GN2">Model!$CK$231</definedName>
    <definedName name="v_89_GN2_atm">Model!$CS$231</definedName>
    <definedName name="v_89_GN2O">Model!$CJ$231</definedName>
    <definedName name="v_89_GN2O_atm">Model!$CR$231</definedName>
    <definedName name="v_89_GNH3">Model!$CH$231</definedName>
    <definedName name="v_89_GNH3_atm">Model!$CP$231</definedName>
    <definedName name="v_89_GNO">Model!$CI$231</definedName>
    <definedName name="v_89_GNO_atm">Model!$CQ$231</definedName>
    <definedName name="v_89_GO2">Model!$CG$231</definedName>
    <definedName name="v_89_GO2_atm">Model!$CO$231</definedName>
    <definedName name="v_89_SALPHA">Model!$CB$231</definedName>
    <definedName name="v_89_SAN">Model!$AY$231</definedName>
    <definedName name="v_89_SB">Model!$F$231</definedName>
    <definedName name="v_89_SCa">Model!$AZ$231</definedName>
    <definedName name="v_89_SCAT">Model!$AX$231</definedName>
    <definedName name="v_89_SCH4">Model!$AT$231</definedName>
    <definedName name="v_89_SCO2">Model!$AV$231</definedName>
    <definedName name="v_89_SFe2">Model!$BC$231</definedName>
    <definedName name="v_89_SH">Model!$CA$231</definedName>
    <definedName name="v_89_SH2">Model!$AU$231</definedName>
    <definedName name="v_89_SK">Model!$BB$231</definedName>
    <definedName name="v_89_SMEOL">Model!$G$231</definedName>
    <definedName name="v_89_SMg">Model!$BA$231</definedName>
    <definedName name="v_89_SN_B">Model!$AI$231</definedName>
    <definedName name="v_89_SN2">Model!$AH$231</definedName>
    <definedName name="v_89_SN2O">Model!$AG$231</definedName>
    <definedName name="v_89_SNH2OH">Model!$AB$231</definedName>
    <definedName name="v_89_SNHx">Model!$AA$231</definedName>
    <definedName name="v_89_SNO_AOB">Model!$AE$231</definedName>
    <definedName name="v_89_SNO_OHO">Model!$AF$231</definedName>
    <definedName name="v_89_SNO2">Model!$AD$231</definedName>
    <definedName name="v_89_SNO3">Model!$AC$231</definedName>
    <definedName name="v_89_SO2">Model!$AS$231</definedName>
    <definedName name="v_89_SORPswitch">Model!$CC$231</definedName>
    <definedName name="v_89_SP_B">Model!$AO$231</definedName>
    <definedName name="v_89_SPFOA">Model!$BW$231</definedName>
    <definedName name="v_89_SPFOS">Model!$BY$231</definedName>
    <definedName name="v_89_SPO4">Model!$AM$231</definedName>
    <definedName name="v_89_SU">Model!$K$231</definedName>
    <definedName name="v_89_SVFA">Model!$E$231</definedName>
    <definedName name="v_89_XACP">Model!$BS$231</definedName>
    <definedName name="v_89_XALGAE">Model!$Z$231</definedName>
    <definedName name="v_89_XAMETO">Model!$X$231</definedName>
    <definedName name="v_89_XAMX">Model!$W$231</definedName>
    <definedName name="v_89_XAOB">Model!$U$231</definedName>
    <definedName name="v_89_XB">Model!$I$231</definedName>
    <definedName name="v_89_XB_e">Model!$J$231</definedName>
    <definedName name="v_89_XBSH">Model!$BT$231</definedName>
    <definedName name="v_89_XCaCO3">Model!$BR$231</definedName>
    <definedName name="v_89_XCASTO">Model!$S$231</definedName>
    <definedName name="v_89_XE">Model!$P$231</definedName>
    <definedName name="v_89_XE_ana">Model!$Q$231</definedName>
    <definedName name="v_89_XHAO_H">Model!$BK$231</definedName>
    <definedName name="v_89_XHAO_H_P">Model!$BN$231</definedName>
    <definedName name="v_89_XHAO_H_P_old">Model!$BP$231</definedName>
    <definedName name="v_89_XHAO_L">Model!$BL$231</definedName>
    <definedName name="v_89_XHAO_L_P">Model!$BO$231</definedName>
    <definedName name="v_89_XHAO_L_P_old">Model!$BQ$231</definedName>
    <definedName name="v_89_XHAO_old">Model!$BM$231</definedName>
    <definedName name="v_89_XHFO_H">Model!$BD$231</definedName>
    <definedName name="v_89_XHFO_H_P">Model!$BG$231</definedName>
    <definedName name="v_89_XHFO_H_P_old">Model!$BI$231</definedName>
    <definedName name="v_89_XHFO_L">Model!$BE$231</definedName>
    <definedName name="v_89_XHFO_L_P">Model!$BH$231</definedName>
    <definedName name="v_89_XHFO_L_P_old">Model!$BJ$231</definedName>
    <definedName name="v_89_XHFO_old">Model!$BF$231</definedName>
    <definedName name="v_89_XHMETO">Model!$Y$231</definedName>
    <definedName name="v_89_XINORG">Model!$AW$231</definedName>
    <definedName name="v_89_XMEOLO">Model!$T$231</definedName>
    <definedName name="v_89_XN_B">Model!$AJ$231</definedName>
    <definedName name="v_89_XN_Be">Model!$AK$231</definedName>
    <definedName name="v_89_XN_U">Model!$AL$231</definedName>
    <definedName name="v_89_XNOB">Model!$V$231</definedName>
    <definedName name="v_89_XOHO">Model!$R$231</definedName>
    <definedName name="v_89_XP_B">Model!$AP$231</definedName>
    <definedName name="v_89_XP_Be">Model!$AQ$231</definedName>
    <definedName name="v_89_XP_U">Model!$AR$231</definedName>
    <definedName name="v_89_XPFOA">Model!$BX$231</definedName>
    <definedName name="v_89_XPFOS">Model!$BZ$231</definedName>
    <definedName name="v_89_XPHA_GAO">Model!$O$231</definedName>
    <definedName name="v_89_XPHA_PAO">Model!$N$231</definedName>
    <definedName name="v_89_XPP">Model!$AN$231</definedName>
    <definedName name="v_89_XSTR">Model!$BU$231</definedName>
    <definedName name="v_89_XU">Model!$M$231</definedName>
    <definedName name="v_89_XVivi">Model!$BV$231</definedName>
    <definedName name="v_9_CB">Model!$H$151</definedName>
    <definedName name="v_9_CU">Model!$L$151</definedName>
    <definedName name="v_9_GCH4">Model!$CE$151</definedName>
    <definedName name="v_9_GCH4_atm">Model!$CM$151</definedName>
    <definedName name="v_9_GCO2">Model!$CD$151</definedName>
    <definedName name="v_9_GCO2_atm">Model!$CL$151</definedName>
    <definedName name="v_9_GH2">Model!$CF$151</definedName>
    <definedName name="v_9_GH2_atm">Model!$CN$151</definedName>
    <definedName name="v_9_GN2">Model!$CK$151</definedName>
    <definedName name="v_9_GN2_atm">Model!$CS$151</definedName>
    <definedName name="v_9_GN2O">Model!$CJ$151</definedName>
    <definedName name="v_9_GN2O_atm">Model!$CR$151</definedName>
    <definedName name="v_9_GNH3">Model!$CH$151</definedName>
    <definedName name="v_9_GNH3_atm">Model!$CP$151</definedName>
    <definedName name="v_9_GNO">Model!$CI$151</definedName>
    <definedName name="v_9_GNO_atm">Model!$CQ$151</definedName>
    <definedName name="v_9_GO2">Model!$CG$151</definedName>
    <definedName name="v_9_GO2_atm">Model!$CO$151</definedName>
    <definedName name="v_9_SALPHA">Model!$CB$151</definedName>
    <definedName name="v_9_SAN">Model!$AY$151</definedName>
    <definedName name="v_9_SB">Model!$F$151</definedName>
    <definedName name="v_9_SCa">Model!$AZ$151</definedName>
    <definedName name="v_9_SCAT">Model!$AX$151</definedName>
    <definedName name="v_9_SCH4">Model!$AT$151</definedName>
    <definedName name="v_9_SCO2">Model!$AV$151</definedName>
    <definedName name="v_9_SFe2">Model!$BC$151</definedName>
    <definedName name="v_9_SH">Model!$CA$151</definedName>
    <definedName name="v_9_SH2">Model!$AU$151</definedName>
    <definedName name="v_9_SK">Model!$BB$151</definedName>
    <definedName name="v_9_SMEOL">Model!$G$151</definedName>
    <definedName name="v_9_SMg">Model!$BA$151</definedName>
    <definedName name="v_9_SN_B">Model!$AI$151</definedName>
    <definedName name="v_9_SN2">Model!$AH$151</definedName>
    <definedName name="v_9_SN2O">Model!$AG$151</definedName>
    <definedName name="v_9_SNH2OH">Model!$AB$151</definedName>
    <definedName name="v_9_SNHx">Model!$AA$151</definedName>
    <definedName name="v_9_SNO_AOB">Model!$AE$151</definedName>
    <definedName name="v_9_SNO_OHO">Model!$AF$151</definedName>
    <definedName name="v_9_SNO2">Model!$AD$151</definedName>
    <definedName name="v_9_SNO3">Model!$AC$151</definedName>
    <definedName name="v_9_SO2">Model!$AS$151</definedName>
    <definedName name="v_9_SORPswitch">Model!$CC$151</definedName>
    <definedName name="v_9_SP_B">Model!$AO$151</definedName>
    <definedName name="v_9_SPFOA">Model!$BW$151</definedName>
    <definedName name="v_9_SPFOS">Model!$BY$151</definedName>
    <definedName name="v_9_SPO4">Model!$AM$151</definedName>
    <definedName name="v_9_SU">Model!$K$151</definedName>
    <definedName name="v_9_SVFA">Model!$E$151</definedName>
    <definedName name="v_9_XACP">Model!$BS$151</definedName>
    <definedName name="v_9_XALGAE">Model!$Z$151</definedName>
    <definedName name="v_9_XAMETO">Model!$X$151</definedName>
    <definedName name="v_9_XAMX">Model!$W$151</definedName>
    <definedName name="v_9_XAOB">Model!$U$151</definedName>
    <definedName name="v_9_XB">Model!$I$151</definedName>
    <definedName name="v_9_XB_e">Model!$J$151</definedName>
    <definedName name="v_9_XBSH">Model!$BT$151</definedName>
    <definedName name="v_9_XCaCO3">Model!$BR$151</definedName>
    <definedName name="v_9_XCASTO">Model!$S$151</definedName>
    <definedName name="v_9_XE">Model!$P$151</definedName>
    <definedName name="v_9_XE_ana">Model!$Q$151</definedName>
    <definedName name="v_9_XHAO_H">Model!$BK$151</definedName>
    <definedName name="v_9_XHAO_H_P">Model!$BN$151</definedName>
    <definedName name="v_9_XHAO_H_P_old">Model!$BP$151</definedName>
    <definedName name="v_9_XHAO_L">Model!$BL$151</definedName>
    <definedName name="v_9_XHAO_L_P">Model!$BO$151</definedName>
    <definedName name="v_9_XHAO_L_P_old">Model!$BQ$151</definedName>
    <definedName name="v_9_XHAO_old">Model!$BM$151</definedName>
    <definedName name="v_9_XHFO_H">Model!$BD$151</definedName>
    <definedName name="v_9_XHFO_H_P">Model!$BG$151</definedName>
    <definedName name="v_9_XHFO_H_P_old">Model!$BI$151</definedName>
    <definedName name="v_9_XHFO_L">Model!$BE$151</definedName>
    <definedName name="v_9_XHFO_L_P">Model!$BH$151</definedName>
    <definedName name="v_9_XHFO_L_P_old">Model!$BJ$151</definedName>
    <definedName name="v_9_XHFO_old">Model!$BF$151</definedName>
    <definedName name="v_9_XHMETO">Model!$Y$151</definedName>
    <definedName name="v_9_XINORG">Model!$AW$151</definedName>
    <definedName name="v_9_XMEOLO">Model!$T$151</definedName>
    <definedName name="v_9_XN_B">Model!$AJ$151</definedName>
    <definedName name="v_9_XN_Be">Model!$AK$151</definedName>
    <definedName name="v_9_XN_U">Model!$AL$151</definedName>
    <definedName name="v_9_XNOB">Model!$V$151</definedName>
    <definedName name="v_9_XOHO">Model!$R$151</definedName>
    <definedName name="v_9_XP_B">Model!$AP$151</definedName>
    <definedName name="v_9_XP_Be">Model!$AQ$151</definedName>
    <definedName name="v_9_XP_U">Model!$AR$151</definedName>
    <definedName name="v_9_XPFOA">Model!$BX$151</definedName>
    <definedName name="v_9_XPFOS">Model!$BZ$151</definedName>
    <definedName name="v_9_XPHA_GAO">Model!$O$151</definedName>
    <definedName name="v_9_XPHA_PAO">Model!$N$151</definedName>
    <definedName name="v_9_XPP">Model!$AN$151</definedName>
    <definedName name="v_9_XSTR">Model!$BU$151</definedName>
    <definedName name="v_9_XU">Model!$M$151</definedName>
    <definedName name="v_9_XVivi">Model!$BV$151</definedName>
    <definedName name="v_90_CB">Model!$H$232</definedName>
    <definedName name="v_90_CU">Model!$L$232</definedName>
    <definedName name="v_90_GCH4">Model!$CE$232</definedName>
    <definedName name="v_90_GCH4_atm">Model!$CM$232</definedName>
    <definedName name="v_90_GCO2">Model!$CD$232</definedName>
    <definedName name="v_90_GCO2_atm">Model!$CL$232</definedName>
    <definedName name="v_90_GH2">Model!$CF$232</definedName>
    <definedName name="v_90_GH2_atm">Model!$CN$232</definedName>
    <definedName name="v_90_GN2">Model!$CK$232</definedName>
    <definedName name="v_90_GN2_atm">Model!$CS$232</definedName>
    <definedName name="v_90_GN2O">Model!$CJ$232</definedName>
    <definedName name="v_90_GN2O_atm">Model!$CR$232</definedName>
    <definedName name="v_90_GNH3">Model!$CH$232</definedName>
    <definedName name="v_90_GNH3_atm">Model!$CP$232</definedName>
    <definedName name="v_90_GNO">Model!$CI$232</definedName>
    <definedName name="v_90_GNO_atm">Model!$CQ$232</definedName>
    <definedName name="v_90_GO2">Model!$CG$232</definedName>
    <definedName name="v_90_GO2_atm">Model!$CO$232</definedName>
    <definedName name="v_90_SALPHA">Model!$CB$232</definedName>
    <definedName name="v_90_SAN">Model!$AY$232</definedName>
    <definedName name="v_90_SB">Model!$F$232</definedName>
    <definedName name="v_90_SCa">Model!$AZ$232</definedName>
    <definedName name="v_90_SCAT">Model!$AX$232</definedName>
    <definedName name="v_90_SCH4">Model!$AT$232</definedName>
    <definedName name="v_90_SCO2">Model!$AV$232</definedName>
    <definedName name="v_90_SFe2">Model!$BC$232</definedName>
    <definedName name="v_90_SH">Model!$CA$232</definedName>
    <definedName name="v_90_SH2">Model!$AU$232</definedName>
    <definedName name="v_90_SK">Model!$BB$232</definedName>
    <definedName name="v_90_SMEOL">Model!$G$232</definedName>
    <definedName name="v_90_SMg">Model!$BA$232</definedName>
    <definedName name="v_90_SN_B">Model!$AI$232</definedName>
    <definedName name="v_90_SN2">Model!$AH$232</definedName>
    <definedName name="v_90_SN2O">Model!$AG$232</definedName>
    <definedName name="v_90_SNH2OH">Model!$AB$232</definedName>
    <definedName name="v_90_SNHx">Model!$AA$232</definedName>
    <definedName name="v_90_SNO_AOB">Model!$AE$232</definedName>
    <definedName name="v_90_SNO_OHO">Model!$AF$232</definedName>
    <definedName name="v_90_SNO2">Model!$AD$232</definedName>
    <definedName name="v_90_SNO3">Model!$AC$232</definedName>
    <definedName name="v_90_SO2">Model!$AS$232</definedName>
    <definedName name="v_90_SORPswitch">Model!$CC$232</definedName>
    <definedName name="v_90_SP_B">Model!$AO$232</definedName>
    <definedName name="v_90_SPFOA">Model!$BW$232</definedName>
    <definedName name="v_90_SPFOS">Model!$BY$232</definedName>
    <definedName name="v_90_SPO4">Model!$AM$232</definedName>
    <definedName name="v_90_SU">Model!$K$232</definedName>
    <definedName name="v_90_SVFA">Model!$E$232</definedName>
    <definedName name="v_90_XACP">Model!$BS$232</definedName>
    <definedName name="v_90_XALGAE">Model!$Z$232</definedName>
    <definedName name="v_90_XAMETO">Model!$X$232</definedName>
    <definedName name="v_90_XAMX">Model!$W$232</definedName>
    <definedName name="v_90_XAOB">Model!$U$232</definedName>
    <definedName name="v_90_XB">Model!$I$232</definedName>
    <definedName name="v_90_XB_e">Model!$J$232</definedName>
    <definedName name="v_90_XBSH">Model!$BT$232</definedName>
    <definedName name="v_90_XCaCO3">Model!$BR$232</definedName>
    <definedName name="v_90_XCASTO">Model!$S$232</definedName>
    <definedName name="v_90_XE">Model!$P$232</definedName>
    <definedName name="v_90_XE_ana">Model!$Q$232</definedName>
    <definedName name="v_90_XHAO_H">Model!$BK$232</definedName>
    <definedName name="v_90_XHAO_H_P">Model!$BN$232</definedName>
    <definedName name="v_90_XHAO_H_P_old">Model!$BP$232</definedName>
    <definedName name="v_90_XHAO_L">Model!$BL$232</definedName>
    <definedName name="v_90_XHAO_L_P">Model!$BO$232</definedName>
    <definedName name="v_90_XHAO_L_P_old">Model!$BQ$232</definedName>
    <definedName name="v_90_XHAO_old">Model!$BM$232</definedName>
    <definedName name="v_90_XHFO_H">Model!$BD$232</definedName>
    <definedName name="v_90_XHFO_H_P">Model!$BG$232</definedName>
    <definedName name="v_90_XHFO_H_P_old">Model!$BI$232</definedName>
    <definedName name="v_90_XHFO_L">Model!$BE$232</definedName>
    <definedName name="v_90_XHFO_L_P">Model!$BH$232</definedName>
    <definedName name="v_90_XHFO_L_P_old">Model!$BJ$232</definedName>
    <definedName name="v_90_XHFO_old">Model!$BF$232</definedName>
    <definedName name="v_90_XHMETO">Model!$Y$232</definedName>
    <definedName name="v_90_XINORG">Model!$AW$232</definedName>
    <definedName name="v_90_XMEOLO">Model!$T$232</definedName>
    <definedName name="v_90_XN_B">Model!$AJ$232</definedName>
    <definedName name="v_90_XN_Be">Model!$AK$232</definedName>
    <definedName name="v_90_XN_U">Model!$AL$232</definedName>
    <definedName name="v_90_XNOB">Model!$V$232</definedName>
    <definedName name="v_90_XOHO">Model!$R$232</definedName>
    <definedName name="v_90_XP_B">Model!$AP$232</definedName>
    <definedName name="v_90_XP_Be">Model!$AQ$232</definedName>
    <definedName name="v_90_XP_U">Model!$AR$232</definedName>
    <definedName name="v_90_XPFOA">Model!$BX$232</definedName>
    <definedName name="v_90_XPFOS">Model!$BZ$232</definedName>
    <definedName name="v_90_XPHA_GAO">Model!$O$232</definedName>
    <definedName name="v_90_XPHA_PAO">Model!$N$232</definedName>
    <definedName name="v_90_XPP">Model!$AN$232</definedName>
    <definedName name="v_90_XSTR">Model!$BU$232</definedName>
    <definedName name="v_90_XU">Model!$M$232</definedName>
    <definedName name="v_90_XVivi">Model!$BV$232</definedName>
    <definedName name="v_91_CB">Model!$H$233</definedName>
    <definedName name="v_91_CU">Model!$L$233</definedName>
    <definedName name="v_91_GCH4">Model!$CE$233</definedName>
    <definedName name="v_91_GCH4_atm">Model!$CM$233</definedName>
    <definedName name="v_91_GCO2">Model!$CD$233</definedName>
    <definedName name="v_91_GCO2_atm">Model!$CL$233</definedName>
    <definedName name="v_91_GH2">Model!$CF$233</definedName>
    <definedName name="v_91_GH2_atm">Model!$CN$233</definedName>
    <definedName name="v_91_GN2">Model!$CK$233</definedName>
    <definedName name="v_91_GN2_atm">Model!$CS$233</definedName>
    <definedName name="v_91_GN2O">Model!$CJ$233</definedName>
    <definedName name="v_91_GN2O_atm">Model!$CR$233</definedName>
    <definedName name="v_91_GNH3">Model!$CH$233</definedName>
    <definedName name="v_91_GNH3_atm">Model!$CP$233</definedName>
    <definedName name="v_91_GNO">Model!$CI$233</definedName>
    <definedName name="v_91_GNO_atm">Model!$CQ$233</definedName>
    <definedName name="v_91_GO2">Model!$CG$233</definedName>
    <definedName name="v_91_GO2_atm">Model!$CO$233</definedName>
    <definedName name="v_91_SALPHA">Model!$CB$233</definedName>
    <definedName name="v_91_SAN">Model!$AY$233</definedName>
    <definedName name="v_91_SB">Model!$F$233</definedName>
    <definedName name="v_91_SCa">Model!$AZ$233</definedName>
    <definedName name="v_91_SCAT">Model!$AX$233</definedName>
    <definedName name="v_91_SCH4">Model!$AT$233</definedName>
    <definedName name="v_91_SCO2">Model!$AV$233</definedName>
    <definedName name="v_91_SFe2">Model!$BC$233</definedName>
    <definedName name="v_91_SH">Model!$CA$233</definedName>
    <definedName name="v_91_SH2">Model!$AU$233</definedName>
    <definedName name="v_91_SK">Model!$BB$233</definedName>
    <definedName name="v_91_SMEOL">Model!$G$233</definedName>
    <definedName name="v_91_SMg">Model!$BA$233</definedName>
    <definedName name="v_91_SN_B">Model!$AI$233</definedName>
    <definedName name="v_91_SN2">Model!$AH$233</definedName>
    <definedName name="v_91_SN2O">Model!$AG$233</definedName>
    <definedName name="v_91_SNH2OH">Model!$AB$233</definedName>
    <definedName name="v_91_SNHx">Model!$AA$233</definedName>
    <definedName name="v_91_SNO_AOB">Model!$AE$233</definedName>
    <definedName name="v_91_SNO_OHO">Model!$AF$233</definedName>
    <definedName name="v_91_SNO2">Model!$AD$233</definedName>
    <definedName name="v_91_SNO3">Model!$AC$233</definedName>
    <definedName name="v_91_SO2">Model!$AS$233</definedName>
    <definedName name="v_91_SORPswitch">Model!$CC$233</definedName>
    <definedName name="v_91_SP_B">Model!$AO$233</definedName>
    <definedName name="v_91_SPFOA">Model!$BW$233</definedName>
    <definedName name="v_91_SPFOS">Model!$BY$233</definedName>
    <definedName name="v_91_SPO4">Model!$AM$233</definedName>
    <definedName name="v_91_SU">Model!$K$233</definedName>
    <definedName name="v_91_SVFA">Model!$E$233</definedName>
    <definedName name="v_91_XACP">Model!$BS$233</definedName>
    <definedName name="v_91_XALGAE">Model!$Z$233</definedName>
    <definedName name="v_91_XAMETO">Model!$X$233</definedName>
    <definedName name="v_91_XAMX">Model!$W$233</definedName>
    <definedName name="v_91_XAOB">Model!$U$233</definedName>
    <definedName name="v_91_XB">Model!$I$233</definedName>
    <definedName name="v_91_XB_e">Model!$J$233</definedName>
    <definedName name="v_91_XBSH">Model!$BT$233</definedName>
    <definedName name="v_91_XCaCO3">Model!$BR$233</definedName>
    <definedName name="v_91_XCASTO">Model!$S$233</definedName>
    <definedName name="v_91_XE">Model!$P$233</definedName>
    <definedName name="v_91_XE_ana">Model!$Q$233</definedName>
    <definedName name="v_91_XHAO_H">Model!$BK$233</definedName>
    <definedName name="v_91_XHAO_H_P">Model!$BN$233</definedName>
    <definedName name="v_91_XHAO_H_P_old">Model!$BP$233</definedName>
    <definedName name="v_91_XHAO_L">Model!$BL$233</definedName>
    <definedName name="v_91_XHAO_L_P">Model!$BO$233</definedName>
    <definedName name="v_91_XHAO_L_P_old">Model!$BQ$233</definedName>
    <definedName name="v_91_XHAO_old">Model!$BM$233</definedName>
    <definedName name="v_91_XHFO_H">Model!$BD$233</definedName>
    <definedName name="v_91_XHFO_H_P">Model!$BG$233</definedName>
    <definedName name="v_91_XHFO_H_P_old">Model!$BI$233</definedName>
    <definedName name="v_91_XHFO_L">Model!$BE$233</definedName>
    <definedName name="v_91_XHFO_L_P">Model!$BH$233</definedName>
    <definedName name="v_91_XHFO_L_P_old">Model!$BJ$233</definedName>
    <definedName name="v_91_XHFO_old">Model!$BF$233</definedName>
    <definedName name="v_91_XHMETO">Model!$Y$233</definedName>
    <definedName name="v_91_XINORG">Model!$AW$233</definedName>
    <definedName name="v_91_XMEOLO">Model!$T$233</definedName>
    <definedName name="v_91_XN_B">Model!$AJ$233</definedName>
    <definedName name="v_91_XN_Be">Model!$AK$233</definedName>
    <definedName name="v_91_XN_U">Model!$AL$233</definedName>
    <definedName name="v_91_XNOB">Model!$V$233</definedName>
    <definedName name="v_91_XOHO">Model!$R$233</definedName>
    <definedName name="v_91_XP_B">Model!$AP$233</definedName>
    <definedName name="v_91_XP_Be">Model!$AQ$233</definedName>
    <definedName name="v_91_XP_U">Model!$AR$233</definedName>
    <definedName name="v_91_XPFOA">Model!$BX$233</definedName>
    <definedName name="v_91_XPFOS">Model!$BZ$233</definedName>
    <definedName name="v_91_XPHA_GAO">Model!$O$233</definedName>
    <definedName name="v_91_XPHA_PAO">Model!$N$233</definedName>
    <definedName name="v_91_XPP">Model!$AN$233</definedName>
    <definedName name="v_91_XSTR">Model!$BU$233</definedName>
    <definedName name="v_91_XU">Model!$M$233</definedName>
    <definedName name="v_91_XVivi">Model!$BV$233</definedName>
    <definedName name="v_92_CB">Model!$H$234</definedName>
    <definedName name="v_92_CU">Model!$L$234</definedName>
    <definedName name="v_92_GCH4">Model!$CE$234</definedName>
    <definedName name="v_92_GCH4_atm">Model!$CM$234</definedName>
    <definedName name="v_92_GCO2">Model!$CD$234</definedName>
    <definedName name="v_92_GCO2_atm">Model!$CL$234</definedName>
    <definedName name="v_92_GH2">Model!$CF$234</definedName>
    <definedName name="v_92_GH2_atm">Model!$CN$234</definedName>
    <definedName name="v_92_GN2">Model!$CK$234</definedName>
    <definedName name="v_92_GN2_atm">Model!$CS$234</definedName>
    <definedName name="v_92_GN2O">Model!$CJ$234</definedName>
    <definedName name="v_92_GN2O_atm">Model!$CR$234</definedName>
    <definedName name="v_92_GNH3">Model!$CH$234</definedName>
    <definedName name="v_92_GNH3_atm">Model!$CP$234</definedName>
    <definedName name="v_92_GNO">Model!$CI$234</definedName>
    <definedName name="v_92_GNO_atm">Model!$CQ$234</definedName>
    <definedName name="v_92_GO2">Model!$CG$234</definedName>
    <definedName name="v_92_GO2_atm">Model!$CO$234</definedName>
    <definedName name="v_92_SALPHA">Model!$CB$234</definedName>
    <definedName name="v_92_SAN">Model!$AY$234</definedName>
    <definedName name="v_92_SB">Model!$F$234</definedName>
    <definedName name="v_92_SCa">Model!$AZ$234</definedName>
    <definedName name="v_92_SCAT">Model!$AX$234</definedName>
    <definedName name="v_92_SCH4">Model!$AT$234</definedName>
    <definedName name="v_92_SCO2">Model!$AV$234</definedName>
    <definedName name="v_92_SFe2">Model!$BC$234</definedName>
    <definedName name="v_92_SH">Model!$CA$234</definedName>
    <definedName name="v_92_SH2">Model!$AU$234</definedName>
    <definedName name="v_92_SK">Model!$BB$234</definedName>
    <definedName name="v_92_SMEOL">Model!$G$234</definedName>
    <definedName name="v_92_SMg">Model!$BA$234</definedName>
    <definedName name="v_92_SN_B">Model!$AI$234</definedName>
    <definedName name="v_92_SN2">Model!$AH$234</definedName>
    <definedName name="v_92_SN2O">Model!$AG$234</definedName>
    <definedName name="v_92_SNH2OH">Model!$AB$234</definedName>
    <definedName name="v_92_SNHx">Model!$AA$234</definedName>
    <definedName name="v_92_SNO_AOB">Model!$AE$234</definedName>
    <definedName name="v_92_SNO_OHO">Model!$AF$234</definedName>
    <definedName name="v_92_SNO2">Model!$AD$234</definedName>
    <definedName name="v_92_SNO3">Model!$AC$234</definedName>
    <definedName name="v_92_SO2">Model!$AS$234</definedName>
    <definedName name="v_92_SORPswitch">Model!$CC$234</definedName>
    <definedName name="v_92_SP_B">Model!$AO$234</definedName>
    <definedName name="v_92_SPFOA">Model!$BW$234</definedName>
    <definedName name="v_92_SPFOS">Model!$BY$234</definedName>
    <definedName name="v_92_SPO4">Model!$AM$234</definedName>
    <definedName name="v_92_SU">Model!$K$234</definedName>
    <definedName name="v_92_SVFA">Model!$E$234</definedName>
    <definedName name="v_92_XACP">Model!$BS$234</definedName>
    <definedName name="v_92_XALGAE">Model!$Z$234</definedName>
    <definedName name="v_92_XAMETO">Model!$X$234</definedName>
    <definedName name="v_92_XAMX">Model!$W$234</definedName>
    <definedName name="v_92_XAOB">Model!$U$234</definedName>
    <definedName name="v_92_XB">Model!$I$234</definedName>
    <definedName name="v_92_XB_e">Model!$J$234</definedName>
    <definedName name="v_92_XBSH">Model!$BT$234</definedName>
    <definedName name="v_92_XCaCO3">Model!$BR$234</definedName>
    <definedName name="v_92_XCASTO">Model!$S$234</definedName>
    <definedName name="v_92_XE">Model!$P$234</definedName>
    <definedName name="v_92_XE_ana">Model!$Q$234</definedName>
    <definedName name="v_92_XHAO_H">Model!$BK$234</definedName>
    <definedName name="v_92_XHAO_H_P">Model!$BN$234</definedName>
    <definedName name="v_92_XHAO_H_P_old">Model!$BP$234</definedName>
    <definedName name="v_92_XHAO_L">Model!$BL$234</definedName>
    <definedName name="v_92_XHAO_L_P">Model!$BO$234</definedName>
    <definedName name="v_92_XHAO_L_P_old">Model!$BQ$234</definedName>
    <definedName name="v_92_XHAO_old">Model!$BM$234</definedName>
    <definedName name="v_92_XHFO_H">Model!$BD$234</definedName>
    <definedName name="v_92_XHFO_H_P">Model!$BG$234</definedName>
    <definedName name="v_92_XHFO_H_P_old">Model!$BI$234</definedName>
    <definedName name="v_92_XHFO_L">Model!$BE$234</definedName>
    <definedName name="v_92_XHFO_L_P">Model!$BH$234</definedName>
    <definedName name="v_92_XHFO_L_P_old">Model!$BJ$234</definedName>
    <definedName name="v_92_XHFO_old">Model!$BF$234</definedName>
    <definedName name="v_92_XHMETO">Model!$Y$234</definedName>
    <definedName name="v_92_XINORG">Model!$AW$234</definedName>
    <definedName name="v_92_XMEOLO">Model!$T$234</definedName>
    <definedName name="v_92_XN_B">Model!$AJ$234</definedName>
    <definedName name="v_92_XN_Be">Model!$AK$234</definedName>
    <definedName name="v_92_XN_U">Model!$AL$234</definedName>
    <definedName name="v_92_XNOB">Model!$V$234</definedName>
    <definedName name="v_92_XOHO">Model!$R$234</definedName>
    <definedName name="v_92_XP_B">Model!$AP$234</definedName>
    <definedName name="v_92_XP_Be">Model!$AQ$234</definedName>
    <definedName name="v_92_XP_U">Model!$AR$234</definedName>
    <definedName name="v_92_XPFOA">Model!$BX$234</definedName>
    <definedName name="v_92_XPFOS">Model!$BZ$234</definedName>
    <definedName name="v_92_XPHA_GAO">Model!$O$234</definedName>
    <definedName name="v_92_XPHA_PAO">Model!$N$234</definedName>
    <definedName name="v_92_XPP">Model!$AN$234</definedName>
    <definedName name="v_92_XSTR">Model!$BU$234</definedName>
    <definedName name="v_92_XU">Model!$M$234</definedName>
    <definedName name="v_92_XVivi">Model!$BV$234</definedName>
    <definedName name="v_93_CB">Model!$H$235</definedName>
    <definedName name="v_93_CU">Model!$L$235</definedName>
    <definedName name="v_93_GCH4">Model!$CE$235</definedName>
    <definedName name="v_93_GCH4_atm">Model!$CM$235</definedName>
    <definedName name="v_93_GCO2">Model!$CD$235</definedName>
    <definedName name="v_93_GCO2_atm">Model!$CL$235</definedName>
    <definedName name="v_93_GH2">Model!$CF$235</definedName>
    <definedName name="v_93_GH2_atm">Model!$CN$235</definedName>
    <definedName name="v_93_GN2">Model!$CK$235</definedName>
    <definedName name="v_93_GN2_atm">Model!$CS$235</definedName>
    <definedName name="v_93_GN2O">Model!$CJ$235</definedName>
    <definedName name="v_93_GN2O_atm">Model!$CR$235</definedName>
    <definedName name="v_93_GNH3">Model!$CH$235</definedName>
    <definedName name="v_93_GNH3_atm">Model!$CP$235</definedName>
    <definedName name="v_93_GNO">Model!$CI$235</definedName>
    <definedName name="v_93_GNO_atm">Model!$CQ$235</definedName>
    <definedName name="v_93_GO2">Model!$CG$235</definedName>
    <definedName name="v_93_GO2_atm">Model!$CO$235</definedName>
    <definedName name="v_93_SALPHA">Model!$CB$235</definedName>
    <definedName name="v_93_SAN">Model!$AY$235</definedName>
    <definedName name="v_93_SB">Model!$F$235</definedName>
    <definedName name="v_93_SCa">Model!$AZ$235</definedName>
    <definedName name="v_93_SCAT">Model!$AX$235</definedName>
    <definedName name="v_93_SCH4">Model!$AT$235</definedName>
    <definedName name="v_93_SCO2">Model!$AV$235</definedName>
    <definedName name="v_93_SFe2">Model!$BC$235</definedName>
    <definedName name="v_93_SH">Model!$CA$235</definedName>
    <definedName name="v_93_SH2">Model!$AU$235</definedName>
    <definedName name="v_93_SK">Model!$BB$235</definedName>
    <definedName name="v_93_SMEOL">Model!$G$235</definedName>
    <definedName name="v_93_SMg">Model!$BA$235</definedName>
    <definedName name="v_93_SN_B">Model!$AI$235</definedName>
    <definedName name="v_93_SN2">Model!$AH$235</definedName>
    <definedName name="v_93_SN2O">Model!$AG$235</definedName>
    <definedName name="v_93_SNH2OH">Model!$AB$235</definedName>
    <definedName name="v_93_SNHx">Model!$AA$235</definedName>
    <definedName name="v_93_SNO_AOB">Model!$AE$235</definedName>
    <definedName name="v_93_SNO_OHO">Model!$AF$235</definedName>
    <definedName name="v_93_SNO2">Model!$AD$235</definedName>
    <definedName name="v_93_SNO3">Model!$AC$235</definedName>
    <definedName name="v_93_SO2">Model!$AS$235</definedName>
    <definedName name="v_93_SORPswitch">Model!$CC$235</definedName>
    <definedName name="v_93_SP_B">Model!$AO$235</definedName>
    <definedName name="v_93_SPFOA">Model!$BW$235</definedName>
    <definedName name="v_93_SPFOS">Model!$BY$235</definedName>
    <definedName name="v_93_SPO4">Model!$AM$235</definedName>
    <definedName name="v_93_SU">Model!$K$235</definedName>
    <definedName name="v_93_SVFA">Model!$E$235</definedName>
    <definedName name="v_93_XACP">Model!$BS$235</definedName>
    <definedName name="v_93_XALGAE">Model!$Z$235</definedName>
    <definedName name="v_93_XAMETO">Model!$X$235</definedName>
    <definedName name="v_93_XAMX">Model!$W$235</definedName>
    <definedName name="v_93_XAOB">Model!$U$235</definedName>
    <definedName name="v_93_XB">Model!$I$235</definedName>
    <definedName name="v_93_XB_e">Model!$J$235</definedName>
    <definedName name="v_93_XBSH">Model!$BT$235</definedName>
    <definedName name="v_93_XCaCO3">Model!$BR$235</definedName>
    <definedName name="v_93_XCASTO">Model!$S$235</definedName>
    <definedName name="v_93_XE">Model!$P$235</definedName>
    <definedName name="v_93_XE_ana">Model!$Q$235</definedName>
    <definedName name="v_93_XHAO_H">Model!$BK$235</definedName>
    <definedName name="v_93_XHAO_H_P">Model!$BN$235</definedName>
    <definedName name="v_93_XHAO_H_P_old">Model!$BP$235</definedName>
    <definedName name="v_93_XHAO_L">Model!$BL$235</definedName>
    <definedName name="v_93_XHAO_L_P">Model!$BO$235</definedName>
    <definedName name="v_93_XHAO_L_P_old">Model!$BQ$235</definedName>
    <definedName name="v_93_XHAO_old">Model!$BM$235</definedName>
    <definedName name="v_93_XHFO_H">Model!$BD$235</definedName>
    <definedName name="v_93_XHFO_H_P">Model!$BG$235</definedName>
    <definedName name="v_93_XHFO_H_P_old">Model!$BI$235</definedName>
    <definedName name="v_93_XHFO_L">Model!$BE$235</definedName>
    <definedName name="v_93_XHFO_L_P">Model!$BH$235</definedName>
    <definedName name="v_93_XHFO_L_P_old">Model!$BJ$235</definedName>
    <definedName name="v_93_XHFO_old">Model!$BF$235</definedName>
    <definedName name="v_93_XHMETO">Model!$Y$235</definedName>
    <definedName name="v_93_XINORG">Model!$AW$235</definedName>
    <definedName name="v_93_XMEOLO">Model!$T$235</definedName>
    <definedName name="v_93_XN_B">Model!$AJ$235</definedName>
    <definedName name="v_93_XN_Be">Model!$AK$235</definedName>
    <definedName name="v_93_XN_U">Model!$AL$235</definedName>
    <definedName name="v_93_XNOB">Model!$V$235</definedName>
    <definedName name="v_93_XOHO">Model!$R$235</definedName>
    <definedName name="v_93_XP_B">Model!$AP$235</definedName>
    <definedName name="v_93_XP_Be">Model!$AQ$235</definedName>
    <definedName name="v_93_XP_U">Model!$AR$235</definedName>
    <definedName name="v_93_XPFOA">Model!$BX$235</definedName>
    <definedName name="v_93_XPFOS">Model!$BZ$235</definedName>
    <definedName name="v_93_XPHA_GAO">Model!$O$235</definedName>
    <definedName name="v_93_XPHA_PAO">Model!$N$235</definedName>
    <definedName name="v_93_XPP">Model!$AN$235</definedName>
    <definedName name="v_93_XSTR">Model!$BU$235</definedName>
    <definedName name="v_93_XU">Model!$M$235</definedName>
    <definedName name="v_93_XVivi">Model!$BV$235</definedName>
    <definedName name="v_94_CB">Model!$H$236</definedName>
    <definedName name="v_94_CU">Model!$L$236</definedName>
    <definedName name="v_94_GCH4">Model!$CE$236</definedName>
    <definedName name="v_94_GCH4_atm">Model!$CM$236</definedName>
    <definedName name="v_94_GCO2">Model!$CD$236</definedName>
    <definedName name="v_94_GCO2_atm">Model!$CL$236</definedName>
    <definedName name="v_94_GH2">Model!$CF$236</definedName>
    <definedName name="v_94_GH2_atm">Model!$CN$236</definedName>
    <definedName name="v_94_GN2">Model!$CK$236</definedName>
    <definedName name="v_94_GN2_atm">Model!$CS$236</definedName>
    <definedName name="v_94_GN2O">Model!$CJ$236</definedName>
    <definedName name="v_94_GN2O_atm">Model!$CR$236</definedName>
    <definedName name="v_94_GNH3">Model!$CH$236</definedName>
    <definedName name="v_94_GNH3_atm">Model!$CP$236</definedName>
    <definedName name="v_94_GNO">Model!$CI$236</definedName>
    <definedName name="v_94_GNO_atm">Model!$CQ$236</definedName>
    <definedName name="v_94_GO2">Model!$CG$236</definedName>
    <definedName name="v_94_GO2_atm">Model!$CO$236</definedName>
    <definedName name="v_94_SALPHA">Model!$CB$236</definedName>
    <definedName name="v_94_SAN">Model!$AY$236</definedName>
    <definedName name="v_94_SB">Model!$F$236</definedName>
    <definedName name="v_94_SCa">Model!$AZ$236</definedName>
    <definedName name="v_94_SCAT">Model!$AX$236</definedName>
    <definedName name="v_94_SCH4">Model!$AT$236</definedName>
    <definedName name="v_94_SCO2">Model!$AV$236</definedName>
    <definedName name="v_94_SFe2">Model!$BC$236</definedName>
    <definedName name="v_94_SH">Model!$CA$236</definedName>
    <definedName name="v_94_SH2">Model!$AU$236</definedName>
    <definedName name="v_94_SK">Model!$BB$236</definedName>
    <definedName name="v_94_SMEOL">Model!$G$236</definedName>
    <definedName name="v_94_SMg">Model!$BA$236</definedName>
    <definedName name="v_94_SN_B">Model!$AI$236</definedName>
    <definedName name="v_94_SN2">Model!$AH$236</definedName>
    <definedName name="v_94_SN2O">Model!$AG$236</definedName>
    <definedName name="v_94_SNH2OH">Model!$AB$236</definedName>
    <definedName name="v_94_SNHx">Model!$AA$236</definedName>
    <definedName name="v_94_SNO_AOB">Model!$AE$236</definedName>
    <definedName name="v_94_SNO_OHO">Model!$AF$236</definedName>
    <definedName name="v_94_SNO2">Model!$AD$236</definedName>
    <definedName name="v_94_SNO3">Model!$AC$236</definedName>
    <definedName name="v_94_SO2">Model!$AS$236</definedName>
    <definedName name="v_94_SORPswitch">Model!$CC$236</definedName>
    <definedName name="v_94_SP_B">Model!$AO$236</definedName>
    <definedName name="v_94_SPFOA">Model!$BW$236</definedName>
    <definedName name="v_94_SPFOS">Model!$BY$236</definedName>
    <definedName name="v_94_SPO4">Model!$AM$236</definedName>
    <definedName name="v_94_SU">Model!$K$236</definedName>
    <definedName name="v_94_SVFA">Model!$E$236</definedName>
    <definedName name="v_94_XACP">Model!$BS$236</definedName>
    <definedName name="v_94_XALGAE">Model!$Z$236</definedName>
    <definedName name="v_94_XAMETO">Model!$X$236</definedName>
    <definedName name="v_94_XAMX">Model!$W$236</definedName>
    <definedName name="v_94_XAOB">Model!$U$236</definedName>
    <definedName name="v_94_XB">Model!$I$236</definedName>
    <definedName name="v_94_XB_e">Model!$J$236</definedName>
    <definedName name="v_94_XBSH">Model!$BT$236</definedName>
    <definedName name="v_94_XCaCO3">Model!$BR$236</definedName>
    <definedName name="v_94_XCASTO">Model!$S$236</definedName>
    <definedName name="v_94_XE">Model!$P$236</definedName>
    <definedName name="v_94_XE_ana">Model!$Q$236</definedName>
    <definedName name="v_94_XHAO_H">Model!$BK$236</definedName>
    <definedName name="v_94_XHAO_H_P">Model!$BN$236</definedName>
    <definedName name="v_94_XHAO_H_P_old">Model!$BP$236</definedName>
    <definedName name="v_94_XHAO_L">Model!$BL$236</definedName>
    <definedName name="v_94_XHAO_L_P">Model!$BO$236</definedName>
    <definedName name="v_94_XHAO_L_P_old">Model!$BQ$236</definedName>
    <definedName name="v_94_XHAO_old">Model!$BM$236</definedName>
    <definedName name="v_94_XHFO_H">Model!$BD$236</definedName>
    <definedName name="v_94_XHFO_H_P">Model!$BG$236</definedName>
    <definedName name="v_94_XHFO_H_P_old">Model!$BI$236</definedName>
    <definedName name="v_94_XHFO_L">Model!$BE$236</definedName>
    <definedName name="v_94_XHFO_L_P">Model!$BH$236</definedName>
    <definedName name="v_94_XHFO_L_P_old">Model!$BJ$236</definedName>
    <definedName name="v_94_XHFO_old">Model!$BF$236</definedName>
    <definedName name="v_94_XHMETO">Model!$Y$236</definedName>
    <definedName name="v_94_XINORG">Model!$AW$236</definedName>
    <definedName name="v_94_XMEOLO">Model!$T$236</definedName>
    <definedName name="v_94_XN_B">Model!$AJ$236</definedName>
    <definedName name="v_94_XN_Be">Model!$AK$236</definedName>
    <definedName name="v_94_XN_U">Model!$AL$236</definedName>
    <definedName name="v_94_XNOB">Model!$V$236</definedName>
    <definedName name="v_94_XOHO">Model!$R$236</definedName>
    <definedName name="v_94_XP_B">Model!$AP$236</definedName>
    <definedName name="v_94_XP_Be">Model!$AQ$236</definedName>
    <definedName name="v_94_XP_U">Model!$AR$236</definedName>
    <definedName name="v_94_XPFOA">Model!$BX$236</definedName>
    <definedName name="v_94_XPFOS">Model!$BZ$236</definedName>
    <definedName name="v_94_XPHA_GAO">Model!$O$236</definedName>
    <definedName name="v_94_XPHA_PAO">Model!$N$236</definedName>
    <definedName name="v_94_XPP">Model!$AN$236</definedName>
    <definedName name="v_94_XSTR">Model!$BU$236</definedName>
    <definedName name="v_94_XU">Model!$M$236</definedName>
    <definedName name="v_94_XVivi">Model!$BV$236</definedName>
    <definedName name="v_95_CB">Model!$H$237</definedName>
    <definedName name="v_95_CU">Model!$L$237</definedName>
    <definedName name="v_95_GCH4">Model!$CE$237</definedName>
    <definedName name="v_95_GCH4_atm">Model!$CM$237</definedName>
    <definedName name="v_95_GCO2">Model!$CD$237</definedName>
    <definedName name="v_95_GCO2_atm">Model!$CL$237</definedName>
    <definedName name="v_95_GH2">Model!$CF$237</definedName>
    <definedName name="v_95_GH2_atm">Model!$CN$237</definedName>
    <definedName name="v_95_GN2">Model!$CK$237</definedName>
    <definedName name="v_95_GN2_atm">Model!$CS$237</definedName>
    <definedName name="v_95_GN2O">Model!$CJ$237</definedName>
    <definedName name="v_95_GN2O_atm">Model!$CR$237</definedName>
    <definedName name="v_95_GNH3">Model!$CH$237</definedName>
    <definedName name="v_95_GNH3_atm">Model!$CP$237</definedName>
    <definedName name="v_95_GNO">Model!$CI$237</definedName>
    <definedName name="v_95_GNO_atm">Model!$CQ$237</definedName>
    <definedName name="v_95_GO2">Model!$CG$237</definedName>
    <definedName name="v_95_GO2_atm">Model!$CO$237</definedName>
    <definedName name="v_95_SALPHA">Model!$CB$237</definedName>
    <definedName name="v_95_SAN">Model!$AY$237</definedName>
    <definedName name="v_95_SB">Model!$F$237</definedName>
    <definedName name="v_95_SCa">Model!$AZ$237</definedName>
    <definedName name="v_95_SCAT">Model!$AX$237</definedName>
    <definedName name="v_95_SCH4">Model!$AT$237</definedName>
    <definedName name="v_95_SCO2">Model!$AV$237</definedName>
    <definedName name="v_95_SFe2">Model!$BC$237</definedName>
    <definedName name="v_95_SH">Model!$CA$237</definedName>
    <definedName name="v_95_SH2">Model!$AU$237</definedName>
    <definedName name="v_95_SK">Model!$BB$237</definedName>
    <definedName name="v_95_SMEOL">Model!$G$237</definedName>
    <definedName name="v_95_SMg">Model!$BA$237</definedName>
    <definedName name="v_95_SN_B">Model!$AI$237</definedName>
    <definedName name="v_95_SN2">Model!$AH$237</definedName>
    <definedName name="v_95_SN2O">Model!$AG$237</definedName>
    <definedName name="v_95_SNH2OH">Model!$AB$237</definedName>
    <definedName name="v_95_SNHx">Model!$AA$237</definedName>
    <definedName name="v_95_SNO_AOB">Model!$AE$237</definedName>
    <definedName name="v_95_SNO_OHO">Model!$AF$237</definedName>
    <definedName name="v_95_SNO2">Model!$AD$237</definedName>
    <definedName name="v_95_SNO3">Model!$AC$237</definedName>
    <definedName name="v_95_SO2">Model!$AS$237</definedName>
    <definedName name="v_95_SORPswitch">Model!$CC$237</definedName>
    <definedName name="v_95_SP_B">Model!$AO$237</definedName>
    <definedName name="v_95_SPFOA">Model!$BW$237</definedName>
    <definedName name="v_95_SPFOS">Model!$BY$237</definedName>
    <definedName name="v_95_SPO4">Model!$AM$237</definedName>
    <definedName name="v_95_SU">Model!$K$237</definedName>
    <definedName name="v_95_SVFA">Model!$E$237</definedName>
    <definedName name="v_95_XACP">Model!$BS$237</definedName>
    <definedName name="v_95_XALGAE">Model!$Z$237</definedName>
    <definedName name="v_95_XAMETO">Model!$X$237</definedName>
    <definedName name="v_95_XAMX">Model!$W$237</definedName>
    <definedName name="v_95_XAOB">Model!$U$237</definedName>
    <definedName name="v_95_XB">Model!$I$237</definedName>
    <definedName name="v_95_XB_e">Model!$J$237</definedName>
    <definedName name="v_95_XBSH">Model!$BT$237</definedName>
    <definedName name="v_95_XCaCO3">Model!$BR$237</definedName>
    <definedName name="v_95_XCASTO">Model!$S$237</definedName>
    <definedName name="v_95_XE">Model!$P$237</definedName>
    <definedName name="v_95_XE_ana">Model!$Q$237</definedName>
    <definedName name="v_95_XHAO_H">Model!$BK$237</definedName>
    <definedName name="v_95_XHAO_H_P">Model!$BN$237</definedName>
    <definedName name="v_95_XHAO_H_P_old">Model!$BP$237</definedName>
    <definedName name="v_95_XHAO_L">Model!$BL$237</definedName>
    <definedName name="v_95_XHAO_L_P">Model!$BO$237</definedName>
    <definedName name="v_95_XHAO_L_P_old">Model!$BQ$237</definedName>
    <definedName name="v_95_XHAO_old">Model!$BM$237</definedName>
    <definedName name="v_95_XHFO_H">Model!$BD$237</definedName>
    <definedName name="v_95_XHFO_H_P">Model!$BG$237</definedName>
    <definedName name="v_95_XHFO_H_P_old">Model!$BI$237</definedName>
    <definedName name="v_95_XHFO_L">Model!$BE$237</definedName>
    <definedName name="v_95_XHFO_L_P">Model!$BH$237</definedName>
    <definedName name="v_95_XHFO_L_P_old">Model!$BJ$237</definedName>
    <definedName name="v_95_XHFO_old">Model!$BF$237</definedName>
    <definedName name="v_95_XHMETO">Model!$Y$237</definedName>
    <definedName name="v_95_XINORG">Model!$AW$237</definedName>
    <definedName name="v_95_XMEOLO">Model!$T$237</definedName>
    <definedName name="v_95_XN_B">Model!$AJ$237</definedName>
    <definedName name="v_95_XN_Be">Model!$AK$237</definedName>
    <definedName name="v_95_XN_U">Model!$AL$237</definedName>
    <definedName name="v_95_XNOB">Model!$V$237</definedName>
    <definedName name="v_95_XOHO">Model!$R$237</definedName>
    <definedName name="v_95_XP_B">Model!$AP$237</definedName>
    <definedName name="v_95_XP_Be">Model!$AQ$237</definedName>
    <definedName name="v_95_XP_U">Model!$AR$237</definedName>
    <definedName name="v_95_XPFOA">Model!$BX$237</definedName>
    <definedName name="v_95_XPFOS">Model!$BZ$237</definedName>
    <definedName name="v_95_XPHA_GAO">Model!$O$237</definedName>
    <definedName name="v_95_XPHA_PAO">Model!$N$237</definedName>
    <definedName name="v_95_XPP">Model!$AN$237</definedName>
    <definedName name="v_95_XSTR">Model!$BU$237</definedName>
    <definedName name="v_95_XU">Model!$M$237</definedName>
    <definedName name="v_95_XVivi">Model!$BV$237</definedName>
    <definedName name="v_96_CB">Model!$H$238</definedName>
    <definedName name="v_96_CU">Model!$L$238</definedName>
    <definedName name="v_96_GCH4">Model!$CE$238</definedName>
    <definedName name="v_96_GCH4_atm">Model!$CM$238</definedName>
    <definedName name="v_96_GCO2">Model!$CD$238</definedName>
    <definedName name="v_96_GCO2_atm">Model!$CL$238</definedName>
    <definedName name="v_96_GH2">Model!$CF$238</definedName>
    <definedName name="v_96_GH2_atm">Model!$CN$238</definedName>
    <definedName name="v_96_GN2">Model!$CK$238</definedName>
    <definedName name="v_96_GN2_atm">Model!$CS$238</definedName>
    <definedName name="v_96_GN2O">Model!$CJ$238</definedName>
    <definedName name="v_96_GN2O_atm">Model!$CR$238</definedName>
    <definedName name="v_96_GNH3">Model!$CH$238</definedName>
    <definedName name="v_96_GNH3_atm">Model!$CP$238</definedName>
    <definedName name="v_96_GNO">Model!$CI$238</definedName>
    <definedName name="v_96_GNO_atm">Model!$CQ$238</definedName>
    <definedName name="v_96_GO2">Model!$CG$238</definedName>
    <definedName name="v_96_GO2_atm">Model!$CO$238</definedName>
    <definedName name="v_96_SALPHA">Model!$CB$238</definedName>
    <definedName name="v_96_SAN">Model!$AY$238</definedName>
    <definedName name="v_96_SB">Model!$F$238</definedName>
    <definedName name="v_96_SCa">Model!$AZ$238</definedName>
    <definedName name="v_96_SCAT">Model!$AX$238</definedName>
    <definedName name="v_96_SCH4">Model!$AT$238</definedName>
    <definedName name="v_96_SCO2">Model!$AV$238</definedName>
    <definedName name="v_96_SFe2">Model!$BC$238</definedName>
    <definedName name="v_96_SH">Model!$CA$238</definedName>
    <definedName name="v_96_SH2">Model!$AU$238</definedName>
    <definedName name="v_96_SK">Model!$BB$238</definedName>
    <definedName name="v_96_SMEOL">Model!$G$238</definedName>
    <definedName name="v_96_SMg">Model!$BA$238</definedName>
    <definedName name="v_96_SN_B">Model!$AI$238</definedName>
    <definedName name="v_96_SN2">Model!$AH$238</definedName>
    <definedName name="v_96_SN2O">Model!$AG$238</definedName>
    <definedName name="v_96_SNH2OH">Model!$AB$238</definedName>
    <definedName name="v_96_SNHx">Model!$AA$238</definedName>
    <definedName name="v_96_SNO_AOB">Model!$AE$238</definedName>
    <definedName name="v_96_SNO_OHO">Model!$AF$238</definedName>
    <definedName name="v_96_SNO2">Model!$AD$238</definedName>
    <definedName name="v_96_SNO3">Model!$AC$238</definedName>
    <definedName name="v_96_SO2">Model!$AS$238</definedName>
    <definedName name="v_96_SORPswitch">Model!$CC$238</definedName>
    <definedName name="v_96_SP_B">Model!$AO$238</definedName>
    <definedName name="v_96_SPFOA">Model!$BW$238</definedName>
    <definedName name="v_96_SPFOS">Model!$BY$238</definedName>
    <definedName name="v_96_SPO4">Model!$AM$238</definedName>
    <definedName name="v_96_SU">Model!$K$238</definedName>
    <definedName name="v_96_SVFA">Model!$E$238</definedName>
    <definedName name="v_96_XACP">Model!$BS$238</definedName>
    <definedName name="v_96_XALGAE">Model!$Z$238</definedName>
    <definedName name="v_96_XAMETO">Model!$X$238</definedName>
    <definedName name="v_96_XAMX">Model!$W$238</definedName>
    <definedName name="v_96_XAOB">Model!$U$238</definedName>
    <definedName name="v_96_XB">Model!$I$238</definedName>
    <definedName name="v_96_XB_e">Model!$J$238</definedName>
    <definedName name="v_96_XBSH">Model!$BT$238</definedName>
    <definedName name="v_96_XCaCO3">Model!$BR$238</definedName>
    <definedName name="v_96_XCASTO">Model!$S$238</definedName>
    <definedName name="v_96_XE">Model!$P$238</definedName>
    <definedName name="v_96_XE_ana">Model!$Q$238</definedName>
    <definedName name="v_96_XHAO_H">Model!$BK$238</definedName>
    <definedName name="v_96_XHAO_H_P">Model!$BN$238</definedName>
    <definedName name="v_96_XHAO_H_P_old">Model!$BP$238</definedName>
    <definedName name="v_96_XHAO_L">Model!$BL$238</definedName>
    <definedName name="v_96_XHAO_L_P">Model!$BO$238</definedName>
    <definedName name="v_96_XHAO_L_P_old">Model!$BQ$238</definedName>
    <definedName name="v_96_XHAO_old">Model!$BM$238</definedName>
    <definedName name="v_96_XHFO_H">Model!$BD$238</definedName>
    <definedName name="v_96_XHFO_H_P">Model!$BG$238</definedName>
    <definedName name="v_96_XHFO_H_P_old">Model!$BI$238</definedName>
    <definedName name="v_96_XHFO_L">Model!$BE$238</definedName>
    <definedName name="v_96_XHFO_L_P">Model!$BH$238</definedName>
    <definedName name="v_96_XHFO_L_P_old">Model!$BJ$238</definedName>
    <definedName name="v_96_XHFO_old">Model!$BF$238</definedName>
    <definedName name="v_96_XHMETO">Model!$Y$238</definedName>
    <definedName name="v_96_XINORG">Model!$AW$238</definedName>
    <definedName name="v_96_XMEOLO">Model!$T$238</definedName>
    <definedName name="v_96_XN_B">Model!$AJ$238</definedName>
    <definedName name="v_96_XN_Be">Model!$AK$238</definedName>
    <definedName name="v_96_XN_U">Model!$AL$238</definedName>
    <definedName name="v_96_XNOB">Model!$V$238</definedName>
    <definedName name="v_96_XOHO">Model!$R$238</definedName>
    <definedName name="v_96_XP_B">Model!$AP$238</definedName>
    <definedName name="v_96_XP_Be">Model!$AQ$238</definedName>
    <definedName name="v_96_XP_U">Model!$AR$238</definedName>
    <definedName name="v_96_XPFOA">Model!$BX$238</definedName>
    <definedName name="v_96_XPFOS">Model!$BZ$238</definedName>
    <definedName name="v_96_XPHA_GAO">Model!$O$238</definedName>
    <definedName name="v_96_XPHA_PAO">Model!$N$238</definedName>
    <definedName name="v_96_XPP">Model!$AN$238</definedName>
    <definedName name="v_96_XSTR">Model!$BU$238</definedName>
    <definedName name="v_96_XU">Model!$M$238</definedName>
    <definedName name="v_96_XVivi">Model!$BV$238</definedName>
    <definedName name="v_97_CB">Model!$H$239</definedName>
    <definedName name="v_97_CU">Model!$L$239</definedName>
    <definedName name="v_97_GCH4">Model!$CE$239</definedName>
    <definedName name="v_97_GCH4_atm">Model!$CM$239</definedName>
    <definedName name="v_97_GCO2">Model!$CD$239</definedName>
    <definedName name="v_97_GCO2_atm">Model!$CL$239</definedName>
    <definedName name="v_97_GH2">Model!$CF$239</definedName>
    <definedName name="v_97_GH2_atm">Model!$CN$239</definedName>
    <definedName name="v_97_GN2">Model!$CK$239</definedName>
    <definedName name="v_97_GN2_atm">Model!$CS$239</definedName>
    <definedName name="v_97_GN2O">Model!$CJ$239</definedName>
    <definedName name="v_97_GN2O_atm">Model!$CR$239</definedName>
    <definedName name="v_97_GNH3">Model!$CH$239</definedName>
    <definedName name="v_97_GNH3_atm">Model!$CP$239</definedName>
    <definedName name="v_97_GNO">Model!$CI$239</definedName>
    <definedName name="v_97_GNO_atm">Model!$CQ$239</definedName>
    <definedName name="v_97_GO2">Model!$CG$239</definedName>
    <definedName name="v_97_GO2_atm">Model!$CO$239</definedName>
    <definedName name="v_97_SALPHA">Model!$CB$239</definedName>
    <definedName name="v_97_SAN">Model!$AY$239</definedName>
    <definedName name="v_97_SB">Model!$F$239</definedName>
    <definedName name="v_97_SCa">Model!$AZ$239</definedName>
    <definedName name="v_97_SCAT">Model!$AX$239</definedName>
    <definedName name="v_97_SCH4">Model!$AT$239</definedName>
    <definedName name="v_97_SCO2">Model!$AV$239</definedName>
    <definedName name="v_97_SFe2">Model!$BC$239</definedName>
    <definedName name="v_97_SH">Model!$CA$239</definedName>
    <definedName name="v_97_SH2">Model!$AU$239</definedName>
    <definedName name="v_97_SK">Model!$BB$239</definedName>
    <definedName name="v_97_SMEOL">Model!$G$239</definedName>
    <definedName name="v_97_SMg">Model!$BA$239</definedName>
    <definedName name="v_97_SN_B">Model!$AI$239</definedName>
    <definedName name="v_97_SN2">Model!$AH$239</definedName>
    <definedName name="v_97_SN2O">Model!$AG$239</definedName>
    <definedName name="v_97_SNH2OH">Model!$AB$239</definedName>
    <definedName name="v_97_SNHx">Model!$AA$239</definedName>
    <definedName name="v_97_SNO_AOB">Model!$AE$239</definedName>
    <definedName name="v_97_SNO_OHO">Model!$AF$239</definedName>
    <definedName name="v_97_SNO2">Model!$AD$239</definedName>
    <definedName name="v_97_SNO3">Model!$AC$239</definedName>
    <definedName name="v_97_SO2">Model!$AS$239</definedName>
    <definedName name="v_97_SORPswitch">Model!$CC$239</definedName>
    <definedName name="v_97_SP_B">Model!$AO$239</definedName>
    <definedName name="v_97_SPFOA">Model!$BW$239</definedName>
    <definedName name="v_97_SPFOS">Model!$BY$239</definedName>
    <definedName name="v_97_SPO4">Model!$AM$239</definedName>
    <definedName name="v_97_SU">Model!$K$239</definedName>
    <definedName name="v_97_SVFA">Model!$E$239</definedName>
    <definedName name="v_97_XACP">Model!$BS$239</definedName>
    <definedName name="v_97_XALGAE">Model!$Z$239</definedName>
    <definedName name="v_97_XAMETO">Model!$X$239</definedName>
    <definedName name="v_97_XAMX">Model!$W$239</definedName>
    <definedName name="v_97_XAOB">Model!$U$239</definedName>
    <definedName name="v_97_XB">Model!$I$239</definedName>
    <definedName name="v_97_XB_e">Model!$J$239</definedName>
    <definedName name="v_97_XBSH">Model!$BT$239</definedName>
    <definedName name="v_97_XCaCO3">Model!$BR$239</definedName>
    <definedName name="v_97_XCASTO">Model!$S$239</definedName>
    <definedName name="v_97_XE">Model!$P$239</definedName>
    <definedName name="v_97_XE_ana">Model!$Q$239</definedName>
    <definedName name="v_97_XHAO_H">Model!$BK$239</definedName>
    <definedName name="v_97_XHAO_H_P">Model!$BN$239</definedName>
    <definedName name="v_97_XHAO_H_P_old">Model!$BP$239</definedName>
    <definedName name="v_97_XHAO_L">Model!$BL$239</definedName>
    <definedName name="v_97_XHAO_L_P">Model!$BO$239</definedName>
    <definedName name="v_97_XHAO_L_P_old">Model!$BQ$239</definedName>
    <definedName name="v_97_XHAO_old">Model!$BM$239</definedName>
    <definedName name="v_97_XHFO_H">Model!$BD$239</definedName>
    <definedName name="v_97_XHFO_H_P">Model!$BG$239</definedName>
    <definedName name="v_97_XHFO_H_P_old">Model!$BI$239</definedName>
    <definedName name="v_97_XHFO_L">Model!$BE$239</definedName>
    <definedName name="v_97_XHFO_L_P">Model!$BH$239</definedName>
    <definedName name="v_97_XHFO_L_P_old">Model!$BJ$239</definedName>
    <definedName name="v_97_XHFO_old">Model!$BF$239</definedName>
    <definedName name="v_97_XHMETO">Model!$Y$239</definedName>
    <definedName name="v_97_XINORG">Model!$AW$239</definedName>
    <definedName name="v_97_XMEOLO">Model!$T$239</definedName>
    <definedName name="v_97_XN_B">Model!$AJ$239</definedName>
    <definedName name="v_97_XN_Be">Model!$AK$239</definedName>
    <definedName name="v_97_XN_U">Model!$AL$239</definedName>
    <definedName name="v_97_XNOB">Model!$V$239</definedName>
    <definedName name="v_97_XOHO">Model!$R$239</definedName>
    <definedName name="v_97_XP_B">Model!$AP$239</definedName>
    <definedName name="v_97_XP_Be">Model!$AQ$239</definedName>
    <definedName name="v_97_XP_U">Model!$AR$239</definedName>
    <definedName name="v_97_XPFOA">Model!$BX$239</definedName>
    <definedName name="v_97_XPFOS">Model!$BZ$239</definedName>
    <definedName name="v_97_XPHA_GAO">Model!$O$239</definedName>
    <definedName name="v_97_XPHA_PAO">Model!$N$239</definedName>
    <definedName name="v_97_XPP">Model!$AN$239</definedName>
    <definedName name="v_97_XSTR">Model!$BU$239</definedName>
    <definedName name="v_97_XU">Model!$M$239</definedName>
    <definedName name="v_97_XVivi">Model!$BV$239</definedName>
    <definedName name="v_98_CB">Model!$H$240</definedName>
    <definedName name="v_98_CU">Model!$L$240</definedName>
    <definedName name="v_98_GCH4">Model!$CE$240</definedName>
    <definedName name="v_98_GCH4_atm">Model!$CM$240</definedName>
    <definedName name="v_98_GCO2">Model!$CD$240</definedName>
    <definedName name="v_98_GCO2_atm">Model!$CL$240</definedName>
    <definedName name="v_98_GH2">Model!$CF$240</definedName>
    <definedName name="v_98_GH2_atm">Model!$CN$240</definedName>
    <definedName name="v_98_GN2">Model!$CK$240</definedName>
    <definedName name="v_98_GN2_atm">Model!$CS$240</definedName>
    <definedName name="v_98_GN2O">Model!$CJ$240</definedName>
    <definedName name="v_98_GN2O_atm">Model!$CR$240</definedName>
    <definedName name="v_98_GNH3">Model!$CH$240</definedName>
    <definedName name="v_98_GNH3_atm">Model!$CP$240</definedName>
    <definedName name="v_98_GNO">Model!$CI$240</definedName>
    <definedName name="v_98_GNO_atm">Model!$CQ$240</definedName>
    <definedName name="v_98_GO2">Model!$CG$240</definedName>
    <definedName name="v_98_GO2_atm">Model!$CO$240</definedName>
    <definedName name="v_98_SALPHA">Model!$CB$240</definedName>
    <definedName name="v_98_SAN">Model!$AY$240</definedName>
    <definedName name="v_98_SB">Model!$F$240</definedName>
    <definedName name="v_98_SCa">Model!$AZ$240</definedName>
    <definedName name="v_98_SCAT">Model!$AX$240</definedName>
    <definedName name="v_98_SCH4">Model!$AT$240</definedName>
    <definedName name="v_98_SCO2">Model!$AV$240</definedName>
    <definedName name="v_98_SFe2">Model!$BC$240</definedName>
    <definedName name="v_98_SH">Model!$CA$240</definedName>
    <definedName name="v_98_SH2">Model!$AU$240</definedName>
    <definedName name="v_98_SK">Model!$BB$240</definedName>
    <definedName name="v_98_SMEOL">Model!$G$240</definedName>
    <definedName name="v_98_SMg">Model!$BA$240</definedName>
    <definedName name="v_98_SN_B">Model!$AI$240</definedName>
    <definedName name="v_98_SN2">Model!$AH$240</definedName>
    <definedName name="v_98_SN2O">Model!$AG$240</definedName>
    <definedName name="v_98_SNH2OH">Model!$AB$240</definedName>
    <definedName name="v_98_SNHx">Model!$AA$240</definedName>
    <definedName name="v_98_SNO_AOB">Model!$AE$240</definedName>
    <definedName name="v_98_SNO_OHO">Model!$AF$240</definedName>
    <definedName name="v_98_SNO2">Model!$AD$240</definedName>
    <definedName name="v_98_SNO3">Model!$AC$240</definedName>
    <definedName name="v_98_SO2">Model!$AS$240</definedName>
    <definedName name="v_98_SORPswitch">Model!$CC$240</definedName>
    <definedName name="v_98_SP_B">Model!$AO$240</definedName>
    <definedName name="v_98_SPFOA">Model!$BW$240</definedName>
    <definedName name="v_98_SPFOS">Model!$BY$240</definedName>
    <definedName name="v_98_SPO4">Model!$AM$240</definedName>
    <definedName name="v_98_SU">Model!$K$240</definedName>
    <definedName name="v_98_SVFA">Model!$E$240</definedName>
    <definedName name="v_98_XACP">Model!$BS$240</definedName>
    <definedName name="v_98_XALGAE">Model!$Z$240</definedName>
    <definedName name="v_98_XAMETO">Model!$X$240</definedName>
    <definedName name="v_98_XAMX">Model!$W$240</definedName>
    <definedName name="v_98_XAOB">Model!$U$240</definedName>
    <definedName name="v_98_XB">Model!$I$240</definedName>
    <definedName name="v_98_XB_e">Model!$J$240</definedName>
    <definedName name="v_98_XBSH">Model!$BT$240</definedName>
    <definedName name="v_98_XCaCO3">Model!$BR$240</definedName>
    <definedName name="v_98_XCASTO">Model!$S$240</definedName>
    <definedName name="v_98_XE">Model!$P$240</definedName>
    <definedName name="v_98_XE_ana">Model!$Q$240</definedName>
    <definedName name="v_98_XHAO_H">Model!$BK$240</definedName>
    <definedName name="v_98_XHAO_H_P">Model!$BN$240</definedName>
    <definedName name="v_98_XHAO_H_P_old">Model!$BP$240</definedName>
    <definedName name="v_98_XHAO_L">Model!$BL$240</definedName>
    <definedName name="v_98_XHAO_L_P">Model!$BO$240</definedName>
    <definedName name="v_98_XHAO_L_P_old">Model!$BQ$240</definedName>
    <definedName name="v_98_XHAO_old">Model!$BM$240</definedName>
    <definedName name="v_98_XHFO_H">Model!$BD$240</definedName>
    <definedName name="v_98_XHFO_H_P">Model!$BG$240</definedName>
    <definedName name="v_98_XHFO_H_P_old">Model!$BI$240</definedName>
    <definedName name="v_98_XHFO_L">Model!$BE$240</definedName>
    <definedName name="v_98_XHFO_L_P">Model!$BH$240</definedName>
    <definedName name="v_98_XHFO_L_P_old">Model!$BJ$240</definedName>
    <definedName name="v_98_XHFO_old">Model!$BF$240</definedName>
    <definedName name="v_98_XHMETO">Model!$Y$240</definedName>
    <definedName name="v_98_XINORG">Model!$AW$240</definedName>
    <definedName name="v_98_XMEOLO">Model!$T$240</definedName>
    <definedName name="v_98_XN_B">Model!$AJ$240</definedName>
    <definedName name="v_98_XN_Be">Model!$AK$240</definedName>
    <definedName name="v_98_XN_U">Model!$AL$240</definedName>
    <definedName name="v_98_XNOB">Model!$V$240</definedName>
    <definedName name="v_98_XOHO">Model!$R$240</definedName>
    <definedName name="v_98_XP_B">Model!$AP$240</definedName>
    <definedName name="v_98_XP_Be">Model!$AQ$240</definedName>
    <definedName name="v_98_XP_U">Model!$AR$240</definedName>
    <definedName name="v_98_XPFOA">Model!$BX$240</definedName>
    <definedName name="v_98_XPFOS">Model!$BZ$240</definedName>
    <definedName name="v_98_XPHA_GAO">Model!$O$240</definedName>
    <definedName name="v_98_XPHA_PAO">Model!$N$240</definedName>
    <definedName name="v_98_XPP">Model!$AN$240</definedName>
    <definedName name="v_98_XSTR">Model!$BU$240</definedName>
    <definedName name="v_98_XU">Model!$M$240</definedName>
    <definedName name="v_98_XVivi">Model!$BV$240</definedName>
    <definedName name="v_99_CB">Model!$H$241</definedName>
    <definedName name="v_99_CU">Model!$L$241</definedName>
    <definedName name="v_99_GCH4">Model!$CE$241</definedName>
    <definedName name="v_99_GCH4_atm">Model!$CM$241</definedName>
    <definedName name="v_99_GCO2">Model!$CD$241</definedName>
    <definedName name="v_99_GCO2_atm">Model!$CL$241</definedName>
    <definedName name="v_99_GH2">Model!$CF$241</definedName>
    <definedName name="v_99_GH2_atm">Model!$CN$241</definedName>
    <definedName name="v_99_GN2">Model!$CK$241</definedName>
    <definedName name="v_99_GN2_atm">Model!$CS$241</definedName>
    <definedName name="v_99_GN2O">Model!$CJ$241</definedName>
    <definedName name="v_99_GN2O_atm">Model!$CR$241</definedName>
    <definedName name="v_99_GNH3">Model!$CH$241</definedName>
    <definedName name="v_99_GNH3_atm">Model!$CP$241</definedName>
    <definedName name="v_99_GNO">Model!$CI$241</definedName>
    <definedName name="v_99_GNO_atm">Model!$CQ$241</definedName>
    <definedName name="v_99_GO2">Model!$CG$241</definedName>
    <definedName name="v_99_GO2_atm">Model!$CO$241</definedName>
    <definedName name="v_99_SALPHA">Model!$CB$241</definedName>
    <definedName name="v_99_SAN">Model!$AY$241</definedName>
    <definedName name="v_99_SB">Model!$F$241</definedName>
    <definedName name="v_99_SCa">Model!$AZ$241</definedName>
    <definedName name="v_99_SCAT">Model!$AX$241</definedName>
    <definedName name="v_99_SCH4">Model!$AT$241</definedName>
    <definedName name="v_99_SCO2">Model!$AV$241</definedName>
    <definedName name="v_99_SFe2">Model!$BC$241</definedName>
    <definedName name="v_99_SH">Model!$CA$241</definedName>
    <definedName name="v_99_SH2">Model!$AU$241</definedName>
    <definedName name="v_99_SK">Model!$BB$241</definedName>
    <definedName name="v_99_SMEOL">Model!$G$241</definedName>
    <definedName name="v_99_SMg">Model!$BA$241</definedName>
    <definedName name="v_99_SN_B">Model!$AI$241</definedName>
    <definedName name="v_99_SN2">Model!$AH$241</definedName>
    <definedName name="v_99_SN2O">Model!$AG$241</definedName>
    <definedName name="v_99_SNH2OH">Model!$AB$241</definedName>
    <definedName name="v_99_SNHx">Model!$AA$241</definedName>
    <definedName name="v_99_SNO_AOB">Model!$AE$241</definedName>
    <definedName name="v_99_SNO_OHO">Model!$AF$241</definedName>
    <definedName name="v_99_SNO2">Model!$AD$241</definedName>
    <definedName name="v_99_SNO3">Model!$AC$241</definedName>
    <definedName name="v_99_SO2">Model!$AS$241</definedName>
    <definedName name="v_99_SORPswitch">Model!$CC$241</definedName>
    <definedName name="v_99_SP_B">Model!$AO$241</definedName>
    <definedName name="v_99_SPFOA">Model!$BW$241</definedName>
    <definedName name="v_99_SPFOS">Model!$BY$241</definedName>
    <definedName name="v_99_SPO4">Model!$AM$241</definedName>
    <definedName name="v_99_SU">Model!$K$241</definedName>
    <definedName name="v_99_SVFA">Model!$E$241</definedName>
    <definedName name="v_99_XACP">Model!$BS$241</definedName>
    <definedName name="v_99_XALGAE">Model!$Z$241</definedName>
    <definedName name="v_99_XAMETO">Model!$X$241</definedName>
    <definedName name="v_99_XAMX">Model!$W$241</definedName>
    <definedName name="v_99_XAOB">Model!$U$241</definedName>
    <definedName name="v_99_XB">Model!$I$241</definedName>
    <definedName name="v_99_XB_e">Model!$J$241</definedName>
    <definedName name="v_99_XBSH">Model!$BT$241</definedName>
    <definedName name="v_99_XCaCO3">Model!$BR$241</definedName>
    <definedName name="v_99_XCASTO">Model!$S$241</definedName>
    <definedName name="v_99_XE">Model!$P$241</definedName>
    <definedName name="v_99_XE_ana">Model!$Q$241</definedName>
    <definedName name="v_99_XHAO_H">Model!$BK$241</definedName>
    <definedName name="v_99_XHAO_H_P">Model!$BN$241</definedName>
    <definedName name="v_99_XHAO_H_P_old">Model!$BP$241</definedName>
    <definedName name="v_99_XHAO_L">Model!$BL$241</definedName>
    <definedName name="v_99_XHAO_L_P">Model!$BO$241</definedName>
    <definedName name="v_99_XHAO_L_P_old">Model!$BQ$241</definedName>
    <definedName name="v_99_XHAO_old">Model!$BM$241</definedName>
    <definedName name="v_99_XHFO_H">Model!$BD$241</definedName>
    <definedName name="v_99_XHFO_H_P">Model!$BG$241</definedName>
    <definedName name="v_99_XHFO_H_P_old">Model!$BI$241</definedName>
    <definedName name="v_99_XHFO_L">Model!$BE$241</definedName>
    <definedName name="v_99_XHFO_L_P">Model!$BH$241</definedName>
    <definedName name="v_99_XHFO_L_P_old">Model!$BJ$241</definedName>
    <definedName name="v_99_XHFO_old">Model!$BF$241</definedName>
    <definedName name="v_99_XHMETO">Model!$Y$241</definedName>
    <definedName name="v_99_XINORG">Model!$AW$241</definedName>
    <definedName name="v_99_XMEOLO">Model!$T$241</definedName>
    <definedName name="v_99_XN_B">Model!$AJ$241</definedName>
    <definedName name="v_99_XN_Be">Model!$AK$241</definedName>
    <definedName name="v_99_XN_U">Model!$AL$241</definedName>
    <definedName name="v_99_XNOB">Model!$V$241</definedName>
    <definedName name="v_99_XOHO">Model!$R$241</definedName>
    <definedName name="v_99_XP_B">Model!$AP$241</definedName>
    <definedName name="v_99_XP_Be">Model!$AQ$241</definedName>
    <definedName name="v_99_XP_U">Model!$AR$241</definedName>
    <definedName name="v_99_XPFOA">Model!$BX$241</definedName>
    <definedName name="v_99_XPFOS">Model!$BZ$241</definedName>
    <definedName name="v_99_XPHA_GAO">Model!$O$241</definedName>
    <definedName name="v_99_XPHA_PAO">Model!$N$241</definedName>
    <definedName name="v_99_XPP">Model!$AN$241</definedName>
    <definedName name="v_99_XSTR">Model!$BU$241</definedName>
    <definedName name="v_99_XU">Model!$M$241</definedName>
    <definedName name="v_99_XVivi">Model!$BV$241</definedName>
    <definedName name="V_mol_N">systemcode_constants!$D$62</definedName>
    <definedName name="X_ACP">Components!$E$70</definedName>
    <definedName name="X_ALGAE">Components!$E$25</definedName>
    <definedName name="X_AMETO">Components!$E$23</definedName>
    <definedName name="X_AMX">Components!$E$22</definedName>
    <definedName name="X_AOB">Components!$E$20</definedName>
    <definedName name="X_B">Components!$E$8</definedName>
    <definedName name="X_B_e">Components!$E$9</definedName>
    <definedName name="X_BIO">'Calculated variables'!$E$4</definedName>
    <definedName name="X_BOD_5">'Calculated variables'!$E$29</definedName>
    <definedName name="X_BOD_ult">'Calculated variables'!$E$26</definedName>
    <definedName name="X_BSH">Components!$E$71</definedName>
    <definedName name="X_CaCO3">Components!$E$69</definedName>
    <definedName name="X_CASTO">Components!$E$18</definedName>
    <definedName name="X_COD">'Calculated variables'!$E$6</definedName>
    <definedName name="X_CsbCOD">'Calculated variables'!$E$8</definedName>
    <definedName name="X_DM">'Calculated variables'!$E$24</definedName>
    <definedName name="X_E">Components!$E$15</definedName>
    <definedName name="X_E_ana">Components!$E$16</definedName>
    <definedName name="X_GAO">'Calculated variables'!$E$72</definedName>
    <definedName name="X_HAO">'Calculated variables'!$E$49</definedName>
    <definedName name="X_HAO_H">Components!$E$62</definedName>
    <definedName name="X_HAO_H_P">Components!$E$65</definedName>
    <definedName name="X_HAO_H_P_old">Components!$E$67</definedName>
    <definedName name="X_HAO_ISS">'Calculated variables'!$E$15</definedName>
    <definedName name="X_HAO_L">Components!$E$63</definedName>
    <definedName name="X_HAO_L_P">Components!$E$66</definedName>
    <definedName name="X_HAO_L_P_old">Components!$E$68</definedName>
    <definedName name="X_HAO_old">Components!$E$64</definedName>
    <definedName name="X_HAO_P">'Calculated variables'!$E$55</definedName>
    <definedName name="X_HAO_TSS">'Calculated variables'!$E$19</definedName>
    <definedName name="X_HET">'Calculated variables'!$E$5</definedName>
    <definedName name="X_HET_HYD_lim">Parameters!$D$280</definedName>
    <definedName name="X_HFO">'Calculated variables'!$E$48</definedName>
    <definedName name="X_HFO_H">Components!$E$55</definedName>
    <definedName name="X_HFO_H_P">Components!$E$58</definedName>
    <definedName name="X_HFO_H_P_old">Components!$E$60</definedName>
    <definedName name="X_HFO_ISS">'Calculated variables'!$E$14</definedName>
    <definedName name="X_HFO_L">Components!$E$56</definedName>
    <definedName name="X_HFO_L_P">Components!$E$59</definedName>
    <definedName name="X_HFO_L_P_old">Components!$E$61</definedName>
    <definedName name="X_HFO_old">Components!$E$57</definedName>
    <definedName name="X_HFO_P">'Calculated variables'!$E$54</definedName>
    <definedName name="X_HFO_TSS">'Calculated variables'!$E$18</definedName>
    <definedName name="X_HMETO">Components!$E$24</definedName>
    <definedName name="X_INORG">Components!$E$48</definedName>
    <definedName name="X_ISS">'Calculated variables'!$E$22</definedName>
    <definedName name="X_KN">'Calculated variables'!$E$39</definedName>
    <definedName name="X_Me_H2O_TSS">'Calculated variables'!$E$21</definedName>
    <definedName name="X_Me_H2O_VSS">'Calculated variables'!$E$17</definedName>
    <definedName name="X_Me_ISS">'Calculated variables'!$E$16</definedName>
    <definedName name="X_Me_TSS">'Calculated variables'!$E$20</definedName>
    <definedName name="X_MEOLO">Components!$E$19</definedName>
    <definedName name="X_N_B">Components!$E$35</definedName>
    <definedName name="X_N_Be">Components!$E$36</definedName>
    <definedName name="X_N_U">Components!$E$37</definedName>
    <definedName name="X_NOB">Components!$E$21</definedName>
    <definedName name="X_OHO">Components!$E$17</definedName>
    <definedName name="X_P">'Calculated variables'!$E$46</definedName>
    <definedName name="X_P_B">Components!$E$41</definedName>
    <definedName name="X_P_Be">Components!$E$42</definedName>
    <definedName name="X_P_U">Components!$E$43</definedName>
    <definedName name="X_PAO">'Calculated variables'!$E$71</definedName>
    <definedName name="X_PFOA">Components!$E$75</definedName>
    <definedName name="X_PFOS">Components!$E$77</definedName>
    <definedName name="X_PHA_CASTO">'Calculated variables'!$E$67</definedName>
    <definedName name="X_PHA_GAO">Components!$E$14</definedName>
    <definedName name="X_PHA_PAO">Components!$E$13</definedName>
    <definedName name="X_PP">Components!$E$39</definedName>
    <definedName name="X_PP_PAO_min">Parameters!$D$82</definedName>
    <definedName name="X_precip">'Calculated variables'!$E$13</definedName>
    <definedName name="X_STC">'Calculated variables'!$E$68</definedName>
    <definedName name="X_STR">Components!$E$72</definedName>
    <definedName name="X_TSS">'Calculated variables'!$E$23</definedName>
    <definedName name="X_U">Components!$E$12</definedName>
    <definedName name="X_Vivi">Components!$E$73</definedName>
    <definedName name="X_VS">'Calculated variables'!$E$11</definedName>
    <definedName name="X_VS_ult">'Calculated variables'!$E$12</definedName>
    <definedName name="X_VSS">'Calculated variables'!$E$10</definedName>
    <definedName name="X_VSS_BIO">'Calculated variables'!$E$9</definedName>
    <definedName name="Y_AMETO">Parameters!$D$376</definedName>
    <definedName name="Y_AMX_NO2">Parameters!$D$374</definedName>
    <definedName name="Y_AMX_NO3">Parameters!$D$375</definedName>
    <definedName name="Y_AOB">Parameters!$D$372</definedName>
    <definedName name="Y_BOD_ult">Parameters!$D$427</definedName>
    <definedName name="Y_CASTO_H2_ana_high">Parameters!$D$364</definedName>
    <definedName name="Y_CASTO_H2_ana_low">Parameters!$D$365</definedName>
    <definedName name="Y_CASTO_SB_ana">Parameters!$D$363</definedName>
    <definedName name="Y_CASTO_STC_anox">'Calculated variables'!$E$77</definedName>
    <definedName name="Y_CASTO_STC_ox">'Calculated variables'!$E$76</definedName>
    <definedName name="y_fdi">'Calculated variables'!$E$582</definedName>
    <definedName name="y_fmono">'Calculated variables'!$E$581</definedName>
    <definedName name="y_ftri">'Calculated variables'!$E$583</definedName>
    <definedName name="Y_GAO_PHA_anox">Parameters!$D$371</definedName>
    <definedName name="Y_GAO_PHA_ox">Parameters!$D$370</definedName>
    <definedName name="Y_HMETO">Parameters!$D$377</definedName>
    <definedName name="Y_MEOLO">Parameters!$D$360</definedName>
    <definedName name="Y_NOB">Parameters!$D$373</definedName>
    <definedName name="Y_OHO_H2_ana_high">Parameters!$D$357</definedName>
    <definedName name="Y_OHO_H2_ana_low">Parameters!$D$358</definedName>
    <definedName name="Y_OHO_SB_ana">Parameters!$D$356</definedName>
    <definedName name="Y_OHO_SB_anox">Parameters!$D$355</definedName>
    <definedName name="Y_OHO_SB_ox">Parameters!$D$354</definedName>
    <definedName name="Y_OHO_SMEOL_ox">Parameters!$D$359</definedName>
    <definedName name="Y_OHO_VFA_anox">Parameters!$D$353</definedName>
    <definedName name="Y_OHO_VFA_ox">Parameters!$D$352</definedName>
    <definedName name="y_ORP_GAO_Half_T">'Calculated variables'!$E$92</definedName>
    <definedName name="Y_PAO_PHA_anox">Parameters!$D$362</definedName>
    <definedName name="Y_PAO_PHA_ox">Parameters!$D$361</definedName>
    <definedName name="Y_PP_CASTO_anox">Parameters!$D$367</definedName>
    <definedName name="Y_PP_CASTO_ox">Parameters!$D$366</definedName>
    <definedName name="α_pred">'Calculated variables'!$E$797</definedName>
    <definedName name="Δ_atm">systemcode_constants!$D$56</definedName>
    <definedName name="ε__">'Calculated variables'!$E$579</definedName>
    <definedName name="η_b_ana">Parameters!$D$259</definedName>
    <definedName name="η_b_anox">Parameters!$D$258</definedName>
    <definedName name="η_bCASTO_ana">Parameters!$D$65</definedName>
    <definedName name="η_bCASTO_anox">Parameters!$D$64</definedName>
    <definedName name="η_bPHA_ana">Parameters!$D$92</definedName>
    <definedName name="η_bPP_aer">Parameters!$D$67</definedName>
    <definedName name="η_bPP_anox">Parameters!$D$68</definedName>
    <definedName name="η_bSTC_anox">Parameters!$D$66</definedName>
    <definedName name="η_CASTO_anox">Parameters!$D$63</definedName>
    <definedName name="η_H2O">systemcode_constants!$D$42</definedName>
    <definedName name="η_HYD_ana">Parameters!$D$271</definedName>
    <definedName name="η_HYD_anox">Parameters!$D$270</definedName>
    <definedName name="η_NH2OH_dispr_ana">Parameters!$D$152</definedName>
    <definedName name="η_OHO_N2O">Parameters!$D$13</definedName>
    <definedName name="η_OHO_NO">Parameters!$D$12</definedName>
    <definedName name="η_OHO_NO2">Parameters!$D$11</definedName>
    <definedName name="η_OHO_NO3">Parameters!$D$10</definedName>
    <definedName name="θ_µ_ALGAE">Parameters!$D$335</definedName>
    <definedName name="θ_µ_AMETO">Parameters!$D$331</definedName>
    <definedName name="θ_µ_AMX">Parameters!$D$329</definedName>
    <definedName name="θ_µ_AOB">Parameters!$D$325</definedName>
    <definedName name="θ_µ_CASTO">Parameters!$D$316</definedName>
    <definedName name="θ_µ_HMETO">Parameters!$D$333</definedName>
    <definedName name="θ_µ_MEOLO">Parameters!$D$314</definedName>
    <definedName name="θ_µ_NOB">Parameters!$D$327</definedName>
    <definedName name="θ_µ_OHO">Parameters!$D$311</definedName>
    <definedName name="θ_µ_PAO_lim">Parameters!$D$317</definedName>
    <definedName name="θ_b_ALGAE">Parameters!$D$336</definedName>
    <definedName name="θ_b_AMETO">Parameters!$D$332</definedName>
    <definedName name="θ_b_AMX">Parameters!$D$330</definedName>
    <definedName name="θ_b_AOB">Parameters!$D$326</definedName>
    <definedName name="θ_b_CASTO">Parameters!$D$321</definedName>
    <definedName name="θ_b_HMETO">Parameters!$D$334</definedName>
    <definedName name="θ_b_MEOLO">Parameters!$D$315</definedName>
    <definedName name="θ_b_NOB">Parameters!$D$328</definedName>
    <definedName name="θ_b_OHO">Parameters!$D$313</definedName>
    <definedName name="θ_b_PP_ana">Parameters!$D$323</definedName>
    <definedName name="θ_b_STC">Parameters!$D$322</definedName>
    <definedName name="θ_FERM_OHO">Parameters!$D$312</definedName>
    <definedName name="θ_FERM_PAO">Parameters!$D$318</definedName>
    <definedName name="θ_q_AMMON">Parameters!$D$341</definedName>
    <definedName name="θ_q_ASSIM">Parameters!$D$345</definedName>
    <definedName name="θ_q_Fe2_OX">Parameters!$D$346</definedName>
    <definedName name="θ_q_FLOC">Parameters!$D$337</definedName>
    <definedName name="θ_q_FLOC_HAO">Parameters!$D$339</definedName>
    <definedName name="θ_q_FLOC_HFO">Parameters!$D$338</definedName>
    <definedName name="θ_q_GAO_PHA">Parameters!$D$324</definedName>
    <definedName name="θ_q_HFO_RED">Parameters!$D$347</definedName>
    <definedName name="θ_q_HYD">Parameters!$D$340</definedName>
    <definedName name="θ_q_PAO_PHA">Parameters!$D$320</definedName>
    <definedName name="θ_q_PAO_PP">Parameters!$D$319</definedName>
    <definedName name="θ_q_SPB">Parameters!$D$342</definedName>
    <definedName name="θ_q_XE">Parameters!$D$343</definedName>
    <definedName name="θ_q_XU">Parameters!$D$344</definedName>
    <definedName name="κ__">systemcode_constants!$D$63</definedName>
    <definedName name="λ_H">systemcode_constants!$D$356</definedName>
    <definedName name="ρ__">'Calculated variables'!$E$580</definedName>
    <definedName name="ρ_air">systemcode_constants!$D$50</definedName>
    <definedName name="ρ_H2O">systemcode_constants!$D$41</definedName>
    <definedName name="σ_H2O">systemcode_constants!$D$40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03" i="5" l="1"/>
  <c r="E802" i="5" s="1"/>
  <c r="E792" i="5"/>
  <c r="E791" i="5"/>
  <c r="E790" i="5"/>
  <c r="E786" i="5"/>
  <c r="E785" i="5"/>
  <c r="E784" i="5"/>
  <c r="E783" i="5"/>
  <c r="E782" i="5"/>
  <c r="E781" i="5"/>
  <c r="E780" i="5"/>
  <c r="E779" i="5"/>
  <c r="E778" i="5"/>
  <c r="E777" i="5"/>
  <c r="E776" i="5"/>
  <c r="E775" i="5"/>
  <c r="E774" i="5"/>
  <c r="E773" i="5"/>
  <c r="E633" i="5"/>
  <c r="E580" i="5"/>
  <c r="E574" i="5"/>
  <c r="E573" i="5"/>
  <c r="E572" i="5"/>
  <c r="E571" i="5"/>
  <c r="E570" i="5"/>
  <c r="CT217" i="1" s="1"/>
  <c r="E569" i="5"/>
  <c r="CT216" i="1" s="1"/>
  <c r="E568" i="5"/>
  <c r="CT215" i="1" s="1"/>
  <c r="E567" i="5"/>
  <c r="E566" i="5"/>
  <c r="E565" i="5"/>
  <c r="E564" i="5"/>
  <c r="E563" i="5"/>
  <c r="E562" i="5"/>
  <c r="E561" i="5"/>
  <c r="E560" i="5"/>
  <c r="E559" i="5"/>
  <c r="E558" i="5"/>
  <c r="E557" i="5"/>
  <c r="E556" i="5"/>
  <c r="E555" i="5"/>
  <c r="E554" i="5"/>
  <c r="E553" i="5"/>
  <c r="E552" i="5"/>
  <c r="E551" i="5"/>
  <c r="E550" i="5"/>
  <c r="E549" i="5"/>
  <c r="E548" i="5"/>
  <c r="E547" i="5"/>
  <c r="E546" i="5"/>
  <c r="E545" i="5"/>
  <c r="E544" i="5"/>
  <c r="E543" i="5"/>
  <c r="E542" i="5"/>
  <c r="E541" i="5"/>
  <c r="E540" i="5"/>
  <c r="E539" i="5"/>
  <c r="E538" i="5"/>
  <c r="E537" i="5"/>
  <c r="E533" i="5"/>
  <c r="E532" i="5"/>
  <c r="E531" i="5"/>
  <c r="E530" i="5"/>
  <c r="E529" i="5"/>
  <c r="E528" i="5"/>
  <c r="E527" i="5"/>
  <c r="CT236" i="1" s="1"/>
  <c r="E525" i="5"/>
  <c r="CT226" i="1" s="1"/>
  <c r="E524" i="5"/>
  <c r="CT227" i="1" s="1"/>
  <c r="E519" i="5"/>
  <c r="E516" i="5"/>
  <c r="E518" i="5" s="1"/>
  <c r="E515" i="5"/>
  <c r="E514" i="5"/>
  <c r="E513" i="5"/>
  <c r="E509" i="5"/>
  <c r="E508" i="5"/>
  <c r="E507" i="5"/>
  <c r="E506" i="5"/>
  <c r="E505" i="5"/>
  <c r="E504" i="5"/>
  <c r="E502" i="5"/>
  <c r="E501" i="5"/>
  <c r="E500" i="5"/>
  <c r="E499" i="5"/>
  <c r="E498" i="5"/>
  <c r="E497" i="5"/>
  <c r="E481" i="5"/>
  <c r="E468" i="5"/>
  <c r="E454" i="5"/>
  <c r="E453" i="5"/>
  <c r="E452" i="5"/>
  <c r="CT194" i="1" s="1"/>
  <c r="E379" i="5"/>
  <c r="E377" i="5"/>
  <c r="E375" i="5"/>
  <c r="E373" i="5"/>
  <c r="E371" i="5"/>
  <c r="E369" i="5"/>
  <c r="E367" i="5"/>
  <c r="E363" i="5"/>
  <c r="E526" i="5" s="1"/>
  <c r="CT238" i="1" s="1"/>
  <c r="E362" i="5"/>
  <c r="E523" i="5" s="1"/>
  <c r="E360" i="5"/>
  <c r="E359" i="5"/>
  <c r="E358" i="5"/>
  <c r="E351" i="5"/>
  <c r="E350" i="5"/>
  <c r="E348" i="5"/>
  <c r="E343" i="5"/>
  <c r="E521" i="5" s="1"/>
  <c r="E341" i="5"/>
  <c r="E522" i="5" s="1"/>
  <c r="E339" i="5"/>
  <c r="E503" i="5" s="1"/>
  <c r="E337" i="5"/>
  <c r="E512" i="5" s="1"/>
  <c r="E335" i="5"/>
  <c r="E392" i="5" s="1"/>
  <c r="E333" i="5"/>
  <c r="E393" i="5" s="1"/>
  <c r="E331" i="5"/>
  <c r="E390" i="5" s="1"/>
  <c r="E329" i="5"/>
  <c r="E391" i="5" s="1"/>
  <c r="E327" i="5"/>
  <c r="E394" i="5" s="1"/>
  <c r="E325" i="5"/>
  <c r="E396" i="5" s="1"/>
  <c r="E323" i="5"/>
  <c r="E395" i="5" s="1"/>
  <c r="E318" i="5"/>
  <c r="E316" i="5"/>
  <c r="E493" i="5" s="1"/>
  <c r="E314" i="5"/>
  <c r="E494" i="5" s="1"/>
  <c r="E309" i="5"/>
  <c r="E307" i="5"/>
  <c r="E490" i="5" s="1"/>
  <c r="E305" i="5"/>
  <c r="E361" i="5" s="1"/>
  <c r="E303" i="5"/>
  <c r="E301" i="5"/>
  <c r="E296" i="5"/>
  <c r="E464" i="5" s="1"/>
  <c r="E294" i="5"/>
  <c r="E471" i="5" s="1"/>
  <c r="E292" i="5"/>
  <c r="E472" i="5" s="1"/>
  <c r="E290" i="5"/>
  <c r="E473" i="5" s="1"/>
  <c r="E288" i="5"/>
  <c r="E478" i="5" s="1"/>
  <c r="E286" i="5"/>
  <c r="E479" i="5" s="1"/>
  <c r="E284" i="5"/>
  <c r="E462" i="5" s="1"/>
  <c r="E282" i="5"/>
  <c r="E474" i="5" s="1"/>
  <c r="E280" i="5"/>
  <c r="E476" i="5" s="1"/>
  <c r="E275" i="5"/>
  <c r="E428" i="5" s="1"/>
  <c r="E273" i="5"/>
  <c r="E427" i="5" s="1"/>
  <c r="E271" i="5"/>
  <c r="E269" i="5"/>
  <c r="E429" i="5" s="1"/>
  <c r="E263" i="5"/>
  <c r="E412" i="5" s="1"/>
  <c r="E261" i="5"/>
  <c r="E259" i="5"/>
  <c r="E406" i="5" s="1"/>
  <c r="E257" i="5"/>
  <c r="E255" i="5"/>
  <c r="E405" i="5" s="1"/>
  <c r="E253" i="5"/>
  <c r="E417" i="5" s="1"/>
  <c r="E251" i="5"/>
  <c r="E416" i="5" s="1"/>
  <c r="E249" i="5"/>
  <c r="E397" i="5" s="1"/>
  <c r="E247" i="5"/>
  <c r="E414" i="5" s="1"/>
  <c r="E245" i="5"/>
  <c r="E413" i="5" s="1"/>
  <c r="E243" i="5"/>
  <c r="E403" i="5" s="1"/>
  <c r="E241" i="5"/>
  <c r="E402" i="5" s="1"/>
  <c r="E239" i="5"/>
  <c r="E401" i="5" s="1"/>
  <c r="E237" i="5"/>
  <c r="E400" i="5" s="1"/>
  <c r="E235" i="5"/>
  <c r="E418" i="5" s="1"/>
  <c r="E233" i="5"/>
  <c r="E423" i="5" s="1"/>
  <c r="E231" i="5"/>
  <c r="E422" i="5" s="1"/>
  <c r="E229" i="5"/>
  <c r="E421" i="5" s="1"/>
  <c r="E227" i="5"/>
  <c r="E420" i="5" s="1"/>
  <c r="E225" i="5"/>
  <c r="E419" i="5" s="1"/>
  <c r="E223" i="5"/>
  <c r="E411" i="5" s="1"/>
  <c r="E221" i="5"/>
  <c r="E410" i="5" s="1"/>
  <c r="E219" i="5"/>
  <c r="E409" i="5" s="1"/>
  <c r="E217" i="5"/>
  <c r="E408" i="5" s="1"/>
  <c r="E215" i="5"/>
  <c r="E407" i="5" s="1"/>
  <c r="E210" i="5"/>
  <c r="E208" i="5"/>
  <c r="E459" i="5" s="1"/>
  <c r="E206" i="5"/>
  <c r="E460" i="5" s="1"/>
  <c r="E205" i="5"/>
  <c r="E203" i="5"/>
  <c r="E458" i="5" s="1"/>
  <c r="E201" i="5"/>
  <c r="E457" i="5" s="1"/>
  <c r="E196" i="5"/>
  <c r="E451" i="5" s="1"/>
  <c r="E194" i="5"/>
  <c r="E192" i="5"/>
  <c r="E449" i="5" s="1"/>
  <c r="E189" i="5"/>
  <c r="E450" i="5" s="1"/>
  <c r="E188" i="5"/>
  <c r="E186" i="5"/>
  <c r="E448" i="5" s="1"/>
  <c r="E180" i="5"/>
  <c r="E178" i="5"/>
  <c r="E436" i="5" s="1"/>
  <c r="E176" i="5"/>
  <c r="E445" i="5" s="1"/>
  <c r="E174" i="5"/>
  <c r="E444" i="5" s="1"/>
  <c r="E172" i="5"/>
  <c r="E170" i="5"/>
  <c r="E433" i="5" s="1"/>
  <c r="E167" i="5"/>
  <c r="E442" i="5" s="1"/>
  <c r="E164" i="5"/>
  <c r="E441" i="5" s="1"/>
  <c r="E162" i="5"/>
  <c r="E160" i="5"/>
  <c r="E439" i="5" s="1"/>
  <c r="E158" i="5"/>
  <c r="E438" i="5" s="1"/>
  <c r="E156" i="5"/>
  <c r="E437" i="5" s="1"/>
  <c r="E152" i="5"/>
  <c r="E144" i="5"/>
  <c r="E91" i="5"/>
  <c r="E92" i="5" s="1"/>
  <c r="E93" i="5" s="1"/>
  <c r="E94" i="5" s="1"/>
  <c r="E73" i="5" s="1"/>
  <c r="E90" i="5"/>
  <c r="E83" i="5"/>
  <c r="E82" i="5"/>
  <c r="E70" i="5"/>
  <c r="E72" i="5" s="1"/>
  <c r="E69" i="5"/>
  <c r="E71" i="5" s="1"/>
  <c r="E68" i="5"/>
  <c r="E465" i="5" s="1"/>
  <c r="E67" i="5"/>
  <c r="E63" i="5"/>
  <c r="E62" i="5"/>
  <c r="E61" i="5"/>
  <c r="E56" i="5"/>
  <c r="E55" i="5"/>
  <c r="E54" i="5"/>
  <c r="E53" i="5"/>
  <c r="E52" i="5"/>
  <c r="E51" i="5"/>
  <c r="E50" i="5"/>
  <c r="E49" i="5"/>
  <c r="E15" i="5" s="1"/>
  <c r="E48" i="5"/>
  <c r="E47" i="5"/>
  <c r="E44" i="5"/>
  <c r="E43" i="5"/>
  <c r="E42" i="5"/>
  <c r="E41" i="5"/>
  <c r="E40" i="5"/>
  <c r="E37" i="5"/>
  <c r="E36" i="5"/>
  <c r="E35" i="5"/>
  <c r="E32" i="5"/>
  <c r="E31" i="5"/>
  <c r="E28" i="5"/>
  <c r="E26" i="5"/>
  <c r="E29" i="5" s="1"/>
  <c r="E25" i="5"/>
  <c r="E21" i="5"/>
  <c r="E19" i="5"/>
  <c r="E18" i="5"/>
  <c r="E17" i="5"/>
  <c r="E14" i="5"/>
  <c r="E13" i="5"/>
  <c r="E12" i="5"/>
  <c r="E9" i="5"/>
  <c r="E8" i="5"/>
  <c r="E7" i="5"/>
  <c r="E6" i="5"/>
  <c r="E33" i="5" s="1"/>
  <c r="E59" i="5" s="1"/>
  <c r="E5" i="5"/>
  <c r="E4" i="5"/>
  <c r="DF262" i="1"/>
  <c r="DE262" i="1"/>
  <c r="CV262" i="1"/>
  <c r="DF261" i="1"/>
  <c r="DE261" i="1"/>
  <c r="CV261" i="1"/>
  <c r="DF259" i="1"/>
  <c r="DE259" i="1"/>
  <c r="CV259" i="1"/>
  <c r="DF258" i="1"/>
  <c r="DE258" i="1"/>
  <c r="CV258" i="1"/>
  <c r="DF257" i="1"/>
  <c r="DE257" i="1"/>
  <c r="CV257" i="1"/>
  <c r="DF256" i="1"/>
  <c r="DE256" i="1"/>
  <c r="CV256" i="1"/>
  <c r="DF255" i="1"/>
  <c r="DE255" i="1"/>
  <c r="CV255" i="1"/>
  <c r="DF254" i="1"/>
  <c r="DE254" i="1"/>
  <c r="CV254" i="1"/>
  <c r="DF253" i="1"/>
  <c r="DE253" i="1"/>
  <c r="CV253" i="1"/>
  <c r="DF251" i="1"/>
  <c r="DE251" i="1"/>
  <c r="CV251" i="1"/>
  <c r="DF250" i="1"/>
  <c r="DE250" i="1"/>
  <c r="CV250" i="1"/>
  <c r="DF249" i="1"/>
  <c r="DE249" i="1"/>
  <c r="CV249" i="1"/>
  <c r="DF248" i="1"/>
  <c r="DE248" i="1"/>
  <c r="CV248" i="1"/>
  <c r="DF247" i="1"/>
  <c r="DE247" i="1"/>
  <c r="CV247" i="1"/>
  <c r="DF246" i="1"/>
  <c r="DE246" i="1"/>
  <c r="CV246" i="1"/>
  <c r="DF245" i="1"/>
  <c r="DE245" i="1"/>
  <c r="CV245" i="1"/>
  <c r="DF244" i="1"/>
  <c r="DE244" i="1"/>
  <c r="CV244" i="1"/>
  <c r="DF243" i="1"/>
  <c r="DE243" i="1"/>
  <c r="CV243" i="1"/>
  <c r="DF242" i="1"/>
  <c r="DE242" i="1"/>
  <c r="CV242" i="1"/>
  <c r="DF241" i="1"/>
  <c r="DE241" i="1"/>
  <c r="CV241" i="1"/>
  <c r="DF240" i="1"/>
  <c r="DE240" i="1"/>
  <c r="CV240" i="1"/>
  <c r="DF239" i="1"/>
  <c r="DE239" i="1"/>
  <c r="CV239" i="1"/>
  <c r="DF233" i="1"/>
  <c r="DE233" i="1"/>
  <c r="CV233" i="1"/>
  <c r="DF232" i="1"/>
  <c r="DE232" i="1"/>
  <c r="CV232" i="1"/>
  <c r="DF231" i="1"/>
  <c r="DE231" i="1"/>
  <c r="CV231" i="1"/>
  <c r="DF224" i="1"/>
  <c r="DE224" i="1"/>
  <c r="CV224" i="1"/>
  <c r="DF223" i="1"/>
  <c r="DE223" i="1"/>
  <c r="CV223" i="1"/>
  <c r="DF219" i="1"/>
  <c r="DE219" i="1"/>
  <c r="CV219" i="1"/>
  <c r="DF216" i="1"/>
  <c r="DE216" i="1"/>
  <c r="CV216" i="1"/>
  <c r="DF215" i="1"/>
  <c r="DE215" i="1"/>
  <c r="CV215" i="1"/>
  <c r="DF213" i="1"/>
  <c r="DE213" i="1"/>
  <c r="CV213" i="1"/>
  <c r="DF195" i="1"/>
  <c r="DE195" i="1"/>
  <c r="CV195" i="1"/>
  <c r="DF194" i="1"/>
  <c r="DE194" i="1"/>
  <c r="CV194" i="1"/>
  <c r="DF193" i="1"/>
  <c r="DE193" i="1"/>
  <c r="CV193" i="1"/>
  <c r="DF187" i="1"/>
  <c r="DE187" i="1"/>
  <c r="CV187" i="1"/>
  <c r="DF186" i="1"/>
  <c r="DE186" i="1"/>
  <c r="CV186" i="1"/>
  <c r="DF185" i="1"/>
  <c r="DE185" i="1"/>
  <c r="CV185" i="1"/>
  <c r="DF183" i="1"/>
  <c r="DE183" i="1"/>
  <c r="CV183" i="1"/>
  <c r="DF182" i="1"/>
  <c r="DE182" i="1"/>
  <c r="CV182" i="1"/>
  <c r="BV275" i="1"/>
  <c r="AW274" i="1"/>
  <c r="DD182" i="1" s="1"/>
  <c r="BU273" i="1"/>
  <c r="AW273" i="1"/>
  <c r="AN273" i="1"/>
  <c r="BT272" i="1"/>
  <c r="BS272" i="1"/>
  <c r="BR272" i="1"/>
  <c r="AW272" i="1"/>
  <c r="AN272" i="1"/>
  <c r="AN271" i="1"/>
  <c r="DA249" i="1" s="1"/>
  <c r="AW270" i="1"/>
  <c r="CZ249" i="1" s="1"/>
  <c r="BV269" i="1"/>
  <c r="BU269" i="1"/>
  <c r="BT269" i="1"/>
  <c r="BS269" i="1"/>
  <c r="BQ269" i="1"/>
  <c r="BP269" i="1"/>
  <c r="BO269" i="1"/>
  <c r="BN269" i="1"/>
  <c r="BJ269" i="1"/>
  <c r="BI269" i="1"/>
  <c r="BH269" i="1"/>
  <c r="BG269" i="1"/>
  <c r="Z269" i="1"/>
  <c r="Y269" i="1"/>
  <c r="X269" i="1"/>
  <c r="W269" i="1"/>
  <c r="V269" i="1"/>
  <c r="U269" i="1"/>
  <c r="T269" i="1"/>
  <c r="S269" i="1"/>
  <c r="R269" i="1"/>
  <c r="Q269" i="1"/>
  <c r="P269" i="1"/>
  <c r="L269" i="1"/>
  <c r="K269" i="1"/>
  <c r="H269" i="1"/>
  <c r="CS268" i="1"/>
  <c r="CR268" i="1"/>
  <c r="CQ268" i="1"/>
  <c r="CP268" i="1"/>
  <c r="BU268" i="1"/>
  <c r="Z268" i="1"/>
  <c r="Y268" i="1"/>
  <c r="X268" i="1"/>
  <c r="W268" i="1"/>
  <c r="V268" i="1"/>
  <c r="U268" i="1"/>
  <c r="T268" i="1"/>
  <c r="S268" i="1"/>
  <c r="R268" i="1"/>
  <c r="Q268" i="1"/>
  <c r="P268" i="1"/>
  <c r="L268" i="1"/>
  <c r="K268" i="1"/>
  <c r="H268" i="1"/>
  <c r="CM267" i="1"/>
  <c r="CL267" i="1"/>
  <c r="CE267" i="1"/>
  <c r="BR267" i="1"/>
  <c r="AT267" i="1"/>
  <c r="Z267" i="1"/>
  <c r="Y267" i="1"/>
  <c r="X267" i="1"/>
  <c r="W267" i="1"/>
  <c r="V267" i="1"/>
  <c r="U267" i="1"/>
  <c r="T267" i="1"/>
  <c r="S267" i="1"/>
  <c r="R267" i="1"/>
  <c r="Q267" i="1"/>
  <c r="P267" i="1"/>
  <c r="O267" i="1"/>
  <c r="N267" i="1"/>
  <c r="M267" i="1"/>
  <c r="L267" i="1"/>
  <c r="K267" i="1"/>
  <c r="J267" i="1"/>
  <c r="I267" i="1"/>
  <c r="H267" i="1"/>
  <c r="G267" i="1"/>
  <c r="F267" i="1"/>
  <c r="E267" i="1"/>
  <c r="CS266" i="1"/>
  <c r="CR266" i="1"/>
  <c r="CQ266" i="1"/>
  <c r="CO266" i="1"/>
  <c r="CN266" i="1"/>
  <c r="CM266" i="1"/>
  <c r="CK266" i="1"/>
  <c r="CJ266" i="1"/>
  <c r="CI266" i="1"/>
  <c r="BV266" i="1"/>
  <c r="BC266" i="1"/>
  <c r="AH266" i="1"/>
  <c r="AG266" i="1"/>
  <c r="AF266" i="1"/>
  <c r="AE266" i="1"/>
  <c r="AD266" i="1"/>
  <c r="AC266" i="1"/>
  <c r="AB266" i="1"/>
  <c r="CT262" i="1"/>
  <c r="CT261" i="1"/>
  <c r="CT260" i="1"/>
  <c r="CT258" i="1"/>
  <c r="CT257" i="1"/>
  <c r="CT256" i="1"/>
  <c r="CT254" i="1"/>
  <c r="CT253" i="1"/>
  <c r="CT252" i="1"/>
  <c r="CT250" i="1"/>
  <c r="CT249" i="1"/>
  <c r="CT248" i="1"/>
  <c r="CT233" i="1"/>
  <c r="CT232" i="1"/>
  <c r="CT225" i="1"/>
  <c r="CT224" i="1"/>
  <c r="CT223" i="1"/>
  <c r="CT212" i="1"/>
  <c r="CT211" i="1"/>
  <c r="CS262" i="1"/>
  <c r="CS261" i="1"/>
  <c r="CS260" i="1"/>
  <c r="CS259" i="1"/>
  <c r="CS258" i="1"/>
  <c r="CS257" i="1"/>
  <c r="CS256" i="1"/>
  <c r="CS255" i="1"/>
  <c r="CS254" i="1"/>
  <c r="CS253" i="1"/>
  <c r="CS252" i="1"/>
  <c r="CS251" i="1"/>
  <c r="CS250" i="1"/>
  <c r="CS249" i="1"/>
  <c r="CS248" i="1"/>
  <c r="CS247" i="1"/>
  <c r="CS246" i="1"/>
  <c r="CS245" i="1"/>
  <c r="CS244" i="1"/>
  <c r="CS243" i="1"/>
  <c r="CS242" i="1"/>
  <c r="CS241" i="1"/>
  <c r="CS240" i="1"/>
  <c r="CS239" i="1"/>
  <c r="CS238" i="1"/>
  <c r="CS237" i="1"/>
  <c r="CS236" i="1"/>
  <c r="CS235" i="1"/>
  <c r="CS234" i="1"/>
  <c r="CS233" i="1"/>
  <c r="CS232" i="1"/>
  <c r="CS231" i="1"/>
  <c r="CS230" i="1"/>
  <c r="CS229" i="1"/>
  <c r="CS228" i="1"/>
  <c r="CS227" i="1"/>
  <c r="CS226" i="1"/>
  <c r="CS225" i="1"/>
  <c r="CS224" i="1"/>
  <c r="CS223" i="1"/>
  <c r="CS222" i="1"/>
  <c r="CS221" i="1"/>
  <c r="CS220" i="1"/>
  <c r="CS219" i="1"/>
  <c r="CS218" i="1"/>
  <c r="CS217" i="1"/>
  <c r="CS216" i="1"/>
  <c r="CS215" i="1"/>
  <c r="CS214" i="1"/>
  <c r="CS213" i="1"/>
  <c r="CS212" i="1"/>
  <c r="CS211" i="1"/>
  <c r="CS210" i="1"/>
  <c r="CS209" i="1"/>
  <c r="CS208" i="1"/>
  <c r="CS207" i="1"/>
  <c r="CS206" i="1"/>
  <c r="CS205" i="1"/>
  <c r="CS204" i="1"/>
  <c r="CS203" i="1"/>
  <c r="CS202" i="1"/>
  <c r="CS201" i="1"/>
  <c r="CS200" i="1"/>
  <c r="CS199" i="1"/>
  <c r="CS198" i="1"/>
  <c r="CS197" i="1"/>
  <c r="CS196" i="1"/>
  <c r="CS195" i="1"/>
  <c r="CS194" i="1"/>
  <c r="CS193" i="1"/>
  <c r="CS192" i="1"/>
  <c r="CS191" i="1"/>
  <c r="CS190" i="1"/>
  <c r="CS189" i="1"/>
  <c r="CS188" i="1"/>
  <c r="CS187" i="1"/>
  <c r="CS186" i="1"/>
  <c r="CS185" i="1"/>
  <c r="CS184" i="1"/>
  <c r="CS183" i="1"/>
  <c r="CS182" i="1"/>
  <c r="CS181" i="1"/>
  <c r="CS180" i="1"/>
  <c r="CS179" i="1"/>
  <c r="CS178" i="1"/>
  <c r="CS177" i="1"/>
  <c r="CS176" i="1"/>
  <c r="CS175" i="1"/>
  <c r="CS174" i="1"/>
  <c r="CS173" i="1"/>
  <c r="CS172" i="1"/>
  <c r="CS171" i="1"/>
  <c r="CS170" i="1"/>
  <c r="CS169" i="1"/>
  <c r="CS168" i="1"/>
  <c r="CS167" i="1"/>
  <c r="CS166" i="1"/>
  <c r="CS165" i="1"/>
  <c r="CS164" i="1"/>
  <c r="CS163" i="1"/>
  <c r="CS162" i="1"/>
  <c r="CS161" i="1"/>
  <c r="CS160" i="1"/>
  <c r="CS159" i="1"/>
  <c r="CS158" i="1"/>
  <c r="CS157" i="1"/>
  <c r="CS156" i="1"/>
  <c r="CS155" i="1"/>
  <c r="CS154" i="1"/>
  <c r="CS153" i="1"/>
  <c r="CS152" i="1"/>
  <c r="CS151" i="1"/>
  <c r="CS150" i="1"/>
  <c r="CS149" i="1"/>
  <c r="CS148" i="1"/>
  <c r="CS147" i="1"/>
  <c r="CS146" i="1"/>
  <c r="CS145" i="1"/>
  <c r="CS144" i="1"/>
  <c r="CS14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Q262" i="1"/>
  <c r="CQ261" i="1"/>
  <c r="CQ260" i="1"/>
  <c r="CQ259" i="1"/>
  <c r="CQ258" i="1"/>
  <c r="CQ257" i="1"/>
  <c r="CQ256" i="1"/>
  <c r="CQ255" i="1"/>
  <c r="CQ254" i="1"/>
  <c r="CQ253" i="1"/>
  <c r="CQ252" i="1"/>
  <c r="CQ251" i="1"/>
  <c r="CQ250" i="1"/>
  <c r="CQ249" i="1"/>
  <c r="CQ248" i="1"/>
  <c r="CQ247" i="1"/>
  <c r="CQ246" i="1"/>
  <c r="CQ245" i="1"/>
  <c r="CQ244" i="1"/>
  <c r="CQ243" i="1"/>
  <c r="CQ242" i="1"/>
  <c r="CQ241" i="1"/>
  <c r="CQ240" i="1"/>
  <c r="CQ239" i="1"/>
  <c r="CQ238" i="1"/>
  <c r="CQ237" i="1"/>
  <c r="CQ236" i="1"/>
  <c r="CQ235" i="1"/>
  <c r="CQ234" i="1"/>
  <c r="CQ233" i="1"/>
  <c r="CQ232" i="1"/>
  <c r="CQ231" i="1"/>
  <c r="CQ230" i="1"/>
  <c r="CQ229" i="1"/>
  <c r="CQ228" i="1"/>
  <c r="CQ227" i="1"/>
  <c r="CQ226" i="1"/>
  <c r="CQ225" i="1"/>
  <c r="CQ224" i="1"/>
  <c r="CQ223" i="1"/>
  <c r="CQ222" i="1"/>
  <c r="CQ221" i="1"/>
  <c r="CQ220" i="1"/>
  <c r="CQ219" i="1"/>
  <c r="CQ218" i="1"/>
  <c r="CQ217" i="1"/>
  <c r="CQ216" i="1"/>
  <c r="CQ215" i="1"/>
  <c r="CQ214" i="1"/>
  <c r="CQ213" i="1"/>
  <c r="CQ212" i="1"/>
  <c r="CQ211" i="1"/>
  <c r="CQ210" i="1"/>
  <c r="CQ209" i="1"/>
  <c r="CQ208" i="1"/>
  <c r="CQ207" i="1"/>
  <c r="CQ206" i="1"/>
  <c r="CQ205" i="1"/>
  <c r="CQ204" i="1"/>
  <c r="CQ203" i="1"/>
  <c r="CQ202" i="1"/>
  <c r="CQ201" i="1"/>
  <c r="CQ200" i="1"/>
  <c r="CQ199" i="1"/>
  <c r="CQ198" i="1"/>
  <c r="CQ197" i="1"/>
  <c r="CQ196" i="1"/>
  <c r="CQ195" i="1"/>
  <c r="CQ194" i="1"/>
  <c r="CQ193" i="1"/>
  <c r="CQ192" i="1"/>
  <c r="CQ191" i="1"/>
  <c r="CQ190" i="1"/>
  <c r="CQ189" i="1"/>
  <c r="CQ188" i="1"/>
  <c r="CQ187" i="1"/>
  <c r="CQ186" i="1"/>
  <c r="CQ185" i="1"/>
  <c r="CQ184" i="1"/>
  <c r="CQ183" i="1"/>
  <c r="CQ182" i="1"/>
  <c r="CQ181" i="1"/>
  <c r="CQ180" i="1"/>
  <c r="CQ179" i="1"/>
  <c r="CQ178" i="1"/>
  <c r="CQ177" i="1"/>
  <c r="CQ176" i="1"/>
  <c r="CQ175" i="1"/>
  <c r="CQ174" i="1"/>
  <c r="CQ173" i="1"/>
  <c r="CQ172" i="1"/>
  <c r="CQ171" i="1"/>
  <c r="CQ170" i="1"/>
  <c r="CQ169" i="1"/>
  <c r="CQ168" i="1"/>
  <c r="CQ167" i="1"/>
  <c r="CQ166" i="1"/>
  <c r="CQ165" i="1"/>
  <c r="CQ164" i="1"/>
  <c r="CQ163" i="1"/>
  <c r="CQ162" i="1"/>
  <c r="CQ161" i="1"/>
  <c r="CQ160" i="1"/>
  <c r="CQ159" i="1"/>
  <c r="CQ158" i="1"/>
  <c r="CQ157" i="1"/>
  <c r="CQ156" i="1"/>
  <c r="CQ155" i="1"/>
  <c r="CQ154" i="1"/>
  <c r="CQ153" i="1"/>
  <c r="CQ152" i="1"/>
  <c r="CQ151" i="1"/>
  <c r="CQ150" i="1"/>
  <c r="CQ149" i="1"/>
  <c r="CQ148" i="1"/>
  <c r="CQ147" i="1"/>
  <c r="CQ146" i="1"/>
  <c r="CQ145" i="1"/>
  <c r="CQ144" i="1"/>
  <c r="CQ143" i="1"/>
  <c r="CP262" i="1"/>
  <c r="CP261" i="1"/>
  <c r="CP260" i="1"/>
  <c r="CP259" i="1"/>
  <c r="CP258" i="1"/>
  <c r="CP257" i="1"/>
  <c r="CP256" i="1"/>
  <c r="CP255" i="1"/>
  <c r="CP254" i="1"/>
  <c r="CP253" i="1"/>
  <c r="CP252" i="1"/>
  <c r="CP251" i="1"/>
  <c r="CP250" i="1"/>
  <c r="CP249" i="1"/>
  <c r="CP248" i="1"/>
  <c r="CP247" i="1"/>
  <c r="CP246" i="1"/>
  <c r="CP245" i="1"/>
  <c r="CP244" i="1"/>
  <c r="CP243" i="1"/>
  <c r="CP242" i="1"/>
  <c r="CP241" i="1"/>
  <c r="CP240" i="1"/>
  <c r="CP239" i="1"/>
  <c r="CP238" i="1"/>
  <c r="CP237" i="1"/>
  <c r="CP236" i="1"/>
  <c r="CP235" i="1"/>
  <c r="CP234" i="1"/>
  <c r="CP233" i="1"/>
  <c r="CP232" i="1"/>
  <c r="CP231" i="1"/>
  <c r="CP230" i="1"/>
  <c r="CP229" i="1"/>
  <c r="CP228" i="1"/>
  <c r="CP227" i="1"/>
  <c r="CP226" i="1"/>
  <c r="CP225" i="1"/>
  <c r="CP224" i="1"/>
  <c r="CP223" i="1"/>
  <c r="CP222" i="1"/>
  <c r="CP221" i="1"/>
  <c r="CP220" i="1"/>
  <c r="CP219" i="1"/>
  <c r="CP218" i="1"/>
  <c r="CP217" i="1"/>
  <c r="CP216" i="1"/>
  <c r="CP215" i="1"/>
  <c r="CP214" i="1"/>
  <c r="CP213" i="1"/>
  <c r="CP212" i="1"/>
  <c r="CP211" i="1"/>
  <c r="CP210" i="1"/>
  <c r="CP209" i="1"/>
  <c r="CP208" i="1"/>
  <c r="CP207" i="1"/>
  <c r="CP206" i="1"/>
  <c r="CP205" i="1"/>
  <c r="CP204" i="1"/>
  <c r="CP203" i="1"/>
  <c r="CP202" i="1"/>
  <c r="CP201" i="1"/>
  <c r="CP200" i="1"/>
  <c r="CP199" i="1"/>
  <c r="CP198" i="1"/>
  <c r="CP197" i="1"/>
  <c r="CP196" i="1"/>
  <c r="CP195" i="1"/>
  <c r="CP194" i="1"/>
  <c r="CP193" i="1"/>
  <c r="CP192" i="1"/>
  <c r="CP191" i="1"/>
  <c r="CP190" i="1"/>
  <c r="CP189" i="1"/>
  <c r="CP188" i="1"/>
  <c r="CP187" i="1"/>
  <c r="CP186" i="1"/>
  <c r="CP185" i="1"/>
  <c r="CP184" i="1"/>
  <c r="CP183" i="1"/>
  <c r="CP182" i="1"/>
  <c r="CP181" i="1"/>
  <c r="CP180" i="1"/>
  <c r="CP179" i="1"/>
  <c r="CP178" i="1"/>
  <c r="CP177" i="1"/>
  <c r="CP176" i="1"/>
  <c r="CP175" i="1"/>
  <c r="CP174" i="1"/>
  <c r="CP173" i="1"/>
  <c r="CP172" i="1"/>
  <c r="CP171" i="1"/>
  <c r="CP170" i="1"/>
  <c r="CP169" i="1"/>
  <c r="CP168" i="1"/>
  <c r="CP167" i="1"/>
  <c r="CP166" i="1"/>
  <c r="CP165" i="1"/>
  <c r="CP164" i="1"/>
  <c r="CP163" i="1"/>
  <c r="CP162" i="1"/>
  <c r="CP161" i="1"/>
  <c r="CP160" i="1"/>
  <c r="CP159" i="1"/>
  <c r="CP158" i="1"/>
  <c r="CP157" i="1"/>
  <c r="CP156" i="1"/>
  <c r="CP155" i="1"/>
  <c r="CP154" i="1"/>
  <c r="CP153" i="1"/>
  <c r="CP152" i="1"/>
  <c r="CP151" i="1"/>
  <c r="CP150" i="1"/>
  <c r="CP149" i="1"/>
  <c r="CP148" i="1"/>
  <c r="CP147" i="1"/>
  <c r="CP146" i="1"/>
  <c r="CP145" i="1"/>
  <c r="CP144" i="1"/>
  <c r="CP143" i="1"/>
  <c r="CO262" i="1"/>
  <c r="CO261" i="1"/>
  <c r="CO260" i="1"/>
  <c r="CO259" i="1"/>
  <c r="CO258" i="1"/>
  <c r="CO257" i="1"/>
  <c r="CO256" i="1"/>
  <c r="CO255" i="1"/>
  <c r="CO254" i="1"/>
  <c r="CO253" i="1"/>
  <c r="CO252" i="1"/>
  <c r="CO251" i="1"/>
  <c r="CO250" i="1"/>
  <c r="CO249" i="1"/>
  <c r="CO248" i="1"/>
  <c r="CO247" i="1"/>
  <c r="CO246" i="1"/>
  <c r="CO245" i="1"/>
  <c r="CO244" i="1"/>
  <c r="CO243" i="1"/>
  <c r="CO242" i="1"/>
  <c r="CO241" i="1"/>
  <c r="CO240" i="1"/>
  <c r="CO239" i="1"/>
  <c r="CO238" i="1"/>
  <c r="CO237" i="1"/>
  <c r="CO236" i="1"/>
  <c r="CO235" i="1"/>
  <c r="CO234" i="1"/>
  <c r="CO233" i="1"/>
  <c r="CO232" i="1"/>
  <c r="CO231" i="1"/>
  <c r="CO230" i="1"/>
  <c r="CO229" i="1"/>
  <c r="CO228" i="1"/>
  <c r="CO227" i="1"/>
  <c r="CO226" i="1"/>
  <c r="CO225" i="1"/>
  <c r="CO224" i="1"/>
  <c r="CO223" i="1"/>
  <c r="CO222" i="1"/>
  <c r="CO221" i="1"/>
  <c r="CO220" i="1"/>
  <c r="CO219" i="1"/>
  <c r="CO218" i="1"/>
  <c r="CO217" i="1"/>
  <c r="CO216" i="1"/>
  <c r="CO215" i="1"/>
  <c r="CO214" i="1"/>
  <c r="CO213" i="1"/>
  <c r="CO212" i="1"/>
  <c r="CO211" i="1"/>
  <c r="CO210" i="1"/>
  <c r="CO209" i="1"/>
  <c r="CO208" i="1"/>
  <c r="CO207" i="1"/>
  <c r="CO206" i="1"/>
  <c r="CO205" i="1"/>
  <c r="CO204" i="1"/>
  <c r="CO203" i="1"/>
  <c r="CO202" i="1"/>
  <c r="CO201" i="1"/>
  <c r="CO200" i="1"/>
  <c r="CO199" i="1"/>
  <c r="CO198" i="1"/>
  <c r="CO197" i="1"/>
  <c r="CO196" i="1"/>
  <c r="CO195" i="1"/>
  <c r="CO194" i="1"/>
  <c r="CO193" i="1"/>
  <c r="CO192" i="1"/>
  <c r="CO191" i="1"/>
  <c r="CO190" i="1"/>
  <c r="CO189" i="1"/>
  <c r="CO188" i="1"/>
  <c r="CO187" i="1"/>
  <c r="CO186" i="1"/>
  <c r="CO185" i="1"/>
  <c r="CO184" i="1"/>
  <c r="CO183" i="1"/>
  <c r="CO182" i="1"/>
  <c r="CO181" i="1"/>
  <c r="CO180" i="1"/>
  <c r="CO179" i="1"/>
  <c r="CO178" i="1"/>
  <c r="CO177" i="1"/>
  <c r="CO176" i="1"/>
  <c r="CO175" i="1"/>
  <c r="CO174" i="1"/>
  <c r="CO173" i="1"/>
  <c r="CO172" i="1"/>
  <c r="CO171" i="1"/>
  <c r="CO170" i="1"/>
  <c r="CO169" i="1"/>
  <c r="CO168" i="1"/>
  <c r="CO167" i="1"/>
  <c r="CO166" i="1"/>
  <c r="CO165" i="1"/>
  <c r="CO164" i="1"/>
  <c r="CO163" i="1"/>
  <c r="CO162" i="1"/>
  <c r="CO161" i="1"/>
  <c r="CO160" i="1"/>
  <c r="CO159" i="1"/>
  <c r="CO158" i="1"/>
  <c r="CO157" i="1"/>
  <c r="CO156" i="1"/>
  <c r="CO155" i="1"/>
  <c r="CO154" i="1"/>
  <c r="CO153" i="1"/>
  <c r="CO152" i="1"/>
  <c r="CO151" i="1"/>
  <c r="CO150" i="1"/>
  <c r="CO149" i="1"/>
  <c r="CO148" i="1"/>
  <c r="CO147" i="1"/>
  <c r="CO146" i="1"/>
  <c r="CO145" i="1"/>
  <c r="CO144" i="1"/>
  <c r="CO143" i="1"/>
  <c r="CN262" i="1"/>
  <c r="CN261" i="1"/>
  <c r="CN260" i="1"/>
  <c r="CN259" i="1"/>
  <c r="CN258" i="1"/>
  <c r="CN257" i="1"/>
  <c r="CN256" i="1"/>
  <c r="CN255" i="1"/>
  <c r="CN254" i="1"/>
  <c r="CN253" i="1"/>
  <c r="CN252" i="1"/>
  <c r="CN251" i="1"/>
  <c r="CN250" i="1"/>
  <c r="CN249" i="1"/>
  <c r="CN248" i="1"/>
  <c r="CN247" i="1"/>
  <c r="CN246" i="1"/>
  <c r="CN245" i="1"/>
  <c r="CN244" i="1"/>
  <c r="CN243" i="1"/>
  <c r="CN242" i="1"/>
  <c r="CN241" i="1"/>
  <c r="CN240" i="1"/>
  <c r="CN239" i="1"/>
  <c r="CN238" i="1"/>
  <c r="CN237" i="1"/>
  <c r="CN236" i="1"/>
  <c r="CN235" i="1"/>
  <c r="CN234" i="1"/>
  <c r="CN233" i="1"/>
  <c r="CN232" i="1"/>
  <c r="CN231" i="1"/>
  <c r="CN230" i="1"/>
  <c r="CN229" i="1"/>
  <c r="CN228" i="1"/>
  <c r="CN227" i="1"/>
  <c r="CN226" i="1"/>
  <c r="CN225" i="1"/>
  <c r="CN224" i="1"/>
  <c r="CN223" i="1"/>
  <c r="CN222" i="1"/>
  <c r="CN221" i="1"/>
  <c r="CN220" i="1"/>
  <c r="CN219" i="1"/>
  <c r="CN218" i="1"/>
  <c r="CN217" i="1"/>
  <c r="CN216" i="1"/>
  <c r="CN215" i="1"/>
  <c r="CN214" i="1"/>
  <c r="CN213" i="1"/>
  <c r="CN212" i="1"/>
  <c r="CN211" i="1"/>
  <c r="CN210" i="1"/>
  <c r="CN209" i="1"/>
  <c r="CN208" i="1"/>
  <c r="CN207" i="1"/>
  <c r="CN206" i="1"/>
  <c r="CN205" i="1"/>
  <c r="CN204" i="1"/>
  <c r="CN203" i="1"/>
  <c r="CN202" i="1"/>
  <c r="CN201" i="1"/>
  <c r="CN200" i="1"/>
  <c r="CN199" i="1"/>
  <c r="CN198" i="1"/>
  <c r="CN197" i="1"/>
  <c r="CN196" i="1"/>
  <c r="CN195" i="1"/>
  <c r="CN194" i="1"/>
  <c r="CN193" i="1"/>
  <c r="CN192" i="1"/>
  <c r="CN191" i="1"/>
  <c r="CN190" i="1"/>
  <c r="CN189" i="1"/>
  <c r="CN188" i="1"/>
  <c r="CN187" i="1"/>
  <c r="CN186" i="1"/>
  <c r="CN185" i="1"/>
  <c r="CN184" i="1"/>
  <c r="CN183" i="1"/>
  <c r="CN182" i="1"/>
  <c r="CN181" i="1"/>
  <c r="CN180" i="1"/>
  <c r="CN179" i="1"/>
  <c r="CN178" i="1"/>
  <c r="CN177" i="1"/>
  <c r="CN176" i="1"/>
  <c r="CN175" i="1"/>
  <c r="CN174" i="1"/>
  <c r="CN173" i="1"/>
  <c r="CN172" i="1"/>
  <c r="CN171" i="1"/>
  <c r="CN170" i="1"/>
  <c r="CN169" i="1"/>
  <c r="CN168" i="1"/>
  <c r="CN167" i="1"/>
  <c r="CN166" i="1"/>
  <c r="CN165" i="1"/>
  <c r="CN164" i="1"/>
  <c r="CN163" i="1"/>
  <c r="CN162" i="1"/>
  <c r="CN161" i="1"/>
  <c r="CN160" i="1"/>
  <c r="CN159" i="1"/>
  <c r="CN158" i="1"/>
  <c r="CN157" i="1"/>
  <c r="CN156" i="1"/>
  <c r="CN155" i="1"/>
  <c r="CN154" i="1"/>
  <c r="CN153" i="1"/>
  <c r="CN152" i="1"/>
  <c r="CN151" i="1"/>
  <c r="CN150" i="1"/>
  <c r="CN149" i="1"/>
  <c r="CN148" i="1"/>
  <c r="CN147" i="1"/>
  <c r="CN146" i="1"/>
  <c r="CN145" i="1"/>
  <c r="CN144" i="1"/>
  <c r="CN143" i="1"/>
  <c r="CM262" i="1"/>
  <c r="CM261" i="1"/>
  <c r="CM260" i="1"/>
  <c r="CM259" i="1"/>
  <c r="CM258" i="1"/>
  <c r="CM257" i="1"/>
  <c r="CM256" i="1"/>
  <c r="CM255" i="1"/>
  <c r="CM254" i="1"/>
  <c r="CM253" i="1"/>
  <c r="CM252" i="1"/>
  <c r="CM251" i="1"/>
  <c r="CM250" i="1"/>
  <c r="CM249" i="1"/>
  <c r="CM248" i="1"/>
  <c r="CM247" i="1"/>
  <c r="CM246" i="1"/>
  <c r="CM245" i="1"/>
  <c r="CM244" i="1"/>
  <c r="CM243" i="1"/>
  <c r="CM242" i="1"/>
  <c r="CM241" i="1"/>
  <c r="CM240" i="1"/>
  <c r="CM239" i="1"/>
  <c r="CM238" i="1"/>
  <c r="CM237" i="1"/>
  <c r="CM236" i="1"/>
  <c r="CM235" i="1"/>
  <c r="CM234" i="1"/>
  <c r="CM233" i="1"/>
  <c r="CM232" i="1"/>
  <c r="CM231" i="1"/>
  <c r="CM230" i="1"/>
  <c r="CM229" i="1"/>
  <c r="CM228" i="1"/>
  <c r="CM227" i="1"/>
  <c r="CM226" i="1"/>
  <c r="CM225" i="1"/>
  <c r="CM224" i="1"/>
  <c r="CM223" i="1"/>
  <c r="CM222" i="1"/>
  <c r="CM221" i="1"/>
  <c r="CM220" i="1"/>
  <c r="CM219" i="1"/>
  <c r="CM218" i="1"/>
  <c r="CM217" i="1"/>
  <c r="CM216" i="1"/>
  <c r="CM215" i="1"/>
  <c r="CM214" i="1"/>
  <c r="CM213" i="1"/>
  <c r="CM212" i="1"/>
  <c r="CM211" i="1"/>
  <c r="CM210" i="1"/>
  <c r="CM209" i="1"/>
  <c r="CM208" i="1"/>
  <c r="CM207" i="1"/>
  <c r="CM206" i="1"/>
  <c r="CM205" i="1"/>
  <c r="CM204" i="1"/>
  <c r="CM203" i="1"/>
  <c r="CM202" i="1"/>
  <c r="CM201" i="1"/>
  <c r="CM200" i="1"/>
  <c r="CM199" i="1"/>
  <c r="CM198" i="1"/>
  <c r="CM197" i="1"/>
  <c r="CM196" i="1"/>
  <c r="CM195" i="1"/>
  <c r="CM194" i="1"/>
  <c r="CM193" i="1"/>
  <c r="CM192" i="1"/>
  <c r="CM191" i="1"/>
  <c r="CM190" i="1"/>
  <c r="CM189" i="1"/>
  <c r="CM188" i="1"/>
  <c r="CM187" i="1"/>
  <c r="CM186" i="1"/>
  <c r="CM185" i="1"/>
  <c r="CM184" i="1"/>
  <c r="CM183" i="1"/>
  <c r="CM182" i="1"/>
  <c r="CM181" i="1"/>
  <c r="CM180" i="1"/>
  <c r="CM179" i="1"/>
  <c r="CM178" i="1"/>
  <c r="CM177" i="1"/>
  <c r="CM176" i="1"/>
  <c r="CM175" i="1"/>
  <c r="CM174" i="1"/>
  <c r="CM173" i="1"/>
  <c r="CM172" i="1"/>
  <c r="CM171" i="1"/>
  <c r="CM170" i="1"/>
  <c r="CM169" i="1"/>
  <c r="CM168" i="1"/>
  <c r="CM167" i="1"/>
  <c r="CM166" i="1"/>
  <c r="CM165" i="1"/>
  <c r="CM164" i="1"/>
  <c r="CM163" i="1"/>
  <c r="CM162" i="1"/>
  <c r="CM161" i="1"/>
  <c r="CM160" i="1"/>
  <c r="CM159" i="1"/>
  <c r="CM158" i="1"/>
  <c r="CM157" i="1"/>
  <c r="CM156" i="1"/>
  <c r="CM155" i="1"/>
  <c r="CM154" i="1"/>
  <c r="CM153" i="1"/>
  <c r="CM152" i="1"/>
  <c r="CM151" i="1"/>
  <c r="CM150" i="1"/>
  <c r="CM149" i="1"/>
  <c r="CM148" i="1"/>
  <c r="CM147" i="1"/>
  <c r="CM146" i="1"/>
  <c r="CM145" i="1"/>
  <c r="CM144" i="1"/>
  <c r="CM143" i="1"/>
  <c r="CL262" i="1"/>
  <c r="CL261" i="1"/>
  <c r="CL260" i="1"/>
  <c r="CL259" i="1"/>
  <c r="CL258" i="1"/>
  <c r="CL257" i="1"/>
  <c r="CL256" i="1"/>
  <c r="CL255" i="1"/>
  <c r="CL254" i="1"/>
  <c r="CL253" i="1"/>
  <c r="CL252" i="1"/>
  <c r="CL251" i="1"/>
  <c r="CL250" i="1"/>
  <c r="CL249" i="1"/>
  <c r="CL248" i="1"/>
  <c r="CL247" i="1"/>
  <c r="CL246" i="1"/>
  <c r="CL245" i="1"/>
  <c r="CL244" i="1"/>
  <c r="CL243" i="1"/>
  <c r="CL242" i="1"/>
  <c r="CL241" i="1"/>
  <c r="CL240" i="1"/>
  <c r="CL239" i="1"/>
  <c r="CL238" i="1"/>
  <c r="CL237" i="1"/>
  <c r="CL236" i="1"/>
  <c r="CL235" i="1"/>
  <c r="CL234" i="1"/>
  <c r="CL233" i="1"/>
  <c r="CL232" i="1"/>
  <c r="CL231" i="1"/>
  <c r="CL230" i="1"/>
  <c r="CL229" i="1"/>
  <c r="CL228" i="1"/>
  <c r="CL227" i="1"/>
  <c r="CL226" i="1"/>
  <c r="CL225" i="1"/>
  <c r="CL224" i="1"/>
  <c r="CL223" i="1"/>
  <c r="CL222" i="1"/>
  <c r="CL221" i="1"/>
  <c r="CL220" i="1"/>
  <c r="CL219" i="1"/>
  <c r="CL218" i="1"/>
  <c r="CL217" i="1"/>
  <c r="CL216" i="1"/>
  <c r="CL215" i="1"/>
  <c r="CL214" i="1"/>
  <c r="CL213" i="1"/>
  <c r="CL212" i="1"/>
  <c r="CL211" i="1"/>
  <c r="CL210" i="1"/>
  <c r="CL209" i="1"/>
  <c r="CL208" i="1"/>
  <c r="CL207" i="1"/>
  <c r="CL206" i="1"/>
  <c r="CL205" i="1"/>
  <c r="CL204" i="1"/>
  <c r="CL203" i="1"/>
  <c r="CL202" i="1"/>
  <c r="CL201" i="1"/>
  <c r="CL200" i="1"/>
  <c r="CL199" i="1"/>
  <c r="CL198" i="1"/>
  <c r="CL197" i="1"/>
  <c r="CL196" i="1"/>
  <c r="CL195" i="1"/>
  <c r="CL194" i="1"/>
  <c r="CL193" i="1"/>
  <c r="CL192" i="1"/>
  <c r="CL191" i="1"/>
  <c r="CL190" i="1"/>
  <c r="CL189" i="1"/>
  <c r="CL188" i="1"/>
  <c r="CL187" i="1"/>
  <c r="CL186" i="1"/>
  <c r="CL185" i="1"/>
  <c r="CL184" i="1"/>
  <c r="CL183" i="1"/>
  <c r="CL182" i="1"/>
  <c r="CL181" i="1"/>
  <c r="CL180" i="1"/>
  <c r="CL179" i="1"/>
  <c r="CL178" i="1"/>
  <c r="CL177" i="1"/>
  <c r="CL176" i="1"/>
  <c r="CL175" i="1"/>
  <c r="CL174" i="1"/>
  <c r="CL173" i="1"/>
  <c r="CL172" i="1"/>
  <c r="CL171" i="1"/>
  <c r="CL170" i="1"/>
  <c r="CL169" i="1"/>
  <c r="CL168" i="1"/>
  <c r="CL167" i="1"/>
  <c r="CL166" i="1"/>
  <c r="CL165" i="1"/>
  <c r="CL164" i="1"/>
  <c r="CL163" i="1"/>
  <c r="CL162" i="1"/>
  <c r="CL161" i="1"/>
  <c r="CL160" i="1"/>
  <c r="CL159" i="1"/>
  <c r="CL158" i="1"/>
  <c r="CL157" i="1"/>
  <c r="CL156" i="1"/>
  <c r="CL155" i="1"/>
  <c r="CL154" i="1"/>
  <c r="CL153" i="1"/>
  <c r="CL152" i="1"/>
  <c r="CL151" i="1"/>
  <c r="CL150" i="1"/>
  <c r="CL149" i="1"/>
  <c r="CL148" i="1"/>
  <c r="CL147" i="1"/>
  <c r="CL146" i="1"/>
  <c r="CL145" i="1"/>
  <c r="CL144" i="1"/>
  <c r="CL143" i="1"/>
  <c r="CK262" i="1"/>
  <c r="CK261" i="1"/>
  <c r="CK260" i="1"/>
  <c r="CK259" i="1"/>
  <c r="CK258" i="1"/>
  <c r="CK257" i="1"/>
  <c r="CK256" i="1"/>
  <c r="CK255" i="1"/>
  <c r="CK254" i="1"/>
  <c r="CK253" i="1"/>
  <c r="CK252" i="1"/>
  <c r="CK251" i="1"/>
  <c r="CK250" i="1"/>
  <c r="CK249" i="1"/>
  <c r="CK248" i="1"/>
  <c r="CK247" i="1"/>
  <c r="CK246" i="1"/>
  <c r="CK245" i="1"/>
  <c r="CK244" i="1"/>
  <c r="CK243" i="1"/>
  <c r="CK242" i="1"/>
  <c r="CK241" i="1"/>
  <c r="CK240" i="1"/>
  <c r="CK239" i="1"/>
  <c r="CK238" i="1"/>
  <c r="CK237" i="1"/>
  <c r="CK236" i="1"/>
  <c r="CK235" i="1"/>
  <c r="CK234" i="1"/>
  <c r="CK233" i="1"/>
  <c r="CK232" i="1"/>
  <c r="CK231" i="1"/>
  <c r="CK230" i="1"/>
  <c r="CK229" i="1"/>
  <c r="CK228" i="1"/>
  <c r="CK227" i="1"/>
  <c r="CK226" i="1"/>
  <c r="CK225" i="1"/>
  <c r="CK224" i="1"/>
  <c r="CK223" i="1"/>
  <c r="CK222" i="1"/>
  <c r="CK221" i="1"/>
  <c r="CK220" i="1"/>
  <c r="CK219" i="1"/>
  <c r="CK218" i="1"/>
  <c r="CK217" i="1"/>
  <c r="CK216" i="1"/>
  <c r="CK215" i="1"/>
  <c r="CK214" i="1"/>
  <c r="CK213" i="1"/>
  <c r="CK212" i="1"/>
  <c r="CK211" i="1"/>
  <c r="CK210" i="1"/>
  <c r="CK209" i="1"/>
  <c r="CK208" i="1"/>
  <c r="CK207" i="1"/>
  <c r="CK206" i="1"/>
  <c r="CK205" i="1"/>
  <c r="CK204" i="1"/>
  <c r="CK203" i="1"/>
  <c r="CK202" i="1"/>
  <c r="CK201" i="1"/>
  <c r="CK200" i="1"/>
  <c r="CK199" i="1"/>
  <c r="CK198" i="1"/>
  <c r="CK197" i="1"/>
  <c r="CK196" i="1"/>
  <c r="CK195" i="1"/>
  <c r="CK194" i="1"/>
  <c r="CK193" i="1"/>
  <c r="CK192" i="1"/>
  <c r="CK191" i="1"/>
  <c r="CK190" i="1"/>
  <c r="CK189" i="1"/>
  <c r="CK188" i="1"/>
  <c r="CK187" i="1"/>
  <c r="CK186" i="1"/>
  <c r="CK185" i="1"/>
  <c r="CK184" i="1"/>
  <c r="CK183" i="1"/>
  <c r="CK182" i="1"/>
  <c r="CK181" i="1"/>
  <c r="CK180" i="1"/>
  <c r="CK179" i="1"/>
  <c r="CK178" i="1"/>
  <c r="CK177" i="1"/>
  <c r="CK176" i="1"/>
  <c r="CK175" i="1"/>
  <c r="CK174" i="1"/>
  <c r="CK173" i="1"/>
  <c r="CK172" i="1"/>
  <c r="CK171" i="1"/>
  <c r="CK170" i="1"/>
  <c r="CK169" i="1"/>
  <c r="CK168" i="1"/>
  <c r="CK167" i="1"/>
  <c r="CK166" i="1"/>
  <c r="CK165" i="1"/>
  <c r="CK164" i="1"/>
  <c r="CK163" i="1"/>
  <c r="CK162" i="1"/>
  <c r="CK161" i="1"/>
  <c r="CK160" i="1"/>
  <c r="CK159" i="1"/>
  <c r="CK158" i="1"/>
  <c r="CK157" i="1"/>
  <c r="CK156" i="1"/>
  <c r="CK155" i="1"/>
  <c r="CK154" i="1"/>
  <c r="CK153" i="1"/>
  <c r="CK152" i="1"/>
  <c r="CK151" i="1"/>
  <c r="CK150" i="1"/>
  <c r="CK149" i="1"/>
  <c r="CK148" i="1"/>
  <c r="CK147" i="1"/>
  <c r="CK146" i="1"/>
  <c r="CK145" i="1"/>
  <c r="CK144" i="1"/>
  <c r="CK143" i="1"/>
  <c r="CJ262" i="1"/>
  <c r="CJ261" i="1"/>
  <c r="CJ260" i="1"/>
  <c r="CJ259" i="1"/>
  <c r="CJ258" i="1"/>
  <c r="CJ257" i="1"/>
  <c r="CJ256" i="1"/>
  <c r="CJ255" i="1"/>
  <c r="CJ254" i="1"/>
  <c r="CJ253" i="1"/>
  <c r="CJ252" i="1"/>
  <c r="CJ251" i="1"/>
  <c r="CJ250" i="1"/>
  <c r="CJ249" i="1"/>
  <c r="CJ248" i="1"/>
  <c r="CJ247" i="1"/>
  <c r="CJ246" i="1"/>
  <c r="CJ245" i="1"/>
  <c r="CJ244" i="1"/>
  <c r="CJ243" i="1"/>
  <c r="CJ242" i="1"/>
  <c r="CJ241" i="1"/>
  <c r="CJ240" i="1"/>
  <c r="CJ239" i="1"/>
  <c r="CJ238" i="1"/>
  <c r="CJ237" i="1"/>
  <c r="CJ236" i="1"/>
  <c r="CJ235" i="1"/>
  <c r="CJ234" i="1"/>
  <c r="CJ233" i="1"/>
  <c r="CJ232" i="1"/>
  <c r="CJ231" i="1"/>
  <c r="CJ230" i="1"/>
  <c r="CJ229" i="1"/>
  <c r="CJ228" i="1"/>
  <c r="CJ227" i="1"/>
  <c r="CJ226" i="1"/>
  <c r="CJ225" i="1"/>
  <c r="CJ224" i="1"/>
  <c r="CJ223" i="1"/>
  <c r="CJ222" i="1"/>
  <c r="CJ221" i="1"/>
  <c r="CJ220" i="1"/>
  <c r="CJ219" i="1"/>
  <c r="CJ218" i="1"/>
  <c r="CJ217" i="1"/>
  <c r="CJ216" i="1"/>
  <c r="CJ215" i="1"/>
  <c r="CJ214" i="1"/>
  <c r="CJ213" i="1"/>
  <c r="CJ212" i="1"/>
  <c r="CJ211" i="1"/>
  <c r="CJ210" i="1"/>
  <c r="CJ209" i="1"/>
  <c r="CJ208" i="1"/>
  <c r="CJ207" i="1"/>
  <c r="CJ206" i="1"/>
  <c r="CJ205" i="1"/>
  <c r="CJ204" i="1"/>
  <c r="CJ203" i="1"/>
  <c r="CJ202" i="1"/>
  <c r="CJ201" i="1"/>
  <c r="CJ200" i="1"/>
  <c r="CJ199" i="1"/>
  <c r="CJ198" i="1"/>
  <c r="CJ197" i="1"/>
  <c r="CJ196" i="1"/>
  <c r="CJ195" i="1"/>
  <c r="CJ194" i="1"/>
  <c r="CJ193" i="1"/>
  <c r="CJ192" i="1"/>
  <c r="CJ191" i="1"/>
  <c r="CJ190" i="1"/>
  <c r="CJ189" i="1"/>
  <c r="CJ188" i="1"/>
  <c r="CJ187" i="1"/>
  <c r="CJ186" i="1"/>
  <c r="CJ185" i="1"/>
  <c r="CJ184" i="1"/>
  <c r="CJ183" i="1"/>
  <c r="CJ182" i="1"/>
  <c r="CJ181" i="1"/>
  <c r="CJ180" i="1"/>
  <c r="CJ179" i="1"/>
  <c r="CJ178" i="1"/>
  <c r="CJ177" i="1"/>
  <c r="CJ176" i="1"/>
  <c r="CJ175" i="1"/>
  <c r="CJ174" i="1"/>
  <c r="CJ173" i="1"/>
  <c r="CJ172" i="1"/>
  <c r="CJ171" i="1"/>
  <c r="CJ170" i="1"/>
  <c r="CJ169" i="1"/>
  <c r="CJ168" i="1"/>
  <c r="CJ167" i="1"/>
  <c r="CJ166" i="1"/>
  <c r="CJ165" i="1"/>
  <c r="CJ164" i="1"/>
  <c r="CJ163" i="1"/>
  <c r="CJ162" i="1"/>
  <c r="CJ161" i="1"/>
  <c r="CJ160" i="1"/>
  <c r="CJ159" i="1"/>
  <c r="CJ158" i="1"/>
  <c r="CJ157" i="1"/>
  <c r="CJ156" i="1"/>
  <c r="CJ155" i="1"/>
  <c r="CJ154" i="1"/>
  <c r="CJ153" i="1"/>
  <c r="CJ152" i="1"/>
  <c r="CJ151" i="1"/>
  <c r="CJ150" i="1"/>
  <c r="CJ149" i="1"/>
  <c r="CJ148" i="1"/>
  <c r="CJ147" i="1"/>
  <c r="CJ146" i="1"/>
  <c r="CJ145" i="1"/>
  <c r="CJ144" i="1"/>
  <c r="CJ14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H262" i="1"/>
  <c r="CH261" i="1"/>
  <c r="CH260" i="1"/>
  <c r="CH259" i="1"/>
  <c r="CH258" i="1"/>
  <c r="CH257" i="1"/>
  <c r="CH256" i="1"/>
  <c r="CH255" i="1"/>
  <c r="CH254" i="1"/>
  <c r="CH253" i="1"/>
  <c r="CH252" i="1"/>
  <c r="CH251" i="1"/>
  <c r="CH250" i="1"/>
  <c r="CH249" i="1"/>
  <c r="CH248" i="1"/>
  <c r="CH247" i="1"/>
  <c r="CH246" i="1"/>
  <c r="CH245" i="1"/>
  <c r="CH244" i="1"/>
  <c r="CH243" i="1"/>
  <c r="CH242" i="1"/>
  <c r="CH241" i="1"/>
  <c r="CH240" i="1"/>
  <c r="CH239" i="1"/>
  <c r="CH238" i="1"/>
  <c r="CH237" i="1"/>
  <c r="CH236" i="1"/>
  <c r="CH235" i="1"/>
  <c r="CH234" i="1"/>
  <c r="CH233" i="1"/>
  <c r="CH232" i="1"/>
  <c r="CH231" i="1"/>
  <c r="CH230" i="1"/>
  <c r="CH229" i="1"/>
  <c r="CH228" i="1"/>
  <c r="CH227" i="1"/>
  <c r="CH226" i="1"/>
  <c r="CH225" i="1"/>
  <c r="CH224" i="1"/>
  <c r="CH223" i="1"/>
  <c r="CH222" i="1"/>
  <c r="CH221" i="1"/>
  <c r="CH220" i="1"/>
  <c r="CH219" i="1"/>
  <c r="CH218" i="1"/>
  <c r="CH217" i="1"/>
  <c r="CH216" i="1"/>
  <c r="CH215" i="1"/>
  <c r="CH214" i="1"/>
  <c r="CH213" i="1"/>
  <c r="CH212" i="1"/>
  <c r="CH211" i="1"/>
  <c r="CH210" i="1"/>
  <c r="CH209" i="1"/>
  <c r="CH208" i="1"/>
  <c r="CH207" i="1"/>
  <c r="CH206" i="1"/>
  <c r="CH205" i="1"/>
  <c r="CH204" i="1"/>
  <c r="CH203" i="1"/>
  <c r="CH202" i="1"/>
  <c r="CH201" i="1"/>
  <c r="CH200" i="1"/>
  <c r="CH199" i="1"/>
  <c r="CH198" i="1"/>
  <c r="CH197" i="1"/>
  <c r="CH196" i="1"/>
  <c r="CH195" i="1"/>
  <c r="CH194" i="1"/>
  <c r="CH193" i="1"/>
  <c r="CH192" i="1"/>
  <c r="CH191" i="1"/>
  <c r="CH190" i="1"/>
  <c r="CH189" i="1"/>
  <c r="CH188" i="1"/>
  <c r="CH187" i="1"/>
  <c r="CH186" i="1"/>
  <c r="CH185" i="1"/>
  <c r="CH184" i="1"/>
  <c r="CH183" i="1"/>
  <c r="CH182" i="1"/>
  <c r="CH181" i="1"/>
  <c r="CH180" i="1"/>
  <c r="CH179" i="1"/>
  <c r="CH178" i="1"/>
  <c r="CH177" i="1"/>
  <c r="CH176" i="1"/>
  <c r="CH175" i="1"/>
  <c r="CH174" i="1"/>
  <c r="CH173" i="1"/>
  <c r="CH172" i="1"/>
  <c r="CH171" i="1"/>
  <c r="CH170" i="1"/>
  <c r="CH169" i="1"/>
  <c r="CH168" i="1"/>
  <c r="CH167" i="1"/>
  <c r="CH166" i="1"/>
  <c r="CH165" i="1"/>
  <c r="CH164" i="1"/>
  <c r="CH163" i="1"/>
  <c r="CH162" i="1"/>
  <c r="CH161" i="1"/>
  <c r="CH160" i="1"/>
  <c r="CH159" i="1"/>
  <c r="CH158" i="1"/>
  <c r="CH157" i="1"/>
  <c r="CH156" i="1"/>
  <c r="CH155" i="1"/>
  <c r="CH154" i="1"/>
  <c r="CH153" i="1"/>
  <c r="CH152" i="1"/>
  <c r="CH151" i="1"/>
  <c r="CH150" i="1"/>
  <c r="CH149" i="1"/>
  <c r="CH148" i="1"/>
  <c r="CH147" i="1"/>
  <c r="CH146" i="1"/>
  <c r="CH145" i="1"/>
  <c r="CH144" i="1"/>
  <c r="CH143" i="1"/>
  <c r="CG262" i="1"/>
  <c r="CG261" i="1"/>
  <c r="CG260" i="1"/>
  <c r="CG259" i="1"/>
  <c r="CG258" i="1"/>
  <c r="CG257" i="1"/>
  <c r="CG256" i="1"/>
  <c r="CG255" i="1"/>
  <c r="CG254" i="1"/>
  <c r="CG253" i="1"/>
  <c r="CG252" i="1"/>
  <c r="CG251" i="1"/>
  <c r="CG250" i="1"/>
  <c r="CG249" i="1"/>
  <c r="CG248" i="1"/>
  <c r="CG247" i="1"/>
  <c r="CG246" i="1"/>
  <c r="CG245" i="1"/>
  <c r="CG244" i="1"/>
  <c r="CG243" i="1"/>
  <c r="CG242" i="1"/>
  <c r="CG241" i="1"/>
  <c r="CG240" i="1"/>
  <c r="CG239" i="1"/>
  <c r="CG238" i="1"/>
  <c r="CG237" i="1"/>
  <c r="CG236" i="1"/>
  <c r="CG235" i="1"/>
  <c r="CG234" i="1"/>
  <c r="CG233" i="1"/>
  <c r="CG232" i="1"/>
  <c r="CG231" i="1"/>
  <c r="CG230" i="1"/>
  <c r="CG229" i="1"/>
  <c r="CG228" i="1"/>
  <c r="CG227" i="1"/>
  <c r="CG226" i="1"/>
  <c r="CG225" i="1"/>
  <c r="CG224" i="1"/>
  <c r="CG223" i="1"/>
  <c r="CG222" i="1"/>
  <c r="CG221" i="1"/>
  <c r="CG220" i="1"/>
  <c r="CG219" i="1"/>
  <c r="CG218" i="1"/>
  <c r="CG217" i="1"/>
  <c r="CG216" i="1"/>
  <c r="CG215" i="1"/>
  <c r="CG214" i="1"/>
  <c r="CG213" i="1"/>
  <c r="CG212" i="1"/>
  <c r="CG211" i="1"/>
  <c r="CG210" i="1"/>
  <c r="CG209" i="1"/>
  <c r="CG208" i="1"/>
  <c r="CG207" i="1"/>
  <c r="CG206" i="1"/>
  <c r="CG205" i="1"/>
  <c r="CG204" i="1"/>
  <c r="CG203" i="1"/>
  <c r="CG202" i="1"/>
  <c r="CG201" i="1"/>
  <c r="CG200" i="1"/>
  <c r="CG199" i="1"/>
  <c r="CG198" i="1"/>
  <c r="CG197" i="1"/>
  <c r="CG196" i="1"/>
  <c r="CG195" i="1"/>
  <c r="CG194" i="1"/>
  <c r="CG193" i="1"/>
  <c r="CG192" i="1"/>
  <c r="CG191" i="1"/>
  <c r="CG190" i="1"/>
  <c r="CG189" i="1"/>
  <c r="CG188" i="1"/>
  <c r="CG187" i="1"/>
  <c r="CG186" i="1"/>
  <c r="CG185" i="1"/>
  <c r="CG184" i="1"/>
  <c r="CG183" i="1"/>
  <c r="CG182" i="1"/>
  <c r="CG181" i="1"/>
  <c r="CG180" i="1"/>
  <c r="CG179" i="1"/>
  <c r="CG178" i="1"/>
  <c r="CG177" i="1"/>
  <c r="CG176" i="1"/>
  <c r="CG175" i="1"/>
  <c r="CG174" i="1"/>
  <c r="CG173" i="1"/>
  <c r="CG172" i="1"/>
  <c r="CG171" i="1"/>
  <c r="CG170" i="1"/>
  <c r="CG169" i="1"/>
  <c r="CG168" i="1"/>
  <c r="CG167" i="1"/>
  <c r="CG166" i="1"/>
  <c r="CG165" i="1"/>
  <c r="CG164" i="1"/>
  <c r="CG163" i="1"/>
  <c r="CG162" i="1"/>
  <c r="CG161" i="1"/>
  <c r="CG160" i="1"/>
  <c r="CG159" i="1"/>
  <c r="CG158" i="1"/>
  <c r="CG157" i="1"/>
  <c r="CG156" i="1"/>
  <c r="CG155" i="1"/>
  <c r="CG154" i="1"/>
  <c r="CG153" i="1"/>
  <c r="CG152" i="1"/>
  <c r="CG151" i="1"/>
  <c r="CG150" i="1"/>
  <c r="CG149" i="1"/>
  <c r="CG148" i="1"/>
  <c r="CG147" i="1"/>
  <c r="CG146" i="1"/>
  <c r="CG145" i="1"/>
  <c r="CG144" i="1"/>
  <c r="CG143" i="1"/>
  <c r="CF262" i="1"/>
  <c r="CF261" i="1"/>
  <c r="CF260" i="1"/>
  <c r="CF259" i="1"/>
  <c r="CF258" i="1"/>
  <c r="CF257" i="1"/>
  <c r="CF256" i="1"/>
  <c r="CF255" i="1"/>
  <c r="CF254" i="1"/>
  <c r="CF253" i="1"/>
  <c r="CF252" i="1"/>
  <c r="CF251" i="1"/>
  <c r="CF250" i="1"/>
  <c r="CF249" i="1"/>
  <c r="CF248" i="1"/>
  <c r="CF247" i="1"/>
  <c r="CF246" i="1"/>
  <c r="CF245" i="1"/>
  <c r="CF244" i="1"/>
  <c r="CF243" i="1"/>
  <c r="CF242" i="1"/>
  <c r="CF241" i="1"/>
  <c r="CF240" i="1"/>
  <c r="CF239" i="1"/>
  <c r="CF238" i="1"/>
  <c r="CF237" i="1"/>
  <c r="CF236" i="1"/>
  <c r="CF235" i="1"/>
  <c r="CF234" i="1"/>
  <c r="CF233" i="1"/>
  <c r="CF232" i="1"/>
  <c r="CF231" i="1"/>
  <c r="CF230" i="1"/>
  <c r="CF229" i="1"/>
  <c r="CF228" i="1"/>
  <c r="CF227" i="1"/>
  <c r="CF226" i="1"/>
  <c r="CF225" i="1"/>
  <c r="CF224" i="1"/>
  <c r="CF223" i="1"/>
  <c r="CF222" i="1"/>
  <c r="CF221" i="1"/>
  <c r="CF220" i="1"/>
  <c r="CF219" i="1"/>
  <c r="CF218" i="1"/>
  <c r="CF217" i="1"/>
  <c r="CF216" i="1"/>
  <c r="CF215" i="1"/>
  <c r="CF214" i="1"/>
  <c r="CF213" i="1"/>
  <c r="CF212" i="1"/>
  <c r="CF211" i="1"/>
  <c r="CF210" i="1"/>
  <c r="CF209" i="1"/>
  <c r="CF208" i="1"/>
  <c r="CF207" i="1"/>
  <c r="CF206" i="1"/>
  <c r="CF205" i="1"/>
  <c r="CF204" i="1"/>
  <c r="CF203" i="1"/>
  <c r="CF202" i="1"/>
  <c r="CF201" i="1"/>
  <c r="CF200" i="1"/>
  <c r="CF199" i="1"/>
  <c r="CF198" i="1"/>
  <c r="CF197" i="1"/>
  <c r="CF196" i="1"/>
  <c r="CF195" i="1"/>
  <c r="CF194" i="1"/>
  <c r="CF193" i="1"/>
  <c r="CF192" i="1"/>
  <c r="CF191" i="1"/>
  <c r="CF190" i="1"/>
  <c r="CF189" i="1"/>
  <c r="CF188" i="1"/>
  <c r="CF187" i="1"/>
  <c r="CF186" i="1"/>
  <c r="CF185" i="1"/>
  <c r="CF184" i="1"/>
  <c r="CF183" i="1"/>
  <c r="CF182" i="1"/>
  <c r="CF181" i="1"/>
  <c r="CF180" i="1"/>
  <c r="CF179" i="1"/>
  <c r="CF178" i="1"/>
  <c r="CF177" i="1"/>
  <c r="CF176" i="1"/>
  <c r="CF175" i="1"/>
  <c r="CF174" i="1"/>
  <c r="CF173" i="1"/>
  <c r="CF172" i="1"/>
  <c r="CF171" i="1"/>
  <c r="CF170" i="1"/>
  <c r="CF169" i="1"/>
  <c r="CF168" i="1"/>
  <c r="CF167" i="1"/>
  <c r="CF166" i="1"/>
  <c r="CF165" i="1"/>
  <c r="CF164" i="1"/>
  <c r="CF163" i="1"/>
  <c r="CF162" i="1"/>
  <c r="CF161" i="1"/>
  <c r="CF160" i="1"/>
  <c r="CF159" i="1"/>
  <c r="CF158" i="1"/>
  <c r="CF157" i="1"/>
  <c r="CF156" i="1"/>
  <c r="CF155" i="1"/>
  <c r="CF154" i="1"/>
  <c r="CF153" i="1"/>
  <c r="CF152" i="1"/>
  <c r="CF151" i="1"/>
  <c r="CF150" i="1"/>
  <c r="CF149" i="1"/>
  <c r="CF148" i="1"/>
  <c r="CF147" i="1"/>
  <c r="CF146" i="1"/>
  <c r="CF145" i="1"/>
  <c r="CF144" i="1"/>
  <c r="CF143" i="1"/>
  <c r="CE262" i="1"/>
  <c r="CE261" i="1"/>
  <c r="CE260" i="1"/>
  <c r="CE259" i="1"/>
  <c r="CE258" i="1"/>
  <c r="CE257" i="1"/>
  <c r="CE256" i="1"/>
  <c r="CE255" i="1"/>
  <c r="CE254" i="1"/>
  <c r="CE253" i="1"/>
  <c r="CE252" i="1"/>
  <c r="CE251" i="1"/>
  <c r="CE250" i="1"/>
  <c r="CE249" i="1"/>
  <c r="CE248" i="1"/>
  <c r="CE247" i="1"/>
  <c r="CE246" i="1"/>
  <c r="CE245" i="1"/>
  <c r="CE244" i="1"/>
  <c r="CE243" i="1"/>
  <c r="CE242" i="1"/>
  <c r="CE241" i="1"/>
  <c r="CE240" i="1"/>
  <c r="CE239" i="1"/>
  <c r="CE238" i="1"/>
  <c r="CE237" i="1"/>
  <c r="CE236" i="1"/>
  <c r="CE235" i="1"/>
  <c r="CE234" i="1"/>
  <c r="CE233" i="1"/>
  <c r="CE232" i="1"/>
  <c r="CE231" i="1"/>
  <c r="CE230" i="1"/>
  <c r="CE229" i="1"/>
  <c r="CE228" i="1"/>
  <c r="CE227" i="1"/>
  <c r="CE226" i="1"/>
  <c r="CE225" i="1"/>
  <c r="CE224" i="1"/>
  <c r="CE223" i="1"/>
  <c r="CE222" i="1"/>
  <c r="CE221" i="1"/>
  <c r="CE220" i="1"/>
  <c r="CE219" i="1"/>
  <c r="CE218" i="1"/>
  <c r="CE217" i="1"/>
  <c r="CE216" i="1"/>
  <c r="CE215" i="1"/>
  <c r="CE214" i="1"/>
  <c r="CE213" i="1"/>
  <c r="CE212" i="1"/>
  <c r="CE211" i="1"/>
  <c r="CE210" i="1"/>
  <c r="CE209" i="1"/>
  <c r="CE208" i="1"/>
  <c r="CE207" i="1"/>
  <c r="CE206" i="1"/>
  <c r="CE205" i="1"/>
  <c r="CE204" i="1"/>
  <c r="CE203" i="1"/>
  <c r="CE202" i="1"/>
  <c r="CE201" i="1"/>
  <c r="CE200" i="1"/>
  <c r="CE199" i="1"/>
  <c r="CE198" i="1"/>
  <c r="CE197" i="1"/>
  <c r="CE196" i="1"/>
  <c r="CE195" i="1"/>
  <c r="CE194" i="1"/>
  <c r="CE193" i="1"/>
  <c r="CE192" i="1"/>
  <c r="CE191" i="1"/>
  <c r="CE190" i="1"/>
  <c r="CE189" i="1"/>
  <c r="CE188" i="1"/>
  <c r="CE187" i="1"/>
  <c r="CE186" i="1"/>
  <c r="CE185" i="1"/>
  <c r="CE184" i="1"/>
  <c r="CE183" i="1"/>
  <c r="CE182" i="1"/>
  <c r="CE181" i="1"/>
  <c r="CE180" i="1"/>
  <c r="CE179" i="1"/>
  <c r="CE178" i="1"/>
  <c r="CE177" i="1"/>
  <c r="CE176" i="1"/>
  <c r="CE175" i="1"/>
  <c r="CE174" i="1"/>
  <c r="CE173" i="1"/>
  <c r="CE172" i="1"/>
  <c r="CE171" i="1"/>
  <c r="CE170" i="1"/>
  <c r="CE169" i="1"/>
  <c r="CE168" i="1"/>
  <c r="CE167" i="1"/>
  <c r="CE166" i="1"/>
  <c r="CE165" i="1"/>
  <c r="CE164" i="1"/>
  <c r="CE163" i="1"/>
  <c r="CE162" i="1"/>
  <c r="CE161" i="1"/>
  <c r="CE160" i="1"/>
  <c r="CE159" i="1"/>
  <c r="CE158" i="1"/>
  <c r="CE157" i="1"/>
  <c r="CE156" i="1"/>
  <c r="CE155" i="1"/>
  <c r="CE154" i="1"/>
  <c r="CE153" i="1"/>
  <c r="CE152" i="1"/>
  <c r="CE151" i="1"/>
  <c r="CE150" i="1"/>
  <c r="CE149" i="1"/>
  <c r="CE148" i="1"/>
  <c r="CE147" i="1"/>
  <c r="CE146" i="1"/>
  <c r="CE145" i="1"/>
  <c r="CE144" i="1"/>
  <c r="CE143" i="1"/>
  <c r="CD262" i="1"/>
  <c r="CD261" i="1"/>
  <c r="CD260" i="1"/>
  <c r="CD259" i="1"/>
  <c r="CD258" i="1"/>
  <c r="CD257" i="1"/>
  <c r="CD256" i="1"/>
  <c r="CD255" i="1"/>
  <c r="CD254" i="1"/>
  <c r="CD253" i="1"/>
  <c r="CD252" i="1"/>
  <c r="CD251" i="1"/>
  <c r="CD250" i="1"/>
  <c r="CD249" i="1"/>
  <c r="CD248" i="1"/>
  <c r="CD247" i="1"/>
  <c r="CD246" i="1"/>
  <c r="CD245" i="1"/>
  <c r="CD244" i="1"/>
  <c r="CD243" i="1"/>
  <c r="CD242" i="1"/>
  <c r="CD241" i="1"/>
  <c r="CD240" i="1"/>
  <c r="CD239" i="1"/>
  <c r="CD238" i="1"/>
  <c r="CD237" i="1"/>
  <c r="CD236" i="1"/>
  <c r="CD235" i="1"/>
  <c r="CD234" i="1"/>
  <c r="CD233" i="1"/>
  <c r="CD232" i="1"/>
  <c r="CD231" i="1"/>
  <c r="CD230" i="1"/>
  <c r="CD229" i="1"/>
  <c r="CD228" i="1"/>
  <c r="CD227" i="1"/>
  <c r="CD226" i="1"/>
  <c r="CD225" i="1"/>
  <c r="CD224" i="1"/>
  <c r="CD223" i="1"/>
  <c r="CD222" i="1"/>
  <c r="CD221" i="1"/>
  <c r="CD220" i="1"/>
  <c r="CD219" i="1"/>
  <c r="CD218" i="1"/>
  <c r="CD217" i="1"/>
  <c r="CD216" i="1"/>
  <c r="CD215" i="1"/>
  <c r="CD214" i="1"/>
  <c r="CD213" i="1"/>
  <c r="CD212" i="1"/>
  <c r="CD211" i="1"/>
  <c r="CD210" i="1"/>
  <c r="CD209" i="1"/>
  <c r="CD208" i="1"/>
  <c r="CD207" i="1"/>
  <c r="CD206" i="1"/>
  <c r="CD205" i="1"/>
  <c r="CD204" i="1"/>
  <c r="CD203" i="1"/>
  <c r="CD202" i="1"/>
  <c r="CD201" i="1"/>
  <c r="CD200" i="1"/>
  <c r="CD199" i="1"/>
  <c r="CD198" i="1"/>
  <c r="CD197" i="1"/>
  <c r="CD196" i="1"/>
  <c r="CD195" i="1"/>
  <c r="CD194" i="1"/>
  <c r="CD193" i="1"/>
  <c r="CD192" i="1"/>
  <c r="CD191" i="1"/>
  <c r="CD190" i="1"/>
  <c r="CD189" i="1"/>
  <c r="CD188" i="1"/>
  <c r="CD187" i="1"/>
  <c r="CD186" i="1"/>
  <c r="CD185" i="1"/>
  <c r="CD184" i="1"/>
  <c r="CD183" i="1"/>
  <c r="CD182" i="1"/>
  <c r="CD181" i="1"/>
  <c r="CD180" i="1"/>
  <c r="CD179" i="1"/>
  <c r="CD178" i="1"/>
  <c r="CD177" i="1"/>
  <c r="CD176" i="1"/>
  <c r="CD175" i="1"/>
  <c r="CD174" i="1"/>
  <c r="CD173" i="1"/>
  <c r="CD172" i="1"/>
  <c r="CD171" i="1"/>
  <c r="CD170" i="1"/>
  <c r="CD169" i="1"/>
  <c r="CD168" i="1"/>
  <c r="CD167" i="1"/>
  <c r="CD166" i="1"/>
  <c r="CD165" i="1"/>
  <c r="CD164" i="1"/>
  <c r="CD163" i="1"/>
  <c r="CD162" i="1"/>
  <c r="CD161" i="1"/>
  <c r="CD160" i="1"/>
  <c r="CD159" i="1"/>
  <c r="CD158" i="1"/>
  <c r="CD157" i="1"/>
  <c r="CD156" i="1"/>
  <c r="CD155" i="1"/>
  <c r="CD154" i="1"/>
  <c r="CD153" i="1"/>
  <c r="CD152" i="1"/>
  <c r="CD151" i="1"/>
  <c r="CD150" i="1"/>
  <c r="CD149" i="1"/>
  <c r="CD148" i="1"/>
  <c r="CD147" i="1"/>
  <c r="CD146" i="1"/>
  <c r="CD145" i="1"/>
  <c r="CD144" i="1"/>
  <c r="CD143" i="1"/>
  <c r="CC262" i="1"/>
  <c r="CC261" i="1"/>
  <c r="CC260" i="1"/>
  <c r="CC259" i="1"/>
  <c r="CC258" i="1"/>
  <c r="CC257" i="1"/>
  <c r="CC256" i="1"/>
  <c r="CC255" i="1"/>
  <c r="CC254" i="1"/>
  <c r="CC253" i="1"/>
  <c r="CC252" i="1"/>
  <c r="CC251" i="1"/>
  <c r="CC250" i="1"/>
  <c r="CC249" i="1"/>
  <c r="CC248" i="1"/>
  <c r="CC247" i="1"/>
  <c r="CC246" i="1"/>
  <c r="CC245" i="1"/>
  <c r="CC244" i="1"/>
  <c r="CC243" i="1"/>
  <c r="CC242" i="1"/>
  <c r="CC241" i="1"/>
  <c r="CC240" i="1"/>
  <c r="CC239" i="1"/>
  <c r="CC238" i="1"/>
  <c r="CC237" i="1"/>
  <c r="CC236" i="1"/>
  <c r="CC235" i="1"/>
  <c r="CC234" i="1"/>
  <c r="CC233" i="1"/>
  <c r="CC232" i="1"/>
  <c r="CC231" i="1"/>
  <c r="CC230" i="1"/>
  <c r="CC229" i="1"/>
  <c r="CC228" i="1"/>
  <c r="CC227" i="1"/>
  <c r="CC226" i="1"/>
  <c r="CC225" i="1"/>
  <c r="CC224" i="1"/>
  <c r="CC223" i="1"/>
  <c r="CC222" i="1"/>
  <c r="CC221" i="1"/>
  <c r="CC220" i="1"/>
  <c r="CC219" i="1"/>
  <c r="CC218" i="1"/>
  <c r="CC217" i="1"/>
  <c r="CC216" i="1"/>
  <c r="CC215" i="1"/>
  <c r="CC214" i="1"/>
  <c r="CC213" i="1"/>
  <c r="CC212" i="1"/>
  <c r="CC211" i="1"/>
  <c r="CC210" i="1"/>
  <c r="CC209" i="1"/>
  <c r="CC208" i="1"/>
  <c r="CC207" i="1"/>
  <c r="CC206" i="1"/>
  <c r="CC205" i="1"/>
  <c r="CC204" i="1"/>
  <c r="CC203" i="1"/>
  <c r="CC202" i="1"/>
  <c r="CC201" i="1"/>
  <c r="CC200" i="1"/>
  <c r="CC199" i="1"/>
  <c r="CC198" i="1"/>
  <c r="CC197" i="1"/>
  <c r="CC196" i="1"/>
  <c r="CC195" i="1"/>
  <c r="CC194" i="1"/>
  <c r="CC193" i="1"/>
  <c r="CC192" i="1"/>
  <c r="CC191" i="1"/>
  <c r="CC190" i="1"/>
  <c r="CC189" i="1"/>
  <c r="CC188" i="1"/>
  <c r="CC187" i="1"/>
  <c r="CC186" i="1"/>
  <c r="CC185" i="1"/>
  <c r="CC184" i="1"/>
  <c r="CC183" i="1"/>
  <c r="CC182" i="1"/>
  <c r="CC181" i="1"/>
  <c r="CC180" i="1"/>
  <c r="CC179" i="1"/>
  <c r="CC178" i="1"/>
  <c r="CC177" i="1"/>
  <c r="CC176" i="1"/>
  <c r="CC175" i="1"/>
  <c r="CC174" i="1"/>
  <c r="CC173" i="1"/>
  <c r="CC172" i="1"/>
  <c r="CC171" i="1"/>
  <c r="CC170" i="1"/>
  <c r="CC169" i="1"/>
  <c r="CC168" i="1"/>
  <c r="CC167" i="1"/>
  <c r="CC166" i="1"/>
  <c r="CC165" i="1"/>
  <c r="CC164" i="1"/>
  <c r="CC163" i="1"/>
  <c r="CC162" i="1"/>
  <c r="CC161" i="1"/>
  <c r="CC160" i="1"/>
  <c r="CC159" i="1"/>
  <c r="CC158" i="1"/>
  <c r="CC157" i="1"/>
  <c r="CC156" i="1"/>
  <c r="CC155" i="1"/>
  <c r="CC154" i="1"/>
  <c r="CC153" i="1"/>
  <c r="CC152" i="1"/>
  <c r="CC151" i="1"/>
  <c r="CC150" i="1"/>
  <c r="CC149" i="1"/>
  <c r="CC148" i="1"/>
  <c r="CC147" i="1"/>
  <c r="CC146" i="1"/>
  <c r="CC145" i="1"/>
  <c r="CC144" i="1"/>
  <c r="CC143" i="1"/>
  <c r="CB262" i="1"/>
  <c r="CB261" i="1"/>
  <c r="CB260" i="1"/>
  <c r="CB259" i="1"/>
  <c r="CB258" i="1"/>
  <c r="CB257" i="1"/>
  <c r="CB256" i="1"/>
  <c r="CB255" i="1"/>
  <c r="CB254" i="1"/>
  <c r="CB253" i="1"/>
  <c r="CB252" i="1"/>
  <c r="CB251" i="1"/>
  <c r="CB250" i="1"/>
  <c r="CB249" i="1"/>
  <c r="CB248" i="1"/>
  <c r="CB247" i="1"/>
  <c r="CB246" i="1"/>
  <c r="CB245" i="1"/>
  <c r="CB244" i="1"/>
  <c r="CB243" i="1"/>
  <c r="CB242" i="1"/>
  <c r="CB241" i="1"/>
  <c r="CB240" i="1"/>
  <c r="CB239" i="1"/>
  <c r="CB238" i="1"/>
  <c r="CB237" i="1"/>
  <c r="CB236" i="1"/>
  <c r="CB235" i="1"/>
  <c r="CB234" i="1"/>
  <c r="CB233" i="1"/>
  <c r="CB232" i="1"/>
  <c r="CB231" i="1"/>
  <c r="CB230" i="1"/>
  <c r="CB229" i="1"/>
  <c r="CB228" i="1"/>
  <c r="CB227" i="1"/>
  <c r="CB226" i="1"/>
  <c r="CB225" i="1"/>
  <c r="CB224" i="1"/>
  <c r="CB223" i="1"/>
  <c r="CB222" i="1"/>
  <c r="CB221" i="1"/>
  <c r="CB220" i="1"/>
  <c r="CB219" i="1"/>
  <c r="CB218" i="1"/>
  <c r="CB217" i="1"/>
  <c r="CB216" i="1"/>
  <c r="CB215" i="1"/>
  <c r="CB214" i="1"/>
  <c r="CB213" i="1"/>
  <c r="CB212" i="1"/>
  <c r="CB211" i="1"/>
  <c r="CB210" i="1"/>
  <c r="CB209" i="1"/>
  <c r="CB208" i="1"/>
  <c r="CB207" i="1"/>
  <c r="CB206" i="1"/>
  <c r="CB205" i="1"/>
  <c r="CB204" i="1"/>
  <c r="CB203" i="1"/>
  <c r="CB202" i="1"/>
  <c r="CB201" i="1"/>
  <c r="CB200" i="1"/>
  <c r="CB199" i="1"/>
  <c r="CB198" i="1"/>
  <c r="CB197" i="1"/>
  <c r="CB196" i="1"/>
  <c r="CB195" i="1"/>
  <c r="CB194" i="1"/>
  <c r="CB193" i="1"/>
  <c r="CB192" i="1"/>
  <c r="CB191" i="1"/>
  <c r="CB190" i="1"/>
  <c r="CB189" i="1"/>
  <c r="CB188" i="1"/>
  <c r="CB187" i="1"/>
  <c r="CB186" i="1"/>
  <c r="CB185" i="1"/>
  <c r="CB184" i="1"/>
  <c r="CB183" i="1"/>
  <c r="CB182" i="1"/>
  <c r="CB181" i="1"/>
  <c r="CB180" i="1"/>
  <c r="CB179" i="1"/>
  <c r="CB178" i="1"/>
  <c r="CB177" i="1"/>
  <c r="CB176" i="1"/>
  <c r="CB175" i="1"/>
  <c r="CB174" i="1"/>
  <c r="CB173" i="1"/>
  <c r="CB172" i="1"/>
  <c r="CB171" i="1"/>
  <c r="CB170" i="1"/>
  <c r="CB169" i="1"/>
  <c r="CB168" i="1"/>
  <c r="CB167" i="1"/>
  <c r="CB166" i="1"/>
  <c r="CB165" i="1"/>
  <c r="CB164" i="1"/>
  <c r="CB163" i="1"/>
  <c r="CB162" i="1"/>
  <c r="CB161" i="1"/>
  <c r="CB160" i="1"/>
  <c r="CB159" i="1"/>
  <c r="CB158" i="1"/>
  <c r="CB157" i="1"/>
  <c r="CB156" i="1"/>
  <c r="CB155" i="1"/>
  <c r="CB154" i="1"/>
  <c r="CB153" i="1"/>
  <c r="CB152" i="1"/>
  <c r="CB151" i="1"/>
  <c r="CB150" i="1"/>
  <c r="CB149" i="1"/>
  <c r="CB148" i="1"/>
  <c r="CB147" i="1"/>
  <c r="CB146" i="1"/>
  <c r="CB145" i="1"/>
  <c r="CB144" i="1"/>
  <c r="CB143" i="1"/>
  <c r="CA262" i="1"/>
  <c r="CA261" i="1"/>
  <c r="CA260" i="1"/>
  <c r="CA259" i="1"/>
  <c r="CA258" i="1"/>
  <c r="CA257" i="1"/>
  <c r="CA256" i="1"/>
  <c r="CA255" i="1"/>
  <c r="CA254" i="1"/>
  <c r="CA253" i="1"/>
  <c r="CA252" i="1"/>
  <c r="CA251" i="1"/>
  <c r="CA250" i="1"/>
  <c r="CA249" i="1"/>
  <c r="CA248" i="1"/>
  <c r="CA247" i="1"/>
  <c r="CA246" i="1"/>
  <c r="CA245" i="1"/>
  <c r="CA244" i="1"/>
  <c r="CA243" i="1"/>
  <c r="CA242" i="1"/>
  <c r="CA241" i="1"/>
  <c r="CA240" i="1"/>
  <c r="CA239" i="1"/>
  <c r="CA238" i="1"/>
  <c r="CA237" i="1"/>
  <c r="CA236" i="1"/>
  <c r="CA235" i="1"/>
  <c r="CA234" i="1"/>
  <c r="CA233"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BZ262" i="1"/>
  <c r="BZ261" i="1"/>
  <c r="BZ260" i="1"/>
  <c r="BZ259" i="1"/>
  <c r="BZ258" i="1"/>
  <c r="BZ257" i="1"/>
  <c r="BZ256" i="1"/>
  <c r="BZ255" i="1"/>
  <c r="BZ254" i="1"/>
  <c r="BZ253" i="1"/>
  <c r="BZ252" i="1"/>
  <c r="BZ251" i="1"/>
  <c r="BZ250" i="1"/>
  <c r="BZ249" i="1"/>
  <c r="BZ248" i="1"/>
  <c r="BZ247" i="1"/>
  <c r="BZ246" i="1"/>
  <c r="BZ245" i="1"/>
  <c r="BZ244" i="1"/>
  <c r="BZ243" i="1"/>
  <c r="BZ242" i="1"/>
  <c r="BZ241" i="1"/>
  <c r="BZ240" i="1"/>
  <c r="BZ239" i="1"/>
  <c r="BZ238" i="1"/>
  <c r="BZ237" i="1"/>
  <c r="BZ236" i="1"/>
  <c r="BZ235" i="1"/>
  <c r="BZ234" i="1"/>
  <c r="BZ233" i="1"/>
  <c r="BZ232" i="1"/>
  <c r="BZ231" i="1"/>
  <c r="BZ230" i="1"/>
  <c r="BZ229" i="1"/>
  <c r="BZ228" i="1"/>
  <c r="BZ227" i="1"/>
  <c r="BZ226" i="1"/>
  <c r="BZ225" i="1"/>
  <c r="BZ224" i="1"/>
  <c r="BZ223" i="1"/>
  <c r="BZ222" i="1"/>
  <c r="BZ221" i="1"/>
  <c r="BZ220" i="1"/>
  <c r="BZ219" i="1"/>
  <c r="BZ218" i="1"/>
  <c r="BZ217" i="1"/>
  <c r="BZ216" i="1"/>
  <c r="BZ215" i="1"/>
  <c r="BZ214" i="1"/>
  <c r="BZ213" i="1"/>
  <c r="BZ212" i="1"/>
  <c r="BZ211" i="1"/>
  <c r="BZ210" i="1"/>
  <c r="BZ209" i="1"/>
  <c r="BZ208" i="1"/>
  <c r="BZ207" i="1"/>
  <c r="BZ206" i="1"/>
  <c r="BZ205" i="1"/>
  <c r="BZ204" i="1"/>
  <c r="BZ203" i="1"/>
  <c r="BZ202" i="1"/>
  <c r="BZ201" i="1"/>
  <c r="BZ200" i="1"/>
  <c r="BZ199" i="1"/>
  <c r="BZ198" i="1"/>
  <c r="BZ197" i="1"/>
  <c r="BZ196" i="1"/>
  <c r="BZ195" i="1"/>
  <c r="BZ194" i="1"/>
  <c r="BZ193" i="1"/>
  <c r="BZ192" i="1"/>
  <c r="BZ191" i="1"/>
  <c r="BZ190" i="1"/>
  <c r="BZ189" i="1"/>
  <c r="BZ188" i="1"/>
  <c r="BZ187" i="1"/>
  <c r="BZ186" i="1"/>
  <c r="BZ185" i="1"/>
  <c r="BZ184" i="1"/>
  <c r="BZ183" i="1"/>
  <c r="BZ182" i="1"/>
  <c r="BZ181" i="1"/>
  <c r="BZ180" i="1"/>
  <c r="BZ179" i="1"/>
  <c r="BZ178" i="1"/>
  <c r="BZ177" i="1"/>
  <c r="BZ176" i="1"/>
  <c r="BZ175" i="1"/>
  <c r="BZ174" i="1"/>
  <c r="BZ173" i="1"/>
  <c r="BZ172" i="1"/>
  <c r="BZ171" i="1"/>
  <c r="BZ170" i="1"/>
  <c r="BZ169" i="1"/>
  <c r="BZ168" i="1"/>
  <c r="BZ167" i="1"/>
  <c r="BZ166" i="1"/>
  <c r="BZ165" i="1"/>
  <c r="BZ164" i="1"/>
  <c r="BZ163" i="1"/>
  <c r="BZ162" i="1"/>
  <c r="BZ161" i="1"/>
  <c r="BZ160" i="1"/>
  <c r="BZ159" i="1"/>
  <c r="BZ158" i="1"/>
  <c r="BZ157" i="1"/>
  <c r="BZ156" i="1"/>
  <c r="BZ155" i="1"/>
  <c r="BZ154" i="1"/>
  <c r="BZ153" i="1"/>
  <c r="BZ152" i="1"/>
  <c r="BZ151" i="1"/>
  <c r="BZ150" i="1"/>
  <c r="BZ149" i="1"/>
  <c r="BZ148" i="1"/>
  <c r="BZ147" i="1"/>
  <c r="BZ146" i="1"/>
  <c r="BZ145" i="1"/>
  <c r="BZ144" i="1"/>
  <c r="BZ143" i="1"/>
  <c r="BY262" i="1"/>
  <c r="BY261" i="1"/>
  <c r="BY260" i="1"/>
  <c r="BY259" i="1"/>
  <c r="BY258" i="1"/>
  <c r="BY257" i="1"/>
  <c r="BY256" i="1"/>
  <c r="BY255" i="1"/>
  <c r="BY254" i="1"/>
  <c r="BY253" i="1"/>
  <c r="BY252" i="1"/>
  <c r="BY251" i="1"/>
  <c r="BY250" i="1"/>
  <c r="BY249" i="1"/>
  <c r="BY248" i="1"/>
  <c r="BY247" i="1"/>
  <c r="BY246" i="1"/>
  <c r="BY245" i="1"/>
  <c r="BY244" i="1"/>
  <c r="BY243" i="1"/>
  <c r="BY242" i="1"/>
  <c r="BY241" i="1"/>
  <c r="BY240" i="1"/>
  <c r="BY239" i="1"/>
  <c r="BY238" i="1"/>
  <c r="BY237" i="1"/>
  <c r="BY236" i="1"/>
  <c r="BY235" i="1"/>
  <c r="BY234" i="1"/>
  <c r="BY233" i="1"/>
  <c r="BY232" i="1"/>
  <c r="BY231" i="1"/>
  <c r="BY230" i="1"/>
  <c r="BY229" i="1"/>
  <c r="BY228" i="1"/>
  <c r="BY227" i="1"/>
  <c r="BY226" i="1"/>
  <c r="BY225" i="1"/>
  <c r="BY224" i="1"/>
  <c r="BY223" i="1"/>
  <c r="BY222" i="1"/>
  <c r="BY221" i="1"/>
  <c r="BY220" i="1"/>
  <c r="BY219" i="1"/>
  <c r="BY218" i="1"/>
  <c r="BY217" i="1"/>
  <c r="BY216" i="1"/>
  <c r="BY215" i="1"/>
  <c r="BY214" i="1"/>
  <c r="BY213" i="1"/>
  <c r="BY212" i="1"/>
  <c r="BY211" i="1"/>
  <c r="BY210" i="1"/>
  <c r="BY209" i="1"/>
  <c r="BY208" i="1"/>
  <c r="BY207" i="1"/>
  <c r="BY206" i="1"/>
  <c r="BY205" i="1"/>
  <c r="BY204" i="1"/>
  <c r="BY203" i="1"/>
  <c r="BY202" i="1"/>
  <c r="BY201" i="1"/>
  <c r="BY200" i="1"/>
  <c r="BY199" i="1"/>
  <c r="BY198" i="1"/>
  <c r="BY197" i="1"/>
  <c r="BY196" i="1"/>
  <c r="BY195" i="1"/>
  <c r="BY194" i="1"/>
  <c r="BY193" i="1"/>
  <c r="BY192" i="1"/>
  <c r="BY191" i="1"/>
  <c r="BY190" i="1"/>
  <c r="BY189" i="1"/>
  <c r="BY188" i="1"/>
  <c r="BY187" i="1"/>
  <c r="BY186" i="1"/>
  <c r="BY185" i="1"/>
  <c r="BY184" i="1"/>
  <c r="BY183" i="1"/>
  <c r="BY182" i="1"/>
  <c r="BY181" i="1"/>
  <c r="BY180" i="1"/>
  <c r="BY179" i="1"/>
  <c r="BY178" i="1"/>
  <c r="BY177" i="1"/>
  <c r="BY176" i="1"/>
  <c r="BY175" i="1"/>
  <c r="BY174" i="1"/>
  <c r="BY173" i="1"/>
  <c r="BY172" i="1"/>
  <c r="BY171" i="1"/>
  <c r="BY170" i="1"/>
  <c r="BY169" i="1"/>
  <c r="BY168" i="1"/>
  <c r="BY167" i="1"/>
  <c r="BY166" i="1"/>
  <c r="BY165" i="1"/>
  <c r="BY164" i="1"/>
  <c r="BY163" i="1"/>
  <c r="BY162" i="1"/>
  <c r="BY161" i="1"/>
  <c r="BY160" i="1"/>
  <c r="BY159" i="1"/>
  <c r="BY158" i="1"/>
  <c r="BY157" i="1"/>
  <c r="BY156" i="1"/>
  <c r="BY155" i="1"/>
  <c r="BY154" i="1"/>
  <c r="BY153" i="1"/>
  <c r="BY152" i="1"/>
  <c r="BY151" i="1"/>
  <c r="BY150" i="1"/>
  <c r="BY149" i="1"/>
  <c r="BY148" i="1"/>
  <c r="BY147" i="1"/>
  <c r="BY146" i="1"/>
  <c r="BY145" i="1"/>
  <c r="BY144" i="1"/>
  <c r="BY143" i="1"/>
  <c r="BX262" i="1"/>
  <c r="BX261" i="1"/>
  <c r="BX260" i="1"/>
  <c r="BX259" i="1"/>
  <c r="BX258" i="1"/>
  <c r="BX257" i="1"/>
  <c r="BX256" i="1"/>
  <c r="BX255" i="1"/>
  <c r="BX254" i="1"/>
  <c r="BX253" i="1"/>
  <c r="BX252" i="1"/>
  <c r="BX251" i="1"/>
  <c r="BX250" i="1"/>
  <c r="BX249" i="1"/>
  <c r="BX248" i="1"/>
  <c r="BX247" i="1"/>
  <c r="BX246" i="1"/>
  <c r="BX245" i="1"/>
  <c r="BX244" i="1"/>
  <c r="BX243" i="1"/>
  <c r="BX242" i="1"/>
  <c r="BX241" i="1"/>
  <c r="BX240" i="1"/>
  <c r="BX239" i="1"/>
  <c r="BX238" i="1"/>
  <c r="BX237" i="1"/>
  <c r="BX236" i="1"/>
  <c r="BX235" i="1"/>
  <c r="BX234" i="1"/>
  <c r="BX233" i="1"/>
  <c r="BX232" i="1"/>
  <c r="BX231" i="1"/>
  <c r="BX230" i="1"/>
  <c r="BX229" i="1"/>
  <c r="BX228" i="1"/>
  <c r="BX227" i="1"/>
  <c r="BX226" i="1"/>
  <c r="BX225" i="1"/>
  <c r="BX224" i="1"/>
  <c r="BX223" i="1"/>
  <c r="BX222" i="1"/>
  <c r="BX221" i="1"/>
  <c r="BX220" i="1"/>
  <c r="BX219" i="1"/>
  <c r="BX218" i="1"/>
  <c r="BX217" i="1"/>
  <c r="BX216" i="1"/>
  <c r="BX215" i="1"/>
  <c r="BX214" i="1"/>
  <c r="BX213" i="1"/>
  <c r="BX212" i="1"/>
  <c r="BX211" i="1"/>
  <c r="BX210" i="1"/>
  <c r="BX209" i="1"/>
  <c r="BX208" i="1"/>
  <c r="BX207" i="1"/>
  <c r="BX206" i="1"/>
  <c r="BX205" i="1"/>
  <c r="BX204" i="1"/>
  <c r="BX203" i="1"/>
  <c r="BX202" i="1"/>
  <c r="BX201" i="1"/>
  <c r="BX200" i="1"/>
  <c r="BX199" i="1"/>
  <c r="BX198" i="1"/>
  <c r="BX197" i="1"/>
  <c r="BX196" i="1"/>
  <c r="BX195" i="1"/>
  <c r="BX194" i="1"/>
  <c r="BX193" i="1"/>
  <c r="BX192" i="1"/>
  <c r="BX191" i="1"/>
  <c r="BX190" i="1"/>
  <c r="BX189" i="1"/>
  <c r="BX188" i="1"/>
  <c r="BX187" i="1"/>
  <c r="BX186" i="1"/>
  <c r="BX185" i="1"/>
  <c r="BX184" i="1"/>
  <c r="BX183" i="1"/>
  <c r="BX182" i="1"/>
  <c r="BX181" i="1"/>
  <c r="BX180" i="1"/>
  <c r="BX179" i="1"/>
  <c r="BX178" i="1"/>
  <c r="BX177" i="1"/>
  <c r="BX176" i="1"/>
  <c r="BX175" i="1"/>
  <c r="BX174" i="1"/>
  <c r="BX173" i="1"/>
  <c r="BX172" i="1"/>
  <c r="BX171" i="1"/>
  <c r="BX170" i="1"/>
  <c r="BX169" i="1"/>
  <c r="BX168" i="1"/>
  <c r="BX167" i="1"/>
  <c r="BX166" i="1"/>
  <c r="BX165" i="1"/>
  <c r="BX164" i="1"/>
  <c r="BX163" i="1"/>
  <c r="BX162" i="1"/>
  <c r="BX161" i="1"/>
  <c r="BX160" i="1"/>
  <c r="BX159" i="1"/>
  <c r="BX158" i="1"/>
  <c r="BX157" i="1"/>
  <c r="BX156" i="1"/>
  <c r="BX155" i="1"/>
  <c r="BX154" i="1"/>
  <c r="BX153" i="1"/>
  <c r="BX152" i="1"/>
  <c r="BX151" i="1"/>
  <c r="BX150" i="1"/>
  <c r="BX149" i="1"/>
  <c r="BX148" i="1"/>
  <c r="BX147" i="1"/>
  <c r="BX146" i="1"/>
  <c r="BX145" i="1"/>
  <c r="BX144" i="1"/>
  <c r="BX143" i="1"/>
  <c r="BW262" i="1"/>
  <c r="BW261" i="1"/>
  <c r="BW260" i="1"/>
  <c r="BW259" i="1"/>
  <c r="BW258" i="1"/>
  <c r="BW257" i="1"/>
  <c r="BW256" i="1"/>
  <c r="BW255" i="1"/>
  <c r="BW254" i="1"/>
  <c r="BW253" i="1"/>
  <c r="BW252" i="1"/>
  <c r="BW251" i="1"/>
  <c r="BW250" i="1"/>
  <c r="BW249" i="1"/>
  <c r="BW248" i="1"/>
  <c r="BW247" i="1"/>
  <c r="BW246" i="1"/>
  <c r="BW245" i="1"/>
  <c r="BW244" i="1"/>
  <c r="BW243" i="1"/>
  <c r="BW242" i="1"/>
  <c r="BW241" i="1"/>
  <c r="BW240" i="1"/>
  <c r="BW239" i="1"/>
  <c r="BW238" i="1"/>
  <c r="BW237" i="1"/>
  <c r="BW236" i="1"/>
  <c r="BW235" i="1"/>
  <c r="BW234" i="1"/>
  <c r="BW233" i="1"/>
  <c r="BW232" i="1"/>
  <c r="BW231" i="1"/>
  <c r="BW230" i="1"/>
  <c r="BW229" i="1"/>
  <c r="BW228" i="1"/>
  <c r="BW227" i="1"/>
  <c r="BW226" i="1"/>
  <c r="BW225" i="1"/>
  <c r="BW224" i="1"/>
  <c r="BW223" i="1"/>
  <c r="BW222" i="1"/>
  <c r="BW221" i="1"/>
  <c r="BW220" i="1"/>
  <c r="BW219" i="1"/>
  <c r="BW218" i="1"/>
  <c r="BW217" i="1"/>
  <c r="BW216" i="1"/>
  <c r="BW215" i="1"/>
  <c r="BW214" i="1"/>
  <c r="BW213" i="1"/>
  <c r="BW212" i="1"/>
  <c r="BW211" i="1"/>
  <c r="BW210" i="1"/>
  <c r="BW209" i="1"/>
  <c r="BW208" i="1"/>
  <c r="BW207" i="1"/>
  <c r="BW206" i="1"/>
  <c r="BW205" i="1"/>
  <c r="BW204" i="1"/>
  <c r="BW203" i="1"/>
  <c r="BW202" i="1"/>
  <c r="BW201" i="1"/>
  <c r="BW200" i="1"/>
  <c r="BW199" i="1"/>
  <c r="BW198" i="1"/>
  <c r="BW197" i="1"/>
  <c r="BW196" i="1"/>
  <c r="BW195" i="1"/>
  <c r="BW194" i="1"/>
  <c r="BW193" i="1"/>
  <c r="BW192" i="1"/>
  <c r="BW191" i="1"/>
  <c r="BW190" i="1"/>
  <c r="BW189" i="1"/>
  <c r="BW188" i="1"/>
  <c r="BW187" i="1"/>
  <c r="BW186" i="1"/>
  <c r="BW185" i="1"/>
  <c r="BW184" i="1"/>
  <c r="BW183" i="1"/>
  <c r="BW182" i="1"/>
  <c r="BW181" i="1"/>
  <c r="BW180" i="1"/>
  <c r="BW179" i="1"/>
  <c r="BW178" i="1"/>
  <c r="BW177" i="1"/>
  <c r="BW176" i="1"/>
  <c r="BW175" i="1"/>
  <c r="BW174" i="1"/>
  <c r="BW173" i="1"/>
  <c r="BW172" i="1"/>
  <c r="BW171" i="1"/>
  <c r="BW170" i="1"/>
  <c r="BW169" i="1"/>
  <c r="BW168" i="1"/>
  <c r="BW167" i="1"/>
  <c r="BW166" i="1"/>
  <c r="BW165" i="1"/>
  <c r="BW164" i="1"/>
  <c r="BW163" i="1"/>
  <c r="BW162" i="1"/>
  <c r="BW161" i="1"/>
  <c r="BW160" i="1"/>
  <c r="BW159" i="1"/>
  <c r="BW158" i="1"/>
  <c r="BW157" i="1"/>
  <c r="BW156" i="1"/>
  <c r="BW155" i="1"/>
  <c r="BW154" i="1"/>
  <c r="BW153" i="1"/>
  <c r="BW152" i="1"/>
  <c r="BW151" i="1"/>
  <c r="BW150" i="1"/>
  <c r="BW149" i="1"/>
  <c r="BW148" i="1"/>
  <c r="BW147" i="1"/>
  <c r="BW146" i="1"/>
  <c r="BW145" i="1"/>
  <c r="BW144" i="1"/>
  <c r="BW143" i="1"/>
  <c r="BV262" i="1"/>
  <c r="BV261" i="1"/>
  <c r="BV260" i="1"/>
  <c r="BV259" i="1"/>
  <c r="BV258" i="1"/>
  <c r="BV257" i="1"/>
  <c r="BV256" i="1"/>
  <c r="BV255" i="1"/>
  <c r="BV254" i="1"/>
  <c r="BV253" i="1"/>
  <c r="BV252" i="1"/>
  <c r="BV251" i="1"/>
  <c r="BV250" i="1"/>
  <c r="BV249" i="1"/>
  <c r="BV248" i="1"/>
  <c r="BV247" i="1"/>
  <c r="BV246" i="1"/>
  <c r="BV245" i="1"/>
  <c r="BV244" i="1"/>
  <c r="BV243" i="1"/>
  <c r="BV242" i="1"/>
  <c r="BV241" i="1"/>
  <c r="BV240" i="1"/>
  <c r="BV239" i="1"/>
  <c r="BV238" i="1"/>
  <c r="BV237" i="1"/>
  <c r="BV236" i="1"/>
  <c r="BV235" i="1"/>
  <c r="BV234" i="1"/>
  <c r="BV233" i="1"/>
  <c r="BV232" i="1"/>
  <c r="BV231" i="1"/>
  <c r="BV230" i="1"/>
  <c r="BV229" i="1"/>
  <c r="BV228" i="1"/>
  <c r="BV227" i="1"/>
  <c r="BV226" i="1"/>
  <c r="BV225" i="1"/>
  <c r="BV224" i="1"/>
  <c r="BV223" i="1"/>
  <c r="BV222" i="1"/>
  <c r="BV221" i="1"/>
  <c r="BV220" i="1"/>
  <c r="BV219" i="1"/>
  <c r="BV218" i="1"/>
  <c r="BV217" i="1"/>
  <c r="BV216" i="1"/>
  <c r="BV215" i="1"/>
  <c r="BV214" i="1"/>
  <c r="BV213" i="1"/>
  <c r="BV212" i="1"/>
  <c r="BV211" i="1"/>
  <c r="BV210" i="1"/>
  <c r="BV209" i="1"/>
  <c r="BV208" i="1"/>
  <c r="BV207" i="1"/>
  <c r="BV206" i="1"/>
  <c r="BV205" i="1"/>
  <c r="BV204" i="1"/>
  <c r="BV203" i="1"/>
  <c r="BV202" i="1"/>
  <c r="BV201" i="1"/>
  <c r="BV200" i="1"/>
  <c r="BV199" i="1"/>
  <c r="BV198" i="1"/>
  <c r="BV197" i="1"/>
  <c r="BV196" i="1"/>
  <c r="BV195" i="1"/>
  <c r="BV194" i="1"/>
  <c r="BV193" i="1"/>
  <c r="BV192" i="1"/>
  <c r="BV191" i="1"/>
  <c r="BV190" i="1"/>
  <c r="BV189" i="1"/>
  <c r="BV188" i="1"/>
  <c r="BV187" i="1"/>
  <c r="BV186" i="1"/>
  <c r="BV185" i="1"/>
  <c r="BV184" i="1"/>
  <c r="BV183" i="1"/>
  <c r="BV182" i="1"/>
  <c r="BV181" i="1"/>
  <c r="BV180" i="1"/>
  <c r="BV179" i="1"/>
  <c r="BV178" i="1"/>
  <c r="BV177" i="1"/>
  <c r="BV176" i="1"/>
  <c r="BV175" i="1"/>
  <c r="BV174" i="1"/>
  <c r="BV173" i="1"/>
  <c r="BV172" i="1"/>
  <c r="BV171" i="1"/>
  <c r="BV170" i="1"/>
  <c r="BV169" i="1"/>
  <c r="BV168" i="1"/>
  <c r="BV167" i="1"/>
  <c r="BV166" i="1"/>
  <c r="BV165" i="1"/>
  <c r="BV164" i="1"/>
  <c r="BV163" i="1"/>
  <c r="BV162" i="1"/>
  <c r="BV161" i="1"/>
  <c r="BV160" i="1"/>
  <c r="BV159" i="1"/>
  <c r="BV158" i="1"/>
  <c r="BV157" i="1"/>
  <c r="BV156" i="1"/>
  <c r="BV155" i="1"/>
  <c r="BV154" i="1"/>
  <c r="BV153" i="1"/>
  <c r="BV152" i="1"/>
  <c r="BV151" i="1"/>
  <c r="BV150" i="1"/>
  <c r="BV149" i="1"/>
  <c r="BV148" i="1"/>
  <c r="BV147" i="1"/>
  <c r="BV146" i="1"/>
  <c r="BV145" i="1"/>
  <c r="BV144" i="1"/>
  <c r="BV143" i="1"/>
  <c r="BU262" i="1"/>
  <c r="BU261" i="1"/>
  <c r="BU260" i="1"/>
  <c r="BU259" i="1"/>
  <c r="BU258" i="1"/>
  <c r="BU257" i="1"/>
  <c r="BU256" i="1"/>
  <c r="BU255" i="1"/>
  <c r="BU254" i="1"/>
  <c r="BU253" i="1"/>
  <c r="BU252" i="1"/>
  <c r="BU251" i="1"/>
  <c r="BU250" i="1"/>
  <c r="BU249" i="1"/>
  <c r="BU248" i="1"/>
  <c r="BU247" i="1"/>
  <c r="BU246" i="1"/>
  <c r="BU245" i="1"/>
  <c r="BU244" i="1"/>
  <c r="BU243" i="1"/>
  <c r="BU242" i="1"/>
  <c r="BU241" i="1"/>
  <c r="BU240" i="1"/>
  <c r="BU239" i="1"/>
  <c r="BU238" i="1"/>
  <c r="BU237" i="1"/>
  <c r="BU236" i="1"/>
  <c r="BU235" i="1"/>
  <c r="BU234" i="1"/>
  <c r="BU233" i="1"/>
  <c r="BU232" i="1"/>
  <c r="BU231" i="1"/>
  <c r="BU230" i="1"/>
  <c r="BU229" i="1"/>
  <c r="BU228" i="1"/>
  <c r="BU227" i="1"/>
  <c r="BU226" i="1"/>
  <c r="BU225" i="1"/>
  <c r="BU224" i="1"/>
  <c r="BU223" i="1"/>
  <c r="BU222" i="1"/>
  <c r="BU221" i="1"/>
  <c r="BU220" i="1"/>
  <c r="BU219" i="1"/>
  <c r="BU218" i="1"/>
  <c r="BU217" i="1"/>
  <c r="BU216" i="1"/>
  <c r="BU215" i="1"/>
  <c r="BU214" i="1"/>
  <c r="BU213" i="1"/>
  <c r="BU212" i="1"/>
  <c r="BU211" i="1"/>
  <c r="BU210" i="1"/>
  <c r="BU209" i="1"/>
  <c r="BU208" i="1"/>
  <c r="BU207" i="1"/>
  <c r="BU206" i="1"/>
  <c r="BU205" i="1"/>
  <c r="BU204" i="1"/>
  <c r="BU203" i="1"/>
  <c r="BU202" i="1"/>
  <c r="BU201" i="1"/>
  <c r="BU200" i="1"/>
  <c r="BU199" i="1"/>
  <c r="BU198" i="1"/>
  <c r="BU197" i="1"/>
  <c r="BU196" i="1"/>
  <c r="BU195" i="1"/>
  <c r="BU194" i="1"/>
  <c r="BU193" i="1"/>
  <c r="BU192" i="1"/>
  <c r="BU191" i="1"/>
  <c r="BU190" i="1"/>
  <c r="BU189" i="1"/>
  <c r="BU188" i="1"/>
  <c r="BU187" i="1"/>
  <c r="BU186" i="1"/>
  <c r="BU185" i="1"/>
  <c r="BU184" i="1"/>
  <c r="BU183" i="1"/>
  <c r="BU182" i="1"/>
  <c r="BU181" i="1"/>
  <c r="BU180" i="1"/>
  <c r="BU179" i="1"/>
  <c r="BU178" i="1"/>
  <c r="BU177" i="1"/>
  <c r="BU176" i="1"/>
  <c r="BU175" i="1"/>
  <c r="BU174" i="1"/>
  <c r="BU173" i="1"/>
  <c r="BU172" i="1"/>
  <c r="BU171" i="1"/>
  <c r="BU170" i="1"/>
  <c r="BU169" i="1"/>
  <c r="BU168" i="1"/>
  <c r="BU167" i="1"/>
  <c r="BU166" i="1"/>
  <c r="BU165" i="1"/>
  <c r="BU164" i="1"/>
  <c r="BU163" i="1"/>
  <c r="BU162" i="1"/>
  <c r="BU161" i="1"/>
  <c r="BU160" i="1"/>
  <c r="BU159" i="1"/>
  <c r="BU158" i="1"/>
  <c r="BU157" i="1"/>
  <c r="BU156" i="1"/>
  <c r="BU155" i="1"/>
  <c r="BU154" i="1"/>
  <c r="BU153" i="1"/>
  <c r="BU152" i="1"/>
  <c r="BU151" i="1"/>
  <c r="BU150" i="1"/>
  <c r="BU149" i="1"/>
  <c r="BU148" i="1"/>
  <c r="BU147" i="1"/>
  <c r="BU146" i="1"/>
  <c r="BU145" i="1"/>
  <c r="BU144" i="1"/>
  <c r="BU143" i="1"/>
  <c r="BT262" i="1"/>
  <c r="BT261" i="1"/>
  <c r="BT260" i="1"/>
  <c r="BT259" i="1"/>
  <c r="BT258" i="1"/>
  <c r="BT257" i="1"/>
  <c r="BT256" i="1"/>
  <c r="BT255" i="1"/>
  <c r="BT254" i="1"/>
  <c r="BT253" i="1"/>
  <c r="BT252" i="1"/>
  <c r="BT251" i="1"/>
  <c r="BT250" i="1"/>
  <c r="BT249" i="1"/>
  <c r="BT248" i="1"/>
  <c r="BT247" i="1"/>
  <c r="BT246" i="1"/>
  <c r="BT245" i="1"/>
  <c r="BT244" i="1"/>
  <c r="BT243" i="1"/>
  <c r="BT242" i="1"/>
  <c r="BT241" i="1"/>
  <c r="BT240" i="1"/>
  <c r="BT239" i="1"/>
  <c r="BT238" i="1"/>
  <c r="BT237" i="1"/>
  <c r="BT236" i="1"/>
  <c r="BT235" i="1"/>
  <c r="BT234" i="1"/>
  <c r="BT233" i="1"/>
  <c r="BT232" i="1"/>
  <c r="BT231" i="1"/>
  <c r="BT230" i="1"/>
  <c r="BT229" i="1"/>
  <c r="BT228" i="1"/>
  <c r="BT227" i="1"/>
  <c r="BT226" i="1"/>
  <c r="BT225" i="1"/>
  <c r="BT224" i="1"/>
  <c r="BT223" i="1"/>
  <c r="BT222" i="1"/>
  <c r="BT221" i="1"/>
  <c r="BT220" i="1"/>
  <c r="BT219" i="1"/>
  <c r="BT218" i="1"/>
  <c r="BT217" i="1"/>
  <c r="BT216" i="1"/>
  <c r="BT215" i="1"/>
  <c r="BT214" i="1"/>
  <c r="BT213" i="1"/>
  <c r="BT212" i="1"/>
  <c r="BT211" i="1"/>
  <c r="BT210" i="1"/>
  <c r="BT209" i="1"/>
  <c r="BT208" i="1"/>
  <c r="BT207" i="1"/>
  <c r="BT206" i="1"/>
  <c r="BT205" i="1"/>
  <c r="BT204" i="1"/>
  <c r="BT203" i="1"/>
  <c r="BT202" i="1"/>
  <c r="BT201" i="1"/>
  <c r="BT200" i="1"/>
  <c r="BT199" i="1"/>
  <c r="BT198" i="1"/>
  <c r="BT197" i="1"/>
  <c r="BT196" i="1"/>
  <c r="BT195" i="1"/>
  <c r="BT194" i="1"/>
  <c r="BT193" i="1"/>
  <c r="BT192" i="1"/>
  <c r="BT191" i="1"/>
  <c r="BT190" i="1"/>
  <c r="BT189" i="1"/>
  <c r="BT188" i="1"/>
  <c r="BT187" i="1"/>
  <c r="BT186" i="1"/>
  <c r="BT185" i="1"/>
  <c r="BT184" i="1"/>
  <c r="BT183" i="1"/>
  <c r="BT182" i="1"/>
  <c r="BT181" i="1"/>
  <c r="BT180" i="1"/>
  <c r="BT179" i="1"/>
  <c r="BT178" i="1"/>
  <c r="BT177" i="1"/>
  <c r="BT176" i="1"/>
  <c r="BT175" i="1"/>
  <c r="BT174" i="1"/>
  <c r="BT173" i="1"/>
  <c r="BT172" i="1"/>
  <c r="BT171" i="1"/>
  <c r="BT170" i="1"/>
  <c r="BT169" i="1"/>
  <c r="BT168" i="1"/>
  <c r="BT167" i="1"/>
  <c r="BT166" i="1"/>
  <c r="BT165" i="1"/>
  <c r="BT164" i="1"/>
  <c r="BT163" i="1"/>
  <c r="BT162" i="1"/>
  <c r="BT161" i="1"/>
  <c r="BT160" i="1"/>
  <c r="BT159" i="1"/>
  <c r="BT158" i="1"/>
  <c r="BT157" i="1"/>
  <c r="BT156" i="1"/>
  <c r="BT155" i="1"/>
  <c r="BT154" i="1"/>
  <c r="BT153" i="1"/>
  <c r="BT152" i="1"/>
  <c r="BT151" i="1"/>
  <c r="BT150" i="1"/>
  <c r="BT149" i="1"/>
  <c r="BT148" i="1"/>
  <c r="BT147" i="1"/>
  <c r="BT146" i="1"/>
  <c r="BT145" i="1"/>
  <c r="BT144" i="1"/>
  <c r="BT143" i="1"/>
  <c r="BS262" i="1"/>
  <c r="BS261" i="1"/>
  <c r="BS260" i="1"/>
  <c r="BS259" i="1"/>
  <c r="BS258" i="1"/>
  <c r="BS257" i="1"/>
  <c r="BS256" i="1"/>
  <c r="BS255" i="1"/>
  <c r="BS254" i="1"/>
  <c r="BS253" i="1"/>
  <c r="BS252" i="1"/>
  <c r="BS251" i="1"/>
  <c r="BS250" i="1"/>
  <c r="BS249" i="1"/>
  <c r="BS248" i="1"/>
  <c r="BS247" i="1"/>
  <c r="BS246" i="1"/>
  <c r="BS245" i="1"/>
  <c r="BS244" i="1"/>
  <c r="BS243" i="1"/>
  <c r="BS242" i="1"/>
  <c r="BS241" i="1"/>
  <c r="BS240" i="1"/>
  <c r="BS239" i="1"/>
  <c r="BS238" i="1"/>
  <c r="BS237" i="1"/>
  <c r="BS236" i="1"/>
  <c r="BS235" i="1"/>
  <c r="BS234" i="1"/>
  <c r="BS233" i="1"/>
  <c r="BS232" i="1"/>
  <c r="BS231" i="1"/>
  <c r="BS230" i="1"/>
  <c r="BS229" i="1"/>
  <c r="BS228" i="1"/>
  <c r="BS227" i="1"/>
  <c r="BS226" i="1"/>
  <c r="BS225" i="1"/>
  <c r="BS224" i="1"/>
  <c r="BS223" i="1"/>
  <c r="BS222" i="1"/>
  <c r="BS221" i="1"/>
  <c r="BS220" i="1"/>
  <c r="BS219" i="1"/>
  <c r="BS218" i="1"/>
  <c r="BS217" i="1"/>
  <c r="BS216" i="1"/>
  <c r="BS215" i="1"/>
  <c r="BS214" i="1"/>
  <c r="BS213" i="1"/>
  <c r="BS212" i="1"/>
  <c r="BS211" i="1"/>
  <c r="BS210" i="1"/>
  <c r="BS209" i="1"/>
  <c r="BS208" i="1"/>
  <c r="BS207" i="1"/>
  <c r="BS206" i="1"/>
  <c r="BS205" i="1"/>
  <c r="BS204" i="1"/>
  <c r="BS203" i="1"/>
  <c r="BS202" i="1"/>
  <c r="BS201" i="1"/>
  <c r="BS200" i="1"/>
  <c r="BS199" i="1"/>
  <c r="BS198" i="1"/>
  <c r="BS197" i="1"/>
  <c r="BS196" i="1"/>
  <c r="BS195" i="1"/>
  <c r="BS194" i="1"/>
  <c r="BS193" i="1"/>
  <c r="BS192" i="1"/>
  <c r="BS191" i="1"/>
  <c r="BS190" i="1"/>
  <c r="BS189" i="1"/>
  <c r="BS188" i="1"/>
  <c r="BS187" i="1"/>
  <c r="BS186" i="1"/>
  <c r="BS185" i="1"/>
  <c r="BS184" i="1"/>
  <c r="BS183" i="1"/>
  <c r="BS182" i="1"/>
  <c r="BS181" i="1"/>
  <c r="BS180" i="1"/>
  <c r="BS179" i="1"/>
  <c r="BS178" i="1"/>
  <c r="BS177" i="1"/>
  <c r="BS176" i="1"/>
  <c r="BS175" i="1"/>
  <c r="BS174" i="1"/>
  <c r="BS173" i="1"/>
  <c r="BS172" i="1"/>
  <c r="BS171" i="1"/>
  <c r="BS170" i="1"/>
  <c r="BS169" i="1"/>
  <c r="BS168" i="1"/>
  <c r="BS167" i="1"/>
  <c r="BS166" i="1"/>
  <c r="BS165" i="1"/>
  <c r="BS164" i="1"/>
  <c r="BS163" i="1"/>
  <c r="BS162" i="1"/>
  <c r="BS161" i="1"/>
  <c r="BS160" i="1"/>
  <c r="BS159" i="1"/>
  <c r="BS158" i="1"/>
  <c r="BS157" i="1"/>
  <c r="BS156" i="1"/>
  <c r="BS155" i="1"/>
  <c r="BS154" i="1"/>
  <c r="BS153" i="1"/>
  <c r="BS152" i="1"/>
  <c r="BS151" i="1"/>
  <c r="BS150" i="1"/>
  <c r="BS149" i="1"/>
  <c r="BS148" i="1"/>
  <c r="BS147" i="1"/>
  <c r="BS146" i="1"/>
  <c r="BS145" i="1"/>
  <c r="BS144" i="1"/>
  <c r="BS143" i="1"/>
  <c r="BR262" i="1"/>
  <c r="BR261" i="1"/>
  <c r="BR260" i="1"/>
  <c r="BR259" i="1"/>
  <c r="BR258" i="1"/>
  <c r="BR257" i="1"/>
  <c r="BR256" i="1"/>
  <c r="BR255" i="1"/>
  <c r="BR254" i="1"/>
  <c r="BR253" i="1"/>
  <c r="BR252" i="1"/>
  <c r="BR251" i="1"/>
  <c r="BR250" i="1"/>
  <c r="BR249" i="1"/>
  <c r="BR248" i="1"/>
  <c r="BR247" i="1"/>
  <c r="BR246" i="1"/>
  <c r="BR245" i="1"/>
  <c r="BR244" i="1"/>
  <c r="BR243" i="1"/>
  <c r="BR242" i="1"/>
  <c r="BR241" i="1"/>
  <c r="BR240" i="1"/>
  <c r="BR239" i="1"/>
  <c r="BR238" i="1"/>
  <c r="BR237" i="1"/>
  <c r="BR236" i="1"/>
  <c r="BR235" i="1"/>
  <c r="BR234" i="1"/>
  <c r="BR233" i="1"/>
  <c r="BR232" i="1"/>
  <c r="BR231" i="1"/>
  <c r="BR230" i="1"/>
  <c r="BR229" i="1"/>
  <c r="BR228" i="1"/>
  <c r="BR227" i="1"/>
  <c r="BR226" i="1"/>
  <c r="BR225" i="1"/>
  <c r="BR224" i="1"/>
  <c r="BR223" i="1"/>
  <c r="BR222" i="1"/>
  <c r="BR221" i="1"/>
  <c r="BR220" i="1"/>
  <c r="BR219" i="1"/>
  <c r="BR218" i="1"/>
  <c r="BR217" i="1"/>
  <c r="BR216" i="1"/>
  <c r="BR215" i="1"/>
  <c r="BR214" i="1"/>
  <c r="BR213" i="1"/>
  <c r="BR212" i="1"/>
  <c r="BR211" i="1"/>
  <c r="BR210" i="1"/>
  <c r="BR209" i="1"/>
  <c r="BR208" i="1"/>
  <c r="BR207" i="1"/>
  <c r="BR206" i="1"/>
  <c r="BR205" i="1"/>
  <c r="BR204" i="1"/>
  <c r="BR203" i="1"/>
  <c r="BR202" i="1"/>
  <c r="BR201" i="1"/>
  <c r="BR200" i="1"/>
  <c r="BR199" i="1"/>
  <c r="BR198" i="1"/>
  <c r="BR197" i="1"/>
  <c r="BR196" i="1"/>
  <c r="BR195" i="1"/>
  <c r="BR194" i="1"/>
  <c r="BR193" i="1"/>
  <c r="BR192" i="1"/>
  <c r="BR191" i="1"/>
  <c r="BR190" i="1"/>
  <c r="BR189" i="1"/>
  <c r="BR188" i="1"/>
  <c r="BR187" i="1"/>
  <c r="BR186" i="1"/>
  <c r="BR185" i="1"/>
  <c r="BR184" i="1"/>
  <c r="BR183" i="1"/>
  <c r="BR182" i="1"/>
  <c r="BR181" i="1"/>
  <c r="BR180" i="1"/>
  <c r="BR179" i="1"/>
  <c r="BR178" i="1"/>
  <c r="BR177" i="1"/>
  <c r="BR176" i="1"/>
  <c r="BR175" i="1"/>
  <c r="BR174" i="1"/>
  <c r="BR173" i="1"/>
  <c r="BR172" i="1"/>
  <c r="BR171" i="1"/>
  <c r="BR170" i="1"/>
  <c r="BR169" i="1"/>
  <c r="BR168" i="1"/>
  <c r="BR167" i="1"/>
  <c r="BR166" i="1"/>
  <c r="BR165" i="1"/>
  <c r="BR164" i="1"/>
  <c r="BR163" i="1"/>
  <c r="BR162" i="1"/>
  <c r="BR161" i="1"/>
  <c r="BR160" i="1"/>
  <c r="BR159" i="1"/>
  <c r="BR158" i="1"/>
  <c r="BR157" i="1"/>
  <c r="BR156" i="1"/>
  <c r="BR155" i="1"/>
  <c r="BR154" i="1"/>
  <c r="BR153" i="1"/>
  <c r="BR152" i="1"/>
  <c r="BR151" i="1"/>
  <c r="BR150" i="1"/>
  <c r="BR149" i="1"/>
  <c r="BR148" i="1"/>
  <c r="BR147" i="1"/>
  <c r="BR146" i="1"/>
  <c r="BR145" i="1"/>
  <c r="BR144" i="1"/>
  <c r="BR143" i="1"/>
  <c r="BQ262" i="1"/>
  <c r="BQ261" i="1"/>
  <c r="BQ260" i="1"/>
  <c r="BQ259" i="1"/>
  <c r="BQ258" i="1"/>
  <c r="BQ257" i="1"/>
  <c r="BQ256" i="1"/>
  <c r="BQ255" i="1"/>
  <c r="BQ254" i="1"/>
  <c r="BQ253" i="1"/>
  <c r="BQ252" i="1"/>
  <c r="BQ251" i="1"/>
  <c r="BQ250" i="1"/>
  <c r="BQ249" i="1"/>
  <c r="BQ248" i="1"/>
  <c r="BQ247" i="1"/>
  <c r="BQ246" i="1"/>
  <c r="BQ245" i="1"/>
  <c r="BQ244" i="1"/>
  <c r="BQ243" i="1"/>
  <c r="BQ242" i="1"/>
  <c r="BQ241" i="1"/>
  <c r="BQ240" i="1"/>
  <c r="BQ239" i="1"/>
  <c r="BQ238" i="1"/>
  <c r="BQ237" i="1"/>
  <c r="BQ236" i="1"/>
  <c r="BQ235" i="1"/>
  <c r="BQ234" i="1"/>
  <c r="BQ233" i="1"/>
  <c r="BQ232" i="1"/>
  <c r="BQ231" i="1"/>
  <c r="BQ230" i="1"/>
  <c r="BQ229" i="1"/>
  <c r="BQ228" i="1"/>
  <c r="BQ227" i="1"/>
  <c r="BQ226" i="1"/>
  <c r="BQ225" i="1"/>
  <c r="BQ224" i="1"/>
  <c r="BQ223" i="1"/>
  <c r="BQ222" i="1"/>
  <c r="BQ221" i="1"/>
  <c r="BQ220" i="1"/>
  <c r="BQ219" i="1"/>
  <c r="BQ218" i="1"/>
  <c r="BQ217" i="1"/>
  <c r="BQ216" i="1"/>
  <c r="BQ215" i="1"/>
  <c r="BQ214" i="1"/>
  <c r="BQ213" i="1"/>
  <c r="BQ212" i="1"/>
  <c r="BQ211" i="1"/>
  <c r="BQ210" i="1"/>
  <c r="BQ209" i="1"/>
  <c r="BQ208" i="1"/>
  <c r="BQ207" i="1"/>
  <c r="BQ206" i="1"/>
  <c r="BQ205" i="1"/>
  <c r="BQ204" i="1"/>
  <c r="BQ203" i="1"/>
  <c r="BQ202" i="1"/>
  <c r="BQ201" i="1"/>
  <c r="BQ200" i="1"/>
  <c r="BQ199" i="1"/>
  <c r="BQ198" i="1"/>
  <c r="BQ197" i="1"/>
  <c r="BQ196" i="1"/>
  <c r="BQ195" i="1"/>
  <c r="BQ194" i="1"/>
  <c r="BQ193" i="1"/>
  <c r="BQ192" i="1"/>
  <c r="BQ191" i="1"/>
  <c r="BQ190" i="1"/>
  <c r="BQ189" i="1"/>
  <c r="BQ188" i="1"/>
  <c r="BQ187" i="1"/>
  <c r="BQ186" i="1"/>
  <c r="BQ185" i="1"/>
  <c r="BQ184" i="1"/>
  <c r="BQ183" i="1"/>
  <c r="BQ182" i="1"/>
  <c r="BQ181" i="1"/>
  <c r="BQ180" i="1"/>
  <c r="BQ179" i="1"/>
  <c r="BQ178" i="1"/>
  <c r="BQ177" i="1"/>
  <c r="BQ176" i="1"/>
  <c r="BQ175" i="1"/>
  <c r="BQ174" i="1"/>
  <c r="BQ173" i="1"/>
  <c r="BQ172" i="1"/>
  <c r="BQ171" i="1"/>
  <c r="BQ170" i="1"/>
  <c r="BQ169" i="1"/>
  <c r="BQ168" i="1"/>
  <c r="BQ167" i="1"/>
  <c r="BQ166" i="1"/>
  <c r="BQ165" i="1"/>
  <c r="BQ164" i="1"/>
  <c r="BQ163" i="1"/>
  <c r="BQ162" i="1"/>
  <c r="BQ161" i="1"/>
  <c r="BQ160" i="1"/>
  <c r="BQ159" i="1"/>
  <c r="BQ158" i="1"/>
  <c r="BQ157" i="1"/>
  <c r="BQ156" i="1"/>
  <c r="BQ155" i="1"/>
  <c r="BQ154" i="1"/>
  <c r="BQ153" i="1"/>
  <c r="BQ152" i="1"/>
  <c r="BQ151" i="1"/>
  <c r="BQ150" i="1"/>
  <c r="BQ149" i="1"/>
  <c r="BQ148" i="1"/>
  <c r="BQ147" i="1"/>
  <c r="BQ146" i="1"/>
  <c r="BQ145" i="1"/>
  <c r="BQ144" i="1"/>
  <c r="BQ143" i="1"/>
  <c r="BP262" i="1"/>
  <c r="BP261" i="1"/>
  <c r="BP260" i="1"/>
  <c r="BP259" i="1"/>
  <c r="BP258" i="1"/>
  <c r="BP257" i="1"/>
  <c r="BP256" i="1"/>
  <c r="BP255" i="1"/>
  <c r="BP254" i="1"/>
  <c r="BP253" i="1"/>
  <c r="BP252" i="1"/>
  <c r="BP251" i="1"/>
  <c r="BP250" i="1"/>
  <c r="BP249" i="1"/>
  <c r="BP248" i="1"/>
  <c r="BP247" i="1"/>
  <c r="BP246" i="1"/>
  <c r="BP245" i="1"/>
  <c r="BP244" i="1"/>
  <c r="BP243" i="1"/>
  <c r="BP242" i="1"/>
  <c r="BP241" i="1"/>
  <c r="BP240" i="1"/>
  <c r="BP239" i="1"/>
  <c r="BP238" i="1"/>
  <c r="BP237" i="1"/>
  <c r="BP236" i="1"/>
  <c r="BP235" i="1"/>
  <c r="BP234" i="1"/>
  <c r="BP233" i="1"/>
  <c r="BP232" i="1"/>
  <c r="BP231" i="1"/>
  <c r="BP230" i="1"/>
  <c r="BP229" i="1"/>
  <c r="BP228" i="1"/>
  <c r="BP227" i="1"/>
  <c r="BP226" i="1"/>
  <c r="BP225" i="1"/>
  <c r="BP224" i="1"/>
  <c r="BP223" i="1"/>
  <c r="BP222" i="1"/>
  <c r="BP221" i="1"/>
  <c r="BP220" i="1"/>
  <c r="BP219" i="1"/>
  <c r="BP218" i="1"/>
  <c r="BP217" i="1"/>
  <c r="BP216" i="1"/>
  <c r="BP215" i="1"/>
  <c r="BP214" i="1"/>
  <c r="BP213" i="1"/>
  <c r="BP212" i="1"/>
  <c r="BP211" i="1"/>
  <c r="BP210" i="1"/>
  <c r="BP209" i="1"/>
  <c r="BP208" i="1"/>
  <c r="BP207" i="1"/>
  <c r="BP206" i="1"/>
  <c r="BP205" i="1"/>
  <c r="BP204" i="1"/>
  <c r="BP203" i="1"/>
  <c r="BP202" i="1"/>
  <c r="BP201" i="1"/>
  <c r="BP200" i="1"/>
  <c r="BP199" i="1"/>
  <c r="BP198" i="1"/>
  <c r="BP197" i="1"/>
  <c r="BP196" i="1"/>
  <c r="BP195" i="1"/>
  <c r="BP194" i="1"/>
  <c r="BP193" i="1"/>
  <c r="BP192" i="1"/>
  <c r="BP191" i="1"/>
  <c r="BP190" i="1"/>
  <c r="BP189" i="1"/>
  <c r="BP188" i="1"/>
  <c r="BP187" i="1"/>
  <c r="BP186" i="1"/>
  <c r="BP185" i="1"/>
  <c r="BP184" i="1"/>
  <c r="BP183" i="1"/>
  <c r="BP182" i="1"/>
  <c r="BP181" i="1"/>
  <c r="BP180" i="1"/>
  <c r="BP179" i="1"/>
  <c r="BP178" i="1"/>
  <c r="BP177" i="1"/>
  <c r="BP176" i="1"/>
  <c r="BP175" i="1"/>
  <c r="BP174" i="1"/>
  <c r="BP173" i="1"/>
  <c r="BP172" i="1"/>
  <c r="BP171" i="1"/>
  <c r="BP170" i="1"/>
  <c r="BP169" i="1"/>
  <c r="BP168" i="1"/>
  <c r="BP167" i="1"/>
  <c r="BP166" i="1"/>
  <c r="BP165" i="1"/>
  <c r="BP164" i="1"/>
  <c r="BP163" i="1"/>
  <c r="BP162" i="1"/>
  <c r="BP161" i="1"/>
  <c r="BP160" i="1"/>
  <c r="BP159" i="1"/>
  <c r="BP158" i="1"/>
  <c r="BP157" i="1"/>
  <c r="BP156" i="1"/>
  <c r="BP155" i="1"/>
  <c r="BP154" i="1"/>
  <c r="BP153" i="1"/>
  <c r="BP152" i="1"/>
  <c r="BP151" i="1"/>
  <c r="BP150" i="1"/>
  <c r="BP149" i="1"/>
  <c r="BP148" i="1"/>
  <c r="BP147" i="1"/>
  <c r="BP146" i="1"/>
  <c r="BP145" i="1"/>
  <c r="BP144" i="1"/>
  <c r="BP143" i="1"/>
  <c r="BO262" i="1"/>
  <c r="BO261" i="1"/>
  <c r="BO260" i="1"/>
  <c r="BO259" i="1"/>
  <c r="BO258" i="1"/>
  <c r="BO257" i="1"/>
  <c r="BO256" i="1"/>
  <c r="BO255" i="1"/>
  <c r="BO254" i="1"/>
  <c r="BO253" i="1"/>
  <c r="BO252" i="1"/>
  <c r="BO251" i="1"/>
  <c r="BO250" i="1"/>
  <c r="BO249" i="1"/>
  <c r="BO248" i="1"/>
  <c r="BO247" i="1"/>
  <c r="BO246" i="1"/>
  <c r="BO245" i="1"/>
  <c r="BO244" i="1"/>
  <c r="BO243" i="1"/>
  <c r="BO242" i="1"/>
  <c r="BO241" i="1"/>
  <c r="BO240" i="1"/>
  <c r="BO239" i="1"/>
  <c r="BO238" i="1"/>
  <c r="BO237" i="1"/>
  <c r="BO236" i="1"/>
  <c r="BO235" i="1"/>
  <c r="BO234" i="1"/>
  <c r="BO233"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N262" i="1"/>
  <c r="BN261" i="1"/>
  <c r="BN260" i="1"/>
  <c r="BN259" i="1"/>
  <c r="BN258" i="1"/>
  <c r="BN257" i="1"/>
  <c r="BN256" i="1"/>
  <c r="BN255" i="1"/>
  <c r="BN254" i="1"/>
  <c r="BN253" i="1"/>
  <c r="BN252" i="1"/>
  <c r="BN251" i="1"/>
  <c r="BN250" i="1"/>
  <c r="BN249" i="1"/>
  <c r="BN248" i="1"/>
  <c r="BN247" i="1"/>
  <c r="BN246" i="1"/>
  <c r="BN245" i="1"/>
  <c r="BN244" i="1"/>
  <c r="BN243" i="1"/>
  <c r="BN242" i="1"/>
  <c r="BN241" i="1"/>
  <c r="BN240" i="1"/>
  <c r="BN239" i="1"/>
  <c r="BN238" i="1"/>
  <c r="BN237" i="1"/>
  <c r="BN236" i="1"/>
  <c r="BN235" i="1"/>
  <c r="BN234" i="1"/>
  <c r="BN233" i="1"/>
  <c r="BN232" i="1"/>
  <c r="BN231" i="1"/>
  <c r="BN230" i="1"/>
  <c r="BN229" i="1"/>
  <c r="BN228" i="1"/>
  <c r="BN227" i="1"/>
  <c r="BN226" i="1"/>
  <c r="BN225" i="1"/>
  <c r="BN224" i="1"/>
  <c r="BN223" i="1"/>
  <c r="BN222" i="1"/>
  <c r="BN221" i="1"/>
  <c r="BN220" i="1"/>
  <c r="BN219" i="1"/>
  <c r="BN218" i="1"/>
  <c r="BN217" i="1"/>
  <c r="BN216" i="1"/>
  <c r="BN215" i="1"/>
  <c r="BN214" i="1"/>
  <c r="BN213" i="1"/>
  <c r="BN212" i="1"/>
  <c r="BN211" i="1"/>
  <c r="BN210" i="1"/>
  <c r="BN209" i="1"/>
  <c r="BN208" i="1"/>
  <c r="BN207" i="1"/>
  <c r="BN206" i="1"/>
  <c r="BN205" i="1"/>
  <c r="BN204" i="1"/>
  <c r="BN203" i="1"/>
  <c r="BN202" i="1"/>
  <c r="BN201" i="1"/>
  <c r="BN200" i="1"/>
  <c r="BN199" i="1"/>
  <c r="BN198" i="1"/>
  <c r="BN197" i="1"/>
  <c r="BN196" i="1"/>
  <c r="BN195" i="1"/>
  <c r="BN194" i="1"/>
  <c r="BN193" i="1"/>
  <c r="BN192" i="1"/>
  <c r="BN191" i="1"/>
  <c r="BN190" i="1"/>
  <c r="BN189" i="1"/>
  <c r="BN188" i="1"/>
  <c r="BN187" i="1"/>
  <c r="BN186" i="1"/>
  <c r="BN185" i="1"/>
  <c r="BN184" i="1"/>
  <c r="BN183" i="1"/>
  <c r="BN182" i="1"/>
  <c r="BN181" i="1"/>
  <c r="BN180" i="1"/>
  <c r="BN179" i="1"/>
  <c r="BN178" i="1"/>
  <c r="BN177" i="1"/>
  <c r="BN176" i="1"/>
  <c r="BN175" i="1"/>
  <c r="BN174" i="1"/>
  <c r="BN173" i="1"/>
  <c r="BN172" i="1"/>
  <c r="BN171" i="1"/>
  <c r="BN170" i="1"/>
  <c r="BN169" i="1"/>
  <c r="BN168" i="1"/>
  <c r="BN167" i="1"/>
  <c r="BN166" i="1"/>
  <c r="BN165" i="1"/>
  <c r="BN164" i="1"/>
  <c r="BN163" i="1"/>
  <c r="BN162" i="1"/>
  <c r="BN161" i="1"/>
  <c r="BN160" i="1"/>
  <c r="BN159" i="1"/>
  <c r="BN158" i="1"/>
  <c r="BN157" i="1"/>
  <c r="BN156" i="1"/>
  <c r="BN155" i="1"/>
  <c r="BN154" i="1"/>
  <c r="BN153" i="1"/>
  <c r="BN152" i="1"/>
  <c r="BN151" i="1"/>
  <c r="BN150" i="1"/>
  <c r="BN149" i="1"/>
  <c r="BN148" i="1"/>
  <c r="BN147" i="1"/>
  <c r="BN146" i="1"/>
  <c r="BN145" i="1"/>
  <c r="BN144" i="1"/>
  <c r="BN143" i="1"/>
  <c r="BM262" i="1"/>
  <c r="BM261" i="1"/>
  <c r="BM260" i="1"/>
  <c r="BM259" i="1"/>
  <c r="BM258" i="1"/>
  <c r="BM257" i="1"/>
  <c r="BM256" i="1"/>
  <c r="BM255" i="1"/>
  <c r="BM254" i="1"/>
  <c r="BM253" i="1"/>
  <c r="BM252" i="1"/>
  <c r="BM251" i="1"/>
  <c r="BM250" i="1"/>
  <c r="BM249" i="1"/>
  <c r="BM248" i="1"/>
  <c r="BM247" i="1"/>
  <c r="BM246" i="1"/>
  <c r="BM245" i="1"/>
  <c r="BM244" i="1"/>
  <c r="BM243" i="1"/>
  <c r="BM242" i="1"/>
  <c r="BM241" i="1"/>
  <c r="BM240" i="1"/>
  <c r="BM239" i="1"/>
  <c r="BM238" i="1"/>
  <c r="BM237" i="1"/>
  <c r="BM236" i="1"/>
  <c r="BM235" i="1"/>
  <c r="BM234" i="1"/>
  <c r="BM233" i="1"/>
  <c r="BM232" i="1"/>
  <c r="BM231" i="1"/>
  <c r="BM230" i="1"/>
  <c r="BM229" i="1"/>
  <c r="BM228" i="1"/>
  <c r="BM227" i="1"/>
  <c r="BM226" i="1"/>
  <c r="BM225" i="1"/>
  <c r="BM224" i="1"/>
  <c r="BM223" i="1"/>
  <c r="BM222" i="1"/>
  <c r="BM221" i="1"/>
  <c r="BM220" i="1"/>
  <c r="BM219" i="1"/>
  <c r="BM218" i="1"/>
  <c r="BM217" i="1"/>
  <c r="BM216" i="1"/>
  <c r="BM215" i="1"/>
  <c r="BM214" i="1"/>
  <c r="BM213" i="1"/>
  <c r="BM212" i="1"/>
  <c r="BM211" i="1"/>
  <c r="BM210" i="1"/>
  <c r="BM209" i="1"/>
  <c r="BM208" i="1"/>
  <c r="BM207" i="1"/>
  <c r="BM206" i="1"/>
  <c r="BM205" i="1"/>
  <c r="BM204" i="1"/>
  <c r="BM203" i="1"/>
  <c r="BM202" i="1"/>
  <c r="BM201" i="1"/>
  <c r="BM200" i="1"/>
  <c r="BM199" i="1"/>
  <c r="BM198" i="1"/>
  <c r="BM197" i="1"/>
  <c r="BM196" i="1"/>
  <c r="BM195" i="1"/>
  <c r="BM194" i="1"/>
  <c r="BM193" i="1"/>
  <c r="BM192" i="1"/>
  <c r="BM191" i="1"/>
  <c r="BM190" i="1"/>
  <c r="BM189" i="1"/>
  <c r="BM188" i="1"/>
  <c r="BM187" i="1"/>
  <c r="BM186" i="1"/>
  <c r="BM185" i="1"/>
  <c r="BM184" i="1"/>
  <c r="BM183" i="1"/>
  <c r="BM182" i="1"/>
  <c r="BM181" i="1"/>
  <c r="BM180" i="1"/>
  <c r="BM179" i="1"/>
  <c r="BM178" i="1"/>
  <c r="BM177" i="1"/>
  <c r="BM176" i="1"/>
  <c r="BM175" i="1"/>
  <c r="BM174" i="1"/>
  <c r="BM173" i="1"/>
  <c r="BM172" i="1"/>
  <c r="BM171" i="1"/>
  <c r="BM170" i="1"/>
  <c r="BM169" i="1"/>
  <c r="BM168" i="1"/>
  <c r="BM167" i="1"/>
  <c r="BM166" i="1"/>
  <c r="BM165" i="1"/>
  <c r="BM164" i="1"/>
  <c r="BM163" i="1"/>
  <c r="BM162" i="1"/>
  <c r="BM161" i="1"/>
  <c r="BM160" i="1"/>
  <c r="BM159" i="1"/>
  <c r="BM158" i="1"/>
  <c r="BM157" i="1"/>
  <c r="BM156" i="1"/>
  <c r="BM155" i="1"/>
  <c r="BM154" i="1"/>
  <c r="BM153" i="1"/>
  <c r="BM152" i="1"/>
  <c r="BM151" i="1"/>
  <c r="BM150" i="1"/>
  <c r="BM149" i="1"/>
  <c r="BM148" i="1"/>
  <c r="BM147" i="1"/>
  <c r="BM146" i="1"/>
  <c r="BM145" i="1"/>
  <c r="BM144" i="1"/>
  <c r="BM143" i="1"/>
  <c r="BL262" i="1"/>
  <c r="BL261" i="1"/>
  <c r="BL260" i="1"/>
  <c r="BL259" i="1"/>
  <c r="BL258" i="1"/>
  <c r="BL257" i="1"/>
  <c r="BL256" i="1"/>
  <c r="BL255" i="1"/>
  <c r="BL254" i="1"/>
  <c r="BL253" i="1"/>
  <c r="BL252" i="1"/>
  <c r="BL251" i="1"/>
  <c r="BL250" i="1"/>
  <c r="BL249" i="1"/>
  <c r="BL248" i="1"/>
  <c r="BL247" i="1"/>
  <c r="BL246" i="1"/>
  <c r="BL245" i="1"/>
  <c r="BL244" i="1"/>
  <c r="BL243" i="1"/>
  <c r="BL242" i="1"/>
  <c r="BL241" i="1"/>
  <c r="BL240" i="1"/>
  <c r="BL239" i="1"/>
  <c r="BL238" i="1"/>
  <c r="BL237" i="1"/>
  <c r="BL236" i="1"/>
  <c r="BL235" i="1"/>
  <c r="BL234" i="1"/>
  <c r="BL233"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K262" i="1"/>
  <c r="BK261" i="1"/>
  <c r="BK260" i="1"/>
  <c r="BK259" i="1"/>
  <c r="BK258" i="1"/>
  <c r="BK257" i="1"/>
  <c r="BK256" i="1"/>
  <c r="BK255" i="1"/>
  <c r="BK254" i="1"/>
  <c r="BK253" i="1"/>
  <c r="BK252" i="1"/>
  <c r="BK251" i="1"/>
  <c r="BK250" i="1"/>
  <c r="BK249" i="1"/>
  <c r="BK248" i="1"/>
  <c r="BK247" i="1"/>
  <c r="BK246" i="1"/>
  <c r="BK245" i="1"/>
  <c r="BK244" i="1"/>
  <c r="BK243" i="1"/>
  <c r="BK242" i="1"/>
  <c r="BK241" i="1"/>
  <c r="BK240" i="1"/>
  <c r="BK239" i="1"/>
  <c r="BK238" i="1"/>
  <c r="BK237" i="1"/>
  <c r="BK236" i="1"/>
  <c r="BK235" i="1"/>
  <c r="BK234" i="1"/>
  <c r="DE234" i="1" s="1"/>
  <c r="BK233" i="1"/>
  <c r="BK232" i="1"/>
  <c r="BK231" i="1"/>
  <c r="BK230" i="1"/>
  <c r="BK229" i="1"/>
  <c r="BK228" i="1"/>
  <c r="BK227" i="1"/>
  <c r="BK226" i="1"/>
  <c r="BK22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201" i="1"/>
  <c r="BK200" i="1"/>
  <c r="BK199" i="1"/>
  <c r="BK198" i="1"/>
  <c r="BK197" i="1"/>
  <c r="BK196" i="1"/>
  <c r="BK195" i="1"/>
  <c r="BK194" i="1"/>
  <c r="BK193" i="1"/>
  <c r="BK192" i="1"/>
  <c r="BK191" i="1"/>
  <c r="BK190" i="1"/>
  <c r="BK189" i="1"/>
  <c r="BK188" i="1"/>
  <c r="BK187" i="1"/>
  <c r="BK186" i="1"/>
  <c r="BK185" i="1"/>
  <c r="BK184" i="1"/>
  <c r="BK183" i="1"/>
  <c r="BK182" i="1"/>
  <c r="BK181" i="1"/>
  <c r="BK180" i="1"/>
  <c r="BK179" i="1"/>
  <c r="BK178" i="1"/>
  <c r="BK177" i="1"/>
  <c r="BK176" i="1"/>
  <c r="BK175" i="1"/>
  <c r="BK174" i="1"/>
  <c r="BK173" i="1"/>
  <c r="BK172" i="1"/>
  <c r="BK171" i="1"/>
  <c r="BK170" i="1"/>
  <c r="BK169" i="1"/>
  <c r="BK168" i="1"/>
  <c r="BK167" i="1"/>
  <c r="BK166" i="1"/>
  <c r="BK165" i="1"/>
  <c r="BK164" i="1"/>
  <c r="BK163" i="1"/>
  <c r="BK162" i="1"/>
  <c r="BK161" i="1"/>
  <c r="BK160" i="1"/>
  <c r="BK159" i="1"/>
  <c r="BK158" i="1"/>
  <c r="BK157" i="1"/>
  <c r="BK156" i="1"/>
  <c r="BK155" i="1"/>
  <c r="BK154" i="1"/>
  <c r="BK153" i="1"/>
  <c r="BK152" i="1"/>
  <c r="BK151" i="1"/>
  <c r="BK150" i="1"/>
  <c r="BK149" i="1"/>
  <c r="BK148" i="1"/>
  <c r="BK147" i="1"/>
  <c r="BK146" i="1"/>
  <c r="BK145" i="1"/>
  <c r="BK144" i="1"/>
  <c r="BK143" i="1"/>
  <c r="BJ262" i="1"/>
  <c r="BJ261" i="1"/>
  <c r="BJ260" i="1"/>
  <c r="BJ259" i="1"/>
  <c r="BJ258" i="1"/>
  <c r="BJ257" i="1"/>
  <c r="BJ256" i="1"/>
  <c r="BJ255" i="1"/>
  <c r="BJ254" i="1"/>
  <c r="BJ253" i="1"/>
  <c r="BJ252" i="1"/>
  <c r="BJ251" i="1"/>
  <c r="BJ250" i="1"/>
  <c r="BJ249" i="1"/>
  <c r="BJ248" i="1"/>
  <c r="BJ247" i="1"/>
  <c r="BJ246" i="1"/>
  <c r="BJ245"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I262" i="1"/>
  <c r="BI261" i="1"/>
  <c r="BI260" i="1"/>
  <c r="BI259" i="1"/>
  <c r="BI258" i="1"/>
  <c r="BI257" i="1"/>
  <c r="BI256" i="1"/>
  <c r="BI255" i="1"/>
  <c r="BI254" i="1"/>
  <c r="BI253" i="1"/>
  <c r="BI252" i="1"/>
  <c r="BI251" i="1"/>
  <c r="BI250" i="1"/>
  <c r="BI249" i="1"/>
  <c r="BI248" i="1"/>
  <c r="BI247" i="1"/>
  <c r="BI246" i="1"/>
  <c r="BI245" i="1"/>
  <c r="BI244" i="1"/>
  <c r="BI243" i="1"/>
  <c r="BI242" i="1"/>
  <c r="BI241" i="1"/>
  <c r="BI240" i="1"/>
  <c r="BI239" i="1"/>
  <c r="BI238" i="1"/>
  <c r="BI237" i="1"/>
  <c r="BI236" i="1"/>
  <c r="BI235" i="1"/>
  <c r="BI234" i="1"/>
  <c r="BI233" i="1"/>
  <c r="BI232" i="1"/>
  <c r="BI231" i="1"/>
  <c r="BI230" i="1"/>
  <c r="BI229" i="1"/>
  <c r="BI228" i="1"/>
  <c r="BI227" i="1"/>
  <c r="BI226" i="1"/>
  <c r="BI225" i="1"/>
  <c r="BI224" i="1"/>
  <c r="BI223" i="1"/>
  <c r="BI222" i="1"/>
  <c r="BI221" i="1"/>
  <c r="BI220" i="1"/>
  <c r="BI219" i="1"/>
  <c r="BI218" i="1"/>
  <c r="BI217" i="1"/>
  <c r="BI216" i="1"/>
  <c r="BI215" i="1"/>
  <c r="BI214" i="1"/>
  <c r="BI213" i="1"/>
  <c r="BI212" i="1"/>
  <c r="BI211" i="1"/>
  <c r="BI210" i="1"/>
  <c r="BI209" i="1"/>
  <c r="BI208" i="1"/>
  <c r="BI207" i="1"/>
  <c r="BI206" i="1"/>
  <c r="BI205" i="1"/>
  <c r="BI204" i="1"/>
  <c r="BI203" i="1"/>
  <c r="BI202" i="1"/>
  <c r="BI201" i="1"/>
  <c r="BI200" i="1"/>
  <c r="BI199" i="1"/>
  <c r="BI198" i="1"/>
  <c r="BI197" i="1"/>
  <c r="BI196" i="1"/>
  <c r="BI195" i="1"/>
  <c r="BI194" i="1"/>
  <c r="BI193" i="1"/>
  <c r="BI192" i="1"/>
  <c r="BI191" i="1"/>
  <c r="BI190" i="1"/>
  <c r="BI189" i="1"/>
  <c r="BI188" i="1"/>
  <c r="BI187" i="1"/>
  <c r="BI186" i="1"/>
  <c r="BI185" i="1"/>
  <c r="BI184" i="1"/>
  <c r="BI183" i="1"/>
  <c r="BI182" i="1"/>
  <c r="BI181" i="1"/>
  <c r="BI180" i="1"/>
  <c r="BI179" i="1"/>
  <c r="BI178" i="1"/>
  <c r="BI177" i="1"/>
  <c r="BI176" i="1"/>
  <c r="BI175" i="1"/>
  <c r="BI174" i="1"/>
  <c r="BI173" i="1"/>
  <c r="BI172" i="1"/>
  <c r="BI171" i="1"/>
  <c r="BI170" i="1"/>
  <c r="BI169" i="1"/>
  <c r="BI168" i="1"/>
  <c r="BI167" i="1"/>
  <c r="BI166" i="1"/>
  <c r="BI165" i="1"/>
  <c r="BI164" i="1"/>
  <c r="BI163" i="1"/>
  <c r="BI162" i="1"/>
  <c r="BI161" i="1"/>
  <c r="BI160" i="1"/>
  <c r="BI159" i="1"/>
  <c r="BI158" i="1"/>
  <c r="BI157" i="1"/>
  <c r="BI156" i="1"/>
  <c r="BI155" i="1"/>
  <c r="BI154" i="1"/>
  <c r="BI153" i="1"/>
  <c r="BI152" i="1"/>
  <c r="BI151" i="1"/>
  <c r="BI150" i="1"/>
  <c r="BI149" i="1"/>
  <c r="BI148" i="1"/>
  <c r="BI147" i="1"/>
  <c r="BI146" i="1"/>
  <c r="BI145" i="1"/>
  <c r="BI144" i="1"/>
  <c r="BI143" i="1"/>
  <c r="BH262" i="1"/>
  <c r="BH261" i="1"/>
  <c r="BH260" i="1"/>
  <c r="BH259" i="1"/>
  <c r="BH258" i="1"/>
  <c r="BH257" i="1"/>
  <c r="BH256" i="1"/>
  <c r="BH255" i="1"/>
  <c r="BH254" i="1"/>
  <c r="BH253" i="1"/>
  <c r="BH252" i="1"/>
  <c r="BH251" i="1"/>
  <c r="BH250" i="1"/>
  <c r="BH249" i="1"/>
  <c r="BH248" i="1"/>
  <c r="BH247" i="1"/>
  <c r="BH246" i="1"/>
  <c r="BH245" i="1"/>
  <c r="BH244" i="1"/>
  <c r="BH243" i="1"/>
  <c r="BH242" i="1"/>
  <c r="BH241" i="1"/>
  <c r="BH240" i="1"/>
  <c r="BH239" i="1"/>
  <c r="BH238" i="1"/>
  <c r="BH237" i="1"/>
  <c r="BH236" i="1"/>
  <c r="BH235" i="1"/>
  <c r="BH234" i="1"/>
  <c r="BH233" i="1"/>
  <c r="BH232" i="1"/>
  <c r="BH231" i="1"/>
  <c r="BH230" i="1"/>
  <c r="BH229" i="1"/>
  <c r="BH228" i="1"/>
  <c r="BH227" i="1"/>
  <c r="BH226" i="1"/>
  <c r="BH225" i="1"/>
  <c r="BH224" i="1"/>
  <c r="BH223" i="1"/>
  <c r="BH222" i="1"/>
  <c r="BH221" i="1"/>
  <c r="BH220" i="1"/>
  <c r="BH219" i="1"/>
  <c r="BH218" i="1"/>
  <c r="BH217" i="1"/>
  <c r="BH216" i="1"/>
  <c r="BH215" i="1"/>
  <c r="BH214" i="1"/>
  <c r="BH213" i="1"/>
  <c r="BH212" i="1"/>
  <c r="BH211" i="1"/>
  <c r="BH210" i="1"/>
  <c r="BH209" i="1"/>
  <c r="BH208" i="1"/>
  <c r="BH207" i="1"/>
  <c r="BH206" i="1"/>
  <c r="BH205" i="1"/>
  <c r="BH204" i="1"/>
  <c r="BH203" i="1"/>
  <c r="BH202" i="1"/>
  <c r="BH201" i="1"/>
  <c r="BH200" i="1"/>
  <c r="BH199" i="1"/>
  <c r="BH198" i="1"/>
  <c r="BH197" i="1"/>
  <c r="BH196" i="1"/>
  <c r="BH195" i="1"/>
  <c r="BH194" i="1"/>
  <c r="BH193" i="1"/>
  <c r="BH192" i="1"/>
  <c r="BH191" i="1"/>
  <c r="BH190" i="1"/>
  <c r="BH189" i="1"/>
  <c r="BH188" i="1"/>
  <c r="BH187" i="1"/>
  <c r="BH186" i="1"/>
  <c r="BH185" i="1"/>
  <c r="BH184" i="1"/>
  <c r="BH183" i="1"/>
  <c r="BH182" i="1"/>
  <c r="BH181" i="1"/>
  <c r="BH180" i="1"/>
  <c r="BH179" i="1"/>
  <c r="BH178" i="1"/>
  <c r="BH177" i="1"/>
  <c r="BH176" i="1"/>
  <c r="BH175" i="1"/>
  <c r="BH174" i="1"/>
  <c r="BH173" i="1"/>
  <c r="BH172" i="1"/>
  <c r="BH171" i="1"/>
  <c r="BH170" i="1"/>
  <c r="BH169" i="1"/>
  <c r="BH168" i="1"/>
  <c r="BH167" i="1"/>
  <c r="BH166" i="1"/>
  <c r="BH165" i="1"/>
  <c r="BH164" i="1"/>
  <c r="BH163" i="1"/>
  <c r="BH162" i="1"/>
  <c r="BH161" i="1"/>
  <c r="BH160" i="1"/>
  <c r="BH159" i="1"/>
  <c r="BH158" i="1"/>
  <c r="BH157" i="1"/>
  <c r="BH156" i="1"/>
  <c r="BH155" i="1"/>
  <c r="BH154" i="1"/>
  <c r="BH153" i="1"/>
  <c r="BH152" i="1"/>
  <c r="BH151" i="1"/>
  <c r="BH150" i="1"/>
  <c r="BH149" i="1"/>
  <c r="BH148" i="1"/>
  <c r="BH147" i="1"/>
  <c r="BH146" i="1"/>
  <c r="BH145" i="1"/>
  <c r="BH144" i="1"/>
  <c r="BH143" i="1"/>
  <c r="BG262" i="1"/>
  <c r="BG261" i="1"/>
  <c r="BG260" i="1"/>
  <c r="BG259" i="1"/>
  <c r="BG258" i="1"/>
  <c r="BG257" i="1"/>
  <c r="BG256" i="1"/>
  <c r="BG255" i="1"/>
  <c r="BG254" i="1"/>
  <c r="BG253" i="1"/>
  <c r="BG252" i="1"/>
  <c r="BG251" i="1"/>
  <c r="BG250" i="1"/>
  <c r="BG249" i="1"/>
  <c r="BG248" i="1"/>
  <c r="BG247" i="1"/>
  <c r="BG246" i="1"/>
  <c r="BG245" i="1"/>
  <c r="BG244" i="1"/>
  <c r="BG243" i="1"/>
  <c r="BG242" i="1"/>
  <c r="BG241" i="1"/>
  <c r="BG240" i="1"/>
  <c r="BG239" i="1"/>
  <c r="BG238" i="1"/>
  <c r="BG237" i="1"/>
  <c r="BG236" i="1"/>
  <c r="BG235" i="1"/>
  <c r="BG234" i="1"/>
  <c r="BG233" i="1"/>
  <c r="BG232" i="1"/>
  <c r="BG231" i="1"/>
  <c r="BG230" i="1"/>
  <c r="BG229" i="1"/>
  <c r="BG228" i="1"/>
  <c r="BG227" i="1"/>
  <c r="BG226" i="1"/>
  <c r="BG225" i="1"/>
  <c r="BG224" i="1"/>
  <c r="BG223" i="1"/>
  <c r="BG222" i="1"/>
  <c r="BG221" i="1"/>
  <c r="BG220" i="1"/>
  <c r="BG219" i="1"/>
  <c r="BG218" i="1"/>
  <c r="BG217" i="1"/>
  <c r="BG216" i="1"/>
  <c r="BG215" i="1"/>
  <c r="BG214" i="1"/>
  <c r="BG213" i="1"/>
  <c r="BG212" i="1"/>
  <c r="BG211" i="1"/>
  <c r="BG210" i="1"/>
  <c r="BG209" i="1"/>
  <c r="BG208" i="1"/>
  <c r="BG207" i="1"/>
  <c r="BG206" i="1"/>
  <c r="BG205" i="1"/>
  <c r="BG204" i="1"/>
  <c r="BG203" i="1"/>
  <c r="BG202" i="1"/>
  <c r="BG201" i="1"/>
  <c r="BG200" i="1"/>
  <c r="BG199" i="1"/>
  <c r="BG198" i="1"/>
  <c r="BG197" i="1"/>
  <c r="BG196" i="1"/>
  <c r="BG195" i="1"/>
  <c r="BG194" i="1"/>
  <c r="BG193" i="1"/>
  <c r="BG192" i="1"/>
  <c r="BG191" i="1"/>
  <c r="BG190" i="1"/>
  <c r="BG189" i="1"/>
  <c r="BG188" i="1"/>
  <c r="BG187" i="1"/>
  <c r="BG186" i="1"/>
  <c r="BG185" i="1"/>
  <c r="BG184" i="1"/>
  <c r="BG183" i="1"/>
  <c r="BG182" i="1"/>
  <c r="BG181" i="1"/>
  <c r="BG180" i="1"/>
  <c r="BG179" i="1"/>
  <c r="BG178" i="1"/>
  <c r="BG177" i="1"/>
  <c r="BG176" i="1"/>
  <c r="BG175" i="1"/>
  <c r="BG174" i="1"/>
  <c r="BG173" i="1"/>
  <c r="BG172" i="1"/>
  <c r="BG171" i="1"/>
  <c r="BG170" i="1"/>
  <c r="BG169" i="1"/>
  <c r="BG168" i="1"/>
  <c r="BG167" i="1"/>
  <c r="BG166" i="1"/>
  <c r="BG165" i="1"/>
  <c r="BG164" i="1"/>
  <c r="BG163" i="1"/>
  <c r="BG162" i="1"/>
  <c r="BG161" i="1"/>
  <c r="BG160" i="1"/>
  <c r="BG159" i="1"/>
  <c r="BG158" i="1"/>
  <c r="BG157" i="1"/>
  <c r="BG156" i="1"/>
  <c r="BG155" i="1"/>
  <c r="BG154" i="1"/>
  <c r="BG153" i="1"/>
  <c r="BG152" i="1"/>
  <c r="BG151" i="1"/>
  <c r="BG150" i="1"/>
  <c r="BG149" i="1"/>
  <c r="BG148" i="1"/>
  <c r="BG147" i="1"/>
  <c r="BG146" i="1"/>
  <c r="BG145" i="1"/>
  <c r="BG144" i="1"/>
  <c r="BG143" i="1"/>
  <c r="BF262" i="1"/>
  <c r="BF261" i="1"/>
  <c r="BF260" i="1"/>
  <c r="BF259" i="1"/>
  <c r="BF258" i="1"/>
  <c r="BF257" i="1"/>
  <c r="BF256" i="1"/>
  <c r="BF255" i="1"/>
  <c r="BF254" i="1"/>
  <c r="BF253" i="1"/>
  <c r="BF252" i="1"/>
  <c r="BF251" i="1"/>
  <c r="BF250" i="1"/>
  <c r="BF249" i="1"/>
  <c r="BF248" i="1"/>
  <c r="BF247" i="1"/>
  <c r="BF246" i="1"/>
  <c r="BF245" i="1"/>
  <c r="BF244" i="1"/>
  <c r="BF243" i="1"/>
  <c r="BF242" i="1"/>
  <c r="BF241" i="1"/>
  <c r="BF240" i="1"/>
  <c r="BF239" i="1"/>
  <c r="BF238" i="1"/>
  <c r="BF237" i="1"/>
  <c r="BF236" i="1"/>
  <c r="BF235" i="1"/>
  <c r="BF234" i="1"/>
  <c r="BF233" i="1"/>
  <c r="BF232" i="1"/>
  <c r="BF231" i="1"/>
  <c r="BF230" i="1"/>
  <c r="BF229" i="1"/>
  <c r="BF228" i="1"/>
  <c r="BF227" i="1"/>
  <c r="BF226" i="1"/>
  <c r="BF225" i="1"/>
  <c r="BF224" i="1"/>
  <c r="BF223" i="1"/>
  <c r="BF222" i="1"/>
  <c r="BF221" i="1"/>
  <c r="BF220" i="1"/>
  <c r="BF219" i="1"/>
  <c r="BF218" i="1"/>
  <c r="BF217" i="1"/>
  <c r="BF216" i="1"/>
  <c r="BF215" i="1"/>
  <c r="BF214" i="1"/>
  <c r="BF213" i="1"/>
  <c r="BF212" i="1"/>
  <c r="BF211" i="1"/>
  <c r="BF210" i="1"/>
  <c r="BF209" i="1"/>
  <c r="BF208" i="1"/>
  <c r="BF207" i="1"/>
  <c r="BF206" i="1"/>
  <c r="BF205" i="1"/>
  <c r="BF204" i="1"/>
  <c r="BF203" i="1"/>
  <c r="BF202" i="1"/>
  <c r="BF201" i="1"/>
  <c r="BF200" i="1"/>
  <c r="BF199" i="1"/>
  <c r="BF198" i="1"/>
  <c r="BF197" i="1"/>
  <c r="BF196" i="1"/>
  <c r="BF195" i="1"/>
  <c r="BF194" i="1"/>
  <c r="BF193" i="1"/>
  <c r="BF192" i="1"/>
  <c r="BF191" i="1"/>
  <c r="BF190" i="1"/>
  <c r="BF189" i="1"/>
  <c r="BF188" i="1"/>
  <c r="BF187" i="1"/>
  <c r="BF186" i="1"/>
  <c r="BF185" i="1"/>
  <c r="BF184" i="1"/>
  <c r="BF183" i="1"/>
  <c r="BF182" i="1"/>
  <c r="BF181" i="1"/>
  <c r="BF180" i="1"/>
  <c r="BF179" i="1"/>
  <c r="BF178" i="1"/>
  <c r="BF177" i="1"/>
  <c r="BF176" i="1"/>
  <c r="BF175" i="1"/>
  <c r="BF174" i="1"/>
  <c r="BF173" i="1"/>
  <c r="BF172" i="1"/>
  <c r="BF171" i="1"/>
  <c r="BF170" i="1"/>
  <c r="BF169" i="1"/>
  <c r="BF168" i="1"/>
  <c r="BF167" i="1"/>
  <c r="BF166" i="1"/>
  <c r="BF165" i="1"/>
  <c r="BF164" i="1"/>
  <c r="BF163" i="1"/>
  <c r="BF162" i="1"/>
  <c r="BF161" i="1"/>
  <c r="BF160" i="1"/>
  <c r="BF159" i="1"/>
  <c r="BF158" i="1"/>
  <c r="BF157" i="1"/>
  <c r="BF156" i="1"/>
  <c r="BF155" i="1"/>
  <c r="BF154" i="1"/>
  <c r="BF153" i="1"/>
  <c r="BF152" i="1"/>
  <c r="BF151" i="1"/>
  <c r="BF150" i="1"/>
  <c r="BF149" i="1"/>
  <c r="BF148" i="1"/>
  <c r="BF147" i="1"/>
  <c r="BF146" i="1"/>
  <c r="BF145" i="1"/>
  <c r="BF144" i="1"/>
  <c r="BF143" i="1"/>
  <c r="BE262" i="1"/>
  <c r="BE261" i="1"/>
  <c r="BE260" i="1"/>
  <c r="BE259" i="1"/>
  <c r="BE258" i="1"/>
  <c r="BE257" i="1"/>
  <c r="BE256" i="1"/>
  <c r="BE255" i="1"/>
  <c r="BE254" i="1"/>
  <c r="BE253" i="1"/>
  <c r="BE252" i="1"/>
  <c r="BE251" i="1"/>
  <c r="BE250" i="1"/>
  <c r="BE249" i="1"/>
  <c r="BE248" i="1"/>
  <c r="BE247" i="1"/>
  <c r="BE246" i="1"/>
  <c r="BE245"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D262" i="1"/>
  <c r="BD261" i="1"/>
  <c r="BD260" i="1"/>
  <c r="BD259" i="1"/>
  <c r="BD258" i="1"/>
  <c r="BD257" i="1"/>
  <c r="BD256" i="1"/>
  <c r="BD255" i="1"/>
  <c r="BD254" i="1"/>
  <c r="BD253" i="1"/>
  <c r="BD252" i="1"/>
  <c r="BD251" i="1"/>
  <c r="BD250" i="1"/>
  <c r="BD249" i="1"/>
  <c r="BD248" i="1"/>
  <c r="BD247" i="1"/>
  <c r="BD246" i="1"/>
  <c r="BD245" i="1"/>
  <c r="BD244" i="1"/>
  <c r="BD243" i="1"/>
  <c r="BD242" i="1"/>
  <c r="BD241" i="1"/>
  <c r="BD240" i="1"/>
  <c r="BD239" i="1"/>
  <c r="BD238" i="1"/>
  <c r="BD237" i="1"/>
  <c r="BD236" i="1"/>
  <c r="BD235" i="1"/>
  <c r="BD234" i="1"/>
  <c r="BD233" i="1"/>
  <c r="BD232" i="1"/>
  <c r="BD231" i="1"/>
  <c r="BD230" i="1"/>
  <c r="BD229" i="1"/>
  <c r="BD228" i="1"/>
  <c r="BD227" i="1"/>
  <c r="BD226" i="1"/>
  <c r="BD225" i="1"/>
  <c r="BD224" i="1"/>
  <c r="BD223" i="1"/>
  <c r="BD222" i="1"/>
  <c r="BD221" i="1"/>
  <c r="BD220" i="1"/>
  <c r="BD219" i="1"/>
  <c r="BD218" i="1"/>
  <c r="BD217" i="1"/>
  <c r="BD216" i="1"/>
  <c r="BD215" i="1"/>
  <c r="BD214" i="1"/>
  <c r="BD213" i="1"/>
  <c r="BD212" i="1"/>
  <c r="BD211" i="1"/>
  <c r="BD210" i="1"/>
  <c r="BD209" i="1"/>
  <c r="BD208" i="1"/>
  <c r="BD207" i="1"/>
  <c r="BD206" i="1"/>
  <c r="BD205" i="1"/>
  <c r="BD204" i="1"/>
  <c r="BD203" i="1"/>
  <c r="BD202" i="1"/>
  <c r="BD201" i="1"/>
  <c r="BD200" i="1"/>
  <c r="BD199" i="1"/>
  <c r="BD198" i="1"/>
  <c r="BD197" i="1"/>
  <c r="BD196" i="1"/>
  <c r="BD195" i="1"/>
  <c r="BD194" i="1"/>
  <c r="BD193" i="1"/>
  <c r="BD192" i="1"/>
  <c r="BD191" i="1"/>
  <c r="BD190" i="1"/>
  <c r="BD189" i="1"/>
  <c r="BD188" i="1"/>
  <c r="BD187" i="1"/>
  <c r="BD186" i="1"/>
  <c r="BD185" i="1"/>
  <c r="BD184" i="1"/>
  <c r="BD183" i="1"/>
  <c r="BD182" i="1"/>
  <c r="BD181" i="1"/>
  <c r="BD180" i="1"/>
  <c r="BD179" i="1"/>
  <c r="BD178" i="1"/>
  <c r="BD177" i="1"/>
  <c r="BD176" i="1"/>
  <c r="BD175" i="1"/>
  <c r="BD174" i="1"/>
  <c r="BD173" i="1"/>
  <c r="BD172" i="1"/>
  <c r="BD171" i="1"/>
  <c r="BD170" i="1"/>
  <c r="BD169" i="1"/>
  <c r="BD168" i="1"/>
  <c r="BD167" i="1"/>
  <c r="BD166" i="1"/>
  <c r="BD165" i="1"/>
  <c r="BD164" i="1"/>
  <c r="BD163" i="1"/>
  <c r="BD162" i="1"/>
  <c r="BD161" i="1"/>
  <c r="BD160" i="1"/>
  <c r="BD159" i="1"/>
  <c r="BD158" i="1"/>
  <c r="BD157" i="1"/>
  <c r="BD156" i="1"/>
  <c r="BD155" i="1"/>
  <c r="BD154" i="1"/>
  <c r="BD153" i="1"/>
  <c r="BD152" i="1"/>
  <c r="BD151" i="1"/>
  <c r="BD150" i="1"/>
  <c r="BD149" i="1"/>
  <c r="BD148" i="1"/>
  <c r="BD147" i="1"/>
  <c r="BD146" i="1"/>
  <c r="BD145" i="1"/>
  <c r="BD144" i="1"/>
  <c r="BD143" i="1"/>
  <c r="BC262" i="1"/>
  <c r="BC261" i="1"/>
  <c r="BC260" i="1"/>
  <c r="BC259" i="1"/>
  <c r="BC258" i="1"/>
  <c r="BC257" i="1"/>
  <c r="BC256" i="1"/>
  <c r="BC255" i="1"/>
  <c r="BC254" i="1"/>
  <c r="BC253" i="1"/>
  <c r="BC252" i="1"/>
  <c r="BC251" i="1"/>
  <c r="BC250" i="1"/>
  <c r="BC249" i="1"/>
  <c r="BC248" i="1"/>
  <c r="BC247" i="1"/>
  <c r="BC246" i="1"/>
  <c r="BC245" i="1"/>
  <c r="BC244" i="1"/>
  <c r="BC243" i="1"/>
  <c r="BC242" i="1"/>
  <c r="BC241" i="1"/>
  <c r="BC240" i="1"/>
  <c r="BC239" i="1"/>
  <c r="BC238" i="1"/>
  <c r="BC237" i="1"/>
  <c r="BC236" i="1"/>
  <c r="BC235" i="1"/>
  <c r="BC234" i="1"/>
  <c r="BC233" i="1"/>
  <c r="BC232" i="1"/>
  <c r="BC231" i="1"/>
  <c r="BC230" i="1"/>
  <c r="BC229" i="1"/>
  <c r="BC228" i="1"/>
  <c r="BC227" i="1"/>
  <c r="BC226" i="1"/>
  <c r="BC225" i="1"/>
  <c r="BC224" i="1"/>
  <c r="BC223" i="1"/>
  <c r="BC222" i="1"/>
  <c r="BC221" i="1"/>
  <c r="BC220" i="1"/>
  <c r="BC219" i="1"/>
  <c r="BC218" i="1"/>
  <c r="BC217" i="1"/>
  <c r="BC216" i="1"/>
  <c r="BC215" i="1"/>
  <c r="BC214" i="1"/>
  <c r="BC213" i="1"/>
  <c r="BC212" i="1"/>
  <c r="BC211" i="1"/>
  <c r="BC210" i="1"/>
  <c r="BC209" i="1"/>
  <c r="BC208" i="1"/>
  <c r="BC207" i="1"/>
  <c r="BC206" i="1"/>
  <c r="BC205" i="1"/>
  <c r="BC204" i="1"/>
  <c r="BC203" i="1"/>
  <c r="BC202" i="1"/>
  <c r="BC201" i="1"/>
  <c r="BC200" i="1"/>
  <c r="BC199" i="1"/>
  <c r="BC198" i="1"/>
  <c r="BC197" i="1"/>
  <c r="BC196" i="1"/>
  <c r="BC195" i="1"/>
  <c r="BC194" i="1"/>
  <c r="BC193" i="1"/>
  <c r="BC192" i="1"/>
  <c r="BC191" i="1"/>
  <c r="BC190" i="1"/>
  <c r="BC189" i="1"/>
  <c r="BC188" i="1"/>
  <c r="BC187" i="1"/>
  <c r="BC186" i="1"/>
  <c r="BC185" i="1"/>
  <c r="BC184" i="1"/>
  <c r="BC183" i="1"/>
  <c r="BC182" i="1"/>
  <c r="BC181" i="1"/>
  <c r="BC180" i="1"/>
  <c r="BC179" i="1"/>
  <c r="BC178" i="1"/>
  <c r="BC177" i="1"/>
  <c r="BC176" i="1"/>
  <c r="BC175" i="1"/>
  <c r="BC174" i="1"/>
  <c r="BC173" i="1"/>
  <c r="BC172" i="1"/>
  <c r="BC171" i="1"/>
  <c r="BC170" i="1"/>
  <c r="BC169" i="1"/>
  <c r="BC168" i="1"/>
  <c r="BC167" i="1"/>
  <c r="BC166" i="1"/>
  <c r="BC165" i="1"/>
  <c r="BC164" i="1"/>
  <c r="BC163" i="1"/>
  <c r="BC162" i="1"/>
  <c r="BC161" i="1"/>
  <c r="BC160" i="1"/>
  <c r="BC159" i="1"/>
  <c r="BC158" i="1"/>
  <c r="BC157" i="1"/>
  <c r="BC156" i="1"/>
  <c r="BC155" i="1"/>
  <c r="BC154" i="1"/>
  <c r="BC153" i="1"/>
  <c r="BC152" i="1"/>
  <c r="BC151" i="1"/>
  <c r="BC150" i="1"/>
  <c r="BC149" i="1"/>
  <c r="BC148" i="1"/>
  <c r="BC147" i="1"/>
  <c r="BC146" i="1"/>
  <c r="BC145" i="1"/>
  <c r="BC144" i="1"/>
  <c r="BC14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5"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BB149" i="1"/>
  <c r="BB148" i="1"/>
  <c r="BB147" i="1"/>
  <c r="BB146" i="1"/>
  <c r="BB145" i="1"/>
  <c r="BB144" i="1"/>
  <c r="BB14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90" i="1"/>
  <c r="BA189" i="1"/>
  <c r="BA188" i="1"/>
  <c r="BA187" i="1"/>
  <c r="BA186" i="1"/>
  <c r="BA185" i="1"/>
  <c r="BA184" i="1"/>
  <c r="BA183" i="1"/>
  <c r="BA182" i="1"/>
  <c r="BA181" i="1"/>
  <c r="BA180" i="1"/>
  <c r="BA179" i="1"/>
  <c r="BA178" i="1"/>
  <c r="BA177" i="1"/>
  <c r="BA176" i="1"/>
  <c r="BA175" i="1"/>
  <c r="BA174" i="1"/>
  <c r="BA173" i="1"/>
  <c r="BA172" i="1"/>
  <c r="BA171" i="1"/>
  <c r="BA170" i="1"/>
  <c r="BA169" i="1"/>
  <c r="BA168" i="1"/>
  <c r="BA167" i="1"/>
  <c r="BA166" i="1"/>
  <c r="BA165" i="1"/>
  <c r="BA164" i="1"/>
  <c r="BA163" i="1"/>
  <c r="BA162" i="1"/>
  <c r="BA161" i="1"/>
  <c r="BA160" i="1"/>
  <c r="BA159" i="1"/>
  <c r="BA158" i="1"/>
  <c r="BA157" i="1"/>
  <c r="BA156" i="1"/>
  <c r="BA155" i="1"/>
  <c r="BA154" i="1"/>
  <c r="BA153" i="1"/>
  <c r="BA152" i="1"/>
  <c r="BA151" i="1"/>
  <c r="BA150" i="1"/>
  <c r="BA149" i="1"/>
  <c r="BA148" i="1"/>
  <c r="BA147" i="1"/>
  <c r="BA146" i="1"/>
  <c r="BA145" i="1"/>
  <c r="BA144" i="1"/>
  <c r="BA14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Y262" i="1"/>
  <c r="AY261" i="1"/>
  <c r="AY260" i="1"/>
  <c r="AY259" i="1"/>
  <c r="AY258" i="1"/>
  <c r="AY257" i="1"/>
  <c r="AY256" i="1"/>
  <c r="AY255" i="1"/>
  <c r="AY254" i="1"/>
  <c r="AY253" i="1"/>
  <c r="AY252" i="1"/>
  <c r="AY251" i="1"/>
  <c r="AY250" i="1"/>
  <c r="AY249" i="1"/>
  <c r="AY248" i="1"/>
  <c r="AY247" i="1"/>
  <c r="AY246" i="1"/>
  <c r="AY245" i="1"/>
  <c r="AY244" i="1"/>
  <c r="AY243" i="1"/>
  <c r="AY242" i="1"/>
  <c r="AY241" i="1"/>
  <c r="AY240" i="1"/>
  <c r="AY239" i="1"/>
  <c r="AY238" i="1"/>
  <c r="AY237" i="1"/>
  <c r="AY236" i="1"/>
  <c r="AY235" i="1"/>
  <c r="AY234" i="1"/>
  <c r="AY233" i="1"/>
  <c r="AY232" i="1"/>
  <c r="AY231" i="1"/>
  <c r="AY230" i="1"/>
  <c r="AY229" i="1"/>
  <c r="AY228" i="1"/>
  <c r="AY227" i="1"/>
  <c r="AY226" i="1"/>
  <c r="AY225" i="1"/>
  <c r="AY224" i="1"/>
  <c r="AY223" i="1"/>
  <c r="AY222" i="1"/>
  <c r="AY221" i="1"/>
  <c r="AY220" i="1"/>
  <c r="AY219" i="1"/>
  <c r="AY218" i="1"/>
  <c r="AY217" i="1"/>
  <c r="AY216" i="1"/>
  <c r="AY215" i="1"/>
  <c r="AY214" i="1"/>
  <c r="AY213" i="1"/>
  <c r="AY212" i="1"/>
  <c r="AY211" i="1"/>
  <c r="AY210" i="1"/>
  <c r="AY209" i="1"/>
  <c r="AY208" i="1"/>
  <c r="AY207" i="1"/>
  <c r="AY206" i="1"/>
  <c r="AY205" i="1"/>
  <c r="AY204" i="1"/>
  <c r="AY203" i="1"/>
  <c r="AY202" i="1"/>
  <c r="AY201" i="1"/>
  <c r="AY200" i="1"/>
  <c r="AY199" i="1"/>
  <c r="AY198" i="1"/>
  <c r="AY197" i="1"/>
  <c r="AY196" i="1"/>
  <c r="AY195" i="1"/>
  <c r="AY194" i="1"/>
  <c r="AY193" i="1"/>
  <c r="AY192" i="1"/>
  <c r="AY191" i="1"/>
  <c r="AY190" i="1"/>
  <c r="AY189" i="1"/>
  <c r="AY188" i="1"/>
  <c r="AY187" i="1"/>
  <c r="AY186" i="1"/>
  <c r="AY185" i="1"/>
  <c r="AY184" i="1"/>
  <c r="AY183" i="1"/>
  <c r="AY182" i="1"/>
  <c r="AY181" i="1"/>
  <c r="AY180" i="1"/>
  <c r="AY179" i="1"/>
  <c r="AY178" i="1"/>
  <c r="AY177" i="1"/>
  <c r="AY176" i="1"/>
  <c r="AY175" i="1"/>
  <c r="AY174" i="1"/>
  <c r="AY173" i="1"/>
  <c r="AY172" i="1"/>
  <c r="AY171" i="1"/>
  <c r="AY170" i="1"/>
  <c r="AY169" i="1"/>
  <c r="AY168" i="1"/>
  <c r="AY167" i="1"/>
  <c r="AY166" i="1"/>
  <c r="AY165" i="1"/>
  <c r="AY164" i="1"/>
  <c r="AY163" i="1"/>
  <c r="AY162" i="1"/>
  <c r="AY161" i="1"/>
  <c r="AY160" i="1"/>
  <c r="AY159" i="1"/>
  <c r="AY158" i="1"/>
  <c r="AY157" i="1"/>
  <c r="AY156" i="1"/>
  <c r="AY155" i="1"/>
  <c r="AY154" i="1"/>
  <c r="AY153" i="1"/>
  <c r="AY152" i="1"/>
  <c r="AY151" i="1"/>
  <c r="AY150" i="1"/>
  <c r="AY149" i="1"/>
  <c r="AY148" i="1"/>
  <c r="AY147" i="1"/>
  <c r="AY146" i="1"/>
  <c r="AY145" i="1"/>
  <c r="AY144" i="1"/>
  <c r="AY143" i="1"/>
  <c r="AX262" i="1"/>
  <c r="AX261" i="1"/>
  <c r="AX260" i="1"/>
  <c r="AX259" i="1"/>
  <c r="AX258" i="1"/>
  <c r="AX257" i="1"/>
  <c r="AX256" i="1"/>
  <c r="AX255" i="1"/>
  <c r="AX254" i="1"/>
  <c r="AX253" i="1"/>
  <c r="AX252" i="1"/>
  <c r="AX251" i="1"/>
  <c r="AX250" i="1"/>
  <c r="AX249" i="1"/>
  <c r="AX248" i="1"/>
  <c r="AX247" i="1"/>
  <c r="AX246" i="1"/>
  <c r="AX245" i="1"/>
  <c r="AX244" i="1"/>
  <c r="AX243" i="1"/>
  <c r="AX242" i="1"/>
  <c r="AX241" i="1"/>
  <c r="AX240" i="1"/>
  <c r="AX239" i="1"/>
  <c r="AX238" i="1"/>
  <c r="AX237" i="1"/>
  <c r="AX236" i="1"/>
  <c r="AX235" i="1"/>
  <c r="AX234" i="1"/>
  <c r="AX233" i="1"/>
  <c r="AX232" i="1"/>
  <c r="AX231" i="1"/>
  <c r="AX230" i="1"/>
  <c r="AX229" i="1"/>
  <c r="AX228" i="1"/>
  <c r="AX227" i="1"/>
  <c r="AX226" i="1"/>
  <c r="AX225" i="1"/>
  <c r="AX224" i="1"/>
  <c r="AX223" i="1"/>
  <c r="AX222" i="1"/>
  <c r="AX221" i="1"/>
  <c r="AX220" i="1"/>
  <c r="AX219" i="1"/>
  <c r="AX218" i="1"/>
  <c r="AX217" i="1"/>
  <c r="AX216" i="1"/>
  <c r="AX215" i="1"/>
  <c r="AX214" i="1"/>
  <c r="AX213" i="1"/>
  <c r="AX212" i="1"/>
  <c r="AX211" i="1"/>
  <c r="AX210" i="1"/>
  <c r="AX209" i="1"/>
  <c r="AX208" i="1"/>
  <c r="AX207" i="1"/>
  <c r="AX206" i="1"/>
  <c r="AX205" i="1"/>
  <c r="AX204" i="1"/>
  <c r="AX203" i="1"/>
  <c r="AX202" i="1"/>
  <c r="AX201" i="1"/>
  <c r="AX200" i="1"/>
  <c r="AX199" i="1"/>
  <c r="AX198" i="1"/>
  <c r="AX197" i="1"/>
  <c r="AX196" i="1"/>
  <c r="AX195" i="1"/>
  <c r="AX194" i="1"/>
  <c r="AX193" i="1"/>
  <c r="AX192" i="1"/>
  <c r="AX191" i="1"/>
  <c r="AX190" i="1"/>
  <c r="AX189" i="1"/>
  <c r="AX188" i="1"/>
  <c r="AX187" i="1"/>
  <c r="AX186" i="1"/>
  <c r="AX185" i="1"/>
  <c r="AX184" i="1"/>
  <c r="AX183" i="1"/>
  <c r="AX182" i="1"/>
  <c r="AX181" i="1"/>
  <c r="AX180" i="1"/>
  <c r="AX179" i="1"/>
  <c r="AX178" i="1"/>
  <c r="AX177" i="1"/>
  <c r="AX176" i="1"/>
  <c r="AX175" i="1"/>
  <c r="AX174" i="1"/>
  <c r="AX173" i="1"/>
  <c r="AX172" i="1"/>
  <c r="AX171" i="1"/>
  <c r="AX170" i="1"/>
  <c r="AX169" i="1"/>
  <c r="AX168" i="1"/>
  <c r="AX167" i="1"/>
  <c r="AX166" i="1"/>
  <c r="AX165" i="1"/>
  <c r="AX164" i="1"/>
  <c r="AX163" i="1"/>
  <c r="AX162" i="1"/>
  <c r="AX161" i="1"/>
  <c r="AX160" i="1"/>
  <c r="AX159" i="1"/>
  <c r="AX158" i="1"/>
  <c r="AX157" i="1"/>
  <c r="AX156" i="1"/>
  <c r="AX155" i="1"/>
  <c r="AX154" i="1"/>
  <c r="AX153" i="1"/>
  <c r="AX152" i="1"/>
  <c r="AX151" i="1"/>
  <c r="AX150" i="1"/>
  <c r="AX149" i="1"/>
  <c r="AX148" i="1"/>
  <c r="AX147" i="1"/>
  <c r="AX146" i="1"/>
  <c r="AX145" i="1"/>
  <c r="AX144" i="1"/>
  <c r="AX143" i="1"/>
  <c r="AW262" i="1"/>
  <c r="AW261" i="1"/>
  <c r="AW260" i="1"/>
  <c r="AW259" i="1"/>
  <c r="AW258" i="1"/>
  <c r="AW257" i="1"/>
  <c r="AW256" i="1"/>
  <c r="AW255" i="1"/>
  <c r="AW254" i="1"/>
  <c r="AW253" i="1"/>
  <c r="AW252" i="1"/>
  <c r="AW251" i="1"/>
  <c r="AW250" i="1"/>
  <c r="AW249" i="1"/>
  <c r="AW248" i="1"/>
  <c r="AW247" i="1"/>
  <c r="AW246" i="1"/>
  <c r="AW245" i="1"/>
  <c r="AW244" i="1"/>
  <c r="AW243" i="1"/>
  <c r="AW242" i="1"/>
  <c r="AW241" i="1"/>
  <c r="AW240" i="1"/>
  <c r="AW239" i="1"/>
  <c r="AW238" i="1"/>
  <c r="AW237" i="1"/>
  <c r="AW236" i="1"/>
  <c r="AW235" i="1"/>
  <c r="AW234" i="1"/>
  <c r="AW233" i="1"/>
  <c r="AW232" i="1"/>
  <c r="AW231" i="1"/>
  <c r="AW230" i="1"/>
  <c r="AW229" i="1"/>
  <c r="AW228" i="1"/>
  <c r="AW227" i="1"/>
  <c r="AW226" i="1"/>
  <c r="AW225" i="1"/>
  <c r="AW224" i="1"/>
  <c r="AW223" i="1"/>
  <c r="AW222" i="1"/>
  <c r="AW221" i="1"/>
  <c r="AW220" i="1"/>
  <c r="AW219" i="1"/>
  <c r="AW218" i="1"/>
  <c r="AW217" i="1"/>
  <c r="AW216" i="1"/>
  <c r="AW215" i="1"/>
  <c r="AW214" i="1"/>
  <c r="AW213" i="1"/>
  <c r="AW212" i="1"/>
  <c r="AW211" i="1"/>
  <c r="AW210" i="1"/>
  <c r="AW209" i="1"/>
  <c r="AW208" i="1"/>
  <c r="AW207" i="1"/>
  <c r="AW206" i="1"/>
  <c r="AW205" i="1"/>
  <c r="AW204" i="1"/>
  <c r="AW203" i="1"/>
  <c r="AW202" i="1"/>
  <c r="AW201" i="1"/>
  <c r="AW200" i="1"/>
  <c r="AW199" i="1"/>
  <c r="AW198" i="1"/>
  <c r="AW197" i="1"/>
  <c r="AW196" i="1"/>
  <c r="AW195" i="1"/>
  <c r="AW194" i="1"/>
  <c r="AW193" i="1"/>
  <c r="AW192" i="1"/>
  <c r="AW191" i="1"/>
  <c r="AW190" i="1"/>
  <c r="AW189" i="1"/>
  <c r="AW188" i="1"/>
  <c r="AW187" i="1"/>
  <c r="AW186" i="1"/>
  <c r="AW185" i="1"/>
  <c r="AW184" i="1"/>
  <c r="AW183" i="1"/>
  <c r="AW182" i="1"/>
  <c r="AW181" i="1"/>
  <c r="AW180" i="1"/>
  <c r="AW179" i="1"/>
  <c r="AW178" i="1"/>
  <c r="AW177" i="1"/>
  <c r="AW176" i="1"/>
  <c r="AW175" i="1"/>
  <c r="AW174" i="1"/>
  <c r="AW173" i="1"/>
  <c r="AW172" i="1"/>
  <c r="AW171" i="1"/>
  <c r="AW170" i="1"/>
  <c r="AW169" i="1"/>
  <c r="AW168" i="1"/>
  <c r="AW167" i="1"/>
  <c r="AW166" i="1"/>
  <c r="AW165" i="1"/>
  <c r="AW164" i="1"/>
  <c r="AW163" i="1"/>
  <c r="AW162" i="1"/>
  <c r="AW161" i="1"/>
  <c r="AW160" i="1"/>
  <c r="AW159" i="1"/>
  <c r="AW158" i="1"/>
  <c r="AW157" i="1"/>
  <c r="AW156" i="1"/>
  <c r="AW155" i="1"/>
  <c r="AW154" i="1"/>
  <c r="AW153" i="1"/>
  <c r="AW152" i="1"/>
  <c r="AW151" i="1"/>
  <c r="AW150" i="1"/>
  <c r="AW149" i="1"/>
  <c r="AW148" i="1"/>
  <c r="AW147" i="1"/>
  <c r="AW146" i="1"/>
  <c r="AW145" i="1"/>
  <c r="AW144" i="1"/>
  <c r="AW143" i="1"/>
  <c r="AV262" i="1"/>
  <c r="AV261" i="1"/>
  <c r="AV260" i="1"/>
  <c r="AV259" i="1"/>
  <c r="AV258" i="1"/>
  <c r="AV257" i="1"/>
  <c r="AV256" i="1"/>
  <c r="AV255" i="1"/>
  <c r="AV254" i="1"/>
  <c r="AV253" i="1"/>
  <c r="AV252" i="1"/>
  <c r="AV251" i="1"/>
  <c r="AV250" i="1"/>
  <c r="AV249" i="1"/>
  <c r="AV248" i="1"/>
  <c r="AV247" i="1"/>
  <c r="AV246" i="1"/>
  <c r="AV245" i="1"/>
  <c r="AV244" i="1"/>
  <c r="AV243" i="1"/>
  <c r="AV242" i="1"/>
  <c r="AV241" i="1"/>
  <c r="AV240" i="1"/>
  <c r="AV239" i="1"/>
  <c r="AV238" i="1"/>
  <c r="AV237" i="1"/>
  <c r="AV236" i="1"/>
  <c r="AV235" i="1"/>
  <c r="AV234" i="1"/>
  <c r="AV233" i="1"/>
  <c r="AV232" i="1"/>
  <c r="AV231" i="1"/>
  <c r="AV230" i="1"/>
  <c r="AV229" i="1"/>
  <c r="AV228" i="1"/>
  <c r="AV227" i="1"/>
  <c r="AV226" i="1"/>
  <c r="AV225" i="1"/>
  <c r="AV224" i="1"/>
  <c r="AV223" i="1"/>
  <c r="AV222" i="1"/>
  <c r="AV221" i="1"/>
  <c r="AV220" i="1"/>
  <c r="DF220" i="1" s="1"/>
  <c r="AV219" i="1"/>
  <c r="AV218" i="1"/>
  <c r="AV217" i="1"/>
  <c r="AV216" i="1"/>
  <c r="AV215" i="1"/>
  <c r="AV214" i="1"/>
  <c r="AV213" i="1"/>
  <c r="AV212" i="1"/>
  <c r="AV211" i="1"/>
  <c r="AV210" i="1"/>
  <c r="AV209" i="1"/>
  <c r="AV208" i="1"/>
  <c r="AV207" i="1"/>
  <c r="AV206" i="1"/>
  <c r="AV205" i="1"/>
  <c r="AV204" i="1"/>
  <c r="AV203" i="1"/>
  <c r="AV202" i="1"/>
  <c r="AV201" i="1"/>
  <c r="AV200" i="1"/>
  <c r="AV199" i="1"/>
  <c r="AV198" i="1"/>
  <c r="AV197" i="1"/>
  <c r="AV196" i="1"/>
  <c r="AV195" i="1"/>
  <c r="AV194" i="1"/>
  <c r="AV193" i="1"/>
  <c r="AV192" i="1"/>
  <c r="AV191" i="1"/>
  <c r="AV190" i="1"/>
  <c r="AV189" i="1"/>
  <c r="AV188" i="1"/>
  <c r="AV187" i="1"/>
  <c r="AV186" i="1"/>
  <c r="AV185" i="1"/>
  <c r="AV184" i="1"/>
  <c r="AV183" i="1"/>
  <c r="AV182" i="1"/>
  <c r="AV179" i="1"/>
  <c r="AV178" i="1"/>
  <c r="AV177" i="1"/>
  <c r="AV176" i="1"/>
  <c r="CV176" i="1" s="1"/>
  <c r="AV172" i="1"/>
  <c r="DF172" i="1" s="1"/>
  <c r="AV171" i="1"/>
  <c r="AV170" i="1"/>
  <c r="AV169" i="1"/>
  <c r="AV168" i="1"/>
  <c r="AV167" i="1"/>
  <c r="AV166" i="1"/>
  <c r="AV165" i="1"/>
  <c r="AV161" i="1"/>
  <c r="AV160" i="1"/>
  <c r="AV159" i="1"/>
  <c r="AV158" i="1"/>
  <c r="AV157" i="1"/>
  <c r="AV156" i="1"/>
  <c r="AV155" i="1"/>
  <c r="AV154" i="1"/>
  <c r="AV153" i="1"/>
  <c r="AV152" i="1"/>
  <c r="AV151" i="1"/>
  <c r="AV150" i="1"/>
  <c r="AV149" i="1"/>
  <c r="AV148" i="1"/>
  <c r="AV147" i="1"/>
  <c r="AV146" i="1"/>
  <c r="AV145" i="1"/>
  <c r="AV144" i="1"/>
  <c r="AV143" i="1"/>
  <c r="AU262" i="1"/>
  <c r="AU261" i="1"/>
  <c r="AU260" i="1"/>
  <c r="AU259" i="1"/>
  <c r="AU258" i="1"/>
  <c r="AU257" i="1"/>
  <c r="AU256" i="1"/>
  <c r="AU255" i="1"/>
  <c r="AU254" i="1"/>
  <c r="AU253" i="1"/>
  <c r="AU252" i="1"/>
  <c r="AU251" i="1"/>
  <c r="AU250" i="1"/>
  <c r="AU249" i="1"/>
  <c r="AU248" i="1"/>
  <c r="AU247" i="1"/>
  <c r="AU246" i="1"/>
  <c r="AU245" i="1"/>
  <c r="AU244" i="1"/>
  <c r="AU243" i="1"/>
  <c r="AU242" i="1"/>
  <c r="AU241" i="1"/>
  <c r="AU240" i="1"/>
  <c r="AU239" i="1"/>
  <c r="AU238" i="1"/>
  <c r="AU237" i="1"/>
  <c r="AU236" i="1"/>
  <c r="AU235" i="1"/>
  <c r="AU234" i="1"/>
  <c r="AU233" i="1"/>
  <c r="AU232" i="1"/>
  <c r="AU231" i="1"/>
  <c r="AU230" i="1"/>
  <c r="AU229" i="1"/>
  <c r="AU228" i="1"/>
  <c r="AU227" i="1"/>
  <c r="AU226" i="1"/>
  <c r="AU225" i="1"/>
  <c r="AU224" i="1"/>
  <c r="AU223" i="1"/>
  <c r="AU222" i="1"/>
  <c r="AU221" i="1"/>
  <c r="AU220" i="1"/>
  <c r="AU219" i="1"/>
  <c r="AU218" i="1"/>
  <c r="AU217" i="1"/>
  <c r="AU216" i="1"/>
  <c r="AU215" i="1"/>
  <c r="AU214" i="1"/>
  <c r="AU213" i="1"/>
  <c r="AU212" i="1"/>
  <c r="AU211" i="1"/>
  <c r="AU210" i="1"/>
  <c r="AU209" i="1"/>
  <c r="AU208" i="1"/>
  <c r="AU207" i="1"/>
  <c r="AU206" i="1"/>
  <c r="AU205" i="1"/>
  <c r="AU204" i="1"/>
  <c r="AU203" i="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T262" i="1"/>
  <c r="AT261" i="1"/>
  <c r="AT260" i="1"/>
  <c r="AT259" i="1"/>
  <c r="AT258" i="1"/>
  <c r="AT257" i="1"/>
  <c r="AT256" i="1"/>
  <c r="AT255" i="1"/>
  <c r="AT254" i="1"/>
  <c r="AT253" i="1"/>
  <c r="AT252" i="1"/>
  <c r="AT251" i="1"/>
  <c r="AT250" i="1"/>
  <c r="AT249" i="1"/>
  <c r="AT248" i="1"/>
  <c r="AT247" i="1"/>
  <c r="AT246" i="1"/>
  <c r="AT245" i="1"/>
  <c r="AT244" i="1"/>
  <c r="AT243" i="1"/>
  <c r="AT242" i="1"/>
  <c r="AT241" i="1"/>
  <c r="AT240" i="1"/>
  <c r="AT239" i="1"/>
  <c r="AT238" i="1"/>
  <c r="AT237" i="1"/>
  <c r="AT236" i="1"/>
  <c r="AT235" i="1"/>
  <c r="AT234" i="1"/>
  <c r="AT233"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S262" i="1"/>
  <c r="AS261" i="1"/>
  <c r="AS260" i="1"/>
  <c r="AS259" i="1"/>
  <c r="AS258" i="1"/>
  <c r="AS257" i="1"/>
  <c r="AS256" i="1"/>
  <c r="AS255" i="1"/>
  <c r="AS254" i="1"/>
  <c r="AS253" i="1"/>
  <c r="AS252" i="1"/>
  <c r="AS251" i="1"/>
  <c r="AS250" i="1"/>
  <c r="AS249" i="1"/>
  <c r="AS248" i="1"/>
  <c r="AS247" i="1"/>
  <c r="AS246" i="1"/>
  <c r="AS245" i="1"/>
  <c r="AS244" i="1"/>
  <c r="AS243" i="1"/>
  <c r="AS242" i="1"/>
  <c r="AS241" i="1"/>
  <c r="AS240" i="1"/>
  <c r="AS239" i="1"/>
  <c r="AS238" i="1"/>
  <c r="AS237" i="1"/>
  <c r="AS236" i="1"/>
  <c r="AS235" i="1"/>
  <c r="AS234" i="1"/>
  <c r="AS233" i="1"/>
  <c r="AS232" i="1"/>
  <c r="AS231" i="1"/>
  <c r="AS230" i="1"/>
  <c r="AS229" i="1"/>
  <c r="AS228" i="1"/>
  <c r="AS227" i="1"/>
  <c r="AS226" i="1"/>
  <c r="AS225" i="1"/>
  <c r="AS224" i="1"/>
  <c r="AS223" i="1"/>
  <c r="AS222" i="1"/>
  <c r="AS221" i="1"/>
  <c r="AS220" i="1"/>
  <c r="AS219" i="1"/>
  <c r="AS218" i="1"/>
  <c r="AS217" i="1"/>
  <c r="AS216" i="1"/>
  <c r="AS215" i="1"/>
  <c r="AS214" i="1"/>
  <c r="AS213" i="1"/>
  <c r="AS212" i="1"/>
  <c r="AS211" i="1"/>
  <c r="AS210" i="1"/>
  <c r="AS209" i="1"/>
  <c r="AS208" i="1"/>
  <c r="AS207" i="1"/>
  <c r="AS206" i="1"/>
  <c r="AS205" i="1"/>
  <c r="AS204" i="1"/>
  <c r="AS203" i="1"/>
  <c r="AS202" i="1"/>
  <c r="AS201" i="1"/>
  <c r="AS200" i="1"/>
  <c r="AS199" i="1"/>
  <c r="AS198" i="1"/>
  <c r="AS197" i="1"/>
  <c r="AS196" i="1"/>
  <c r="AS195" i="1"/>
  <c r="AS194" i="1"/>
  <c r="AS193" i="1"/>
  <c r="AS192" i="1"/>
  <c r="AS191" i="1"/>
  <c r="AS190" i="1"/>
  <c r="AS189" i="1"/>
  <c r="AS188" i="1"/>
  <c r="AS187" i="1"/>
  <c r="AS186" i="1"/>
  <c r="AS185" i="1"/>
  <c r="AS184" i="1"/>
  <c r="AS183" i="1"/>
  <c r="AS182" i="1"/>
  <c r="AS181" i="1"/>
  <c r="AS180" i="1"/>
  <c r="AS179" i="1"/>
  <c r="AS178" i="1"/>
  <c r="AS177" i="1"/>
  <c r="AS176" i="1"/>
  <c r="AS175" i="1"/>
  <c r="AS174" i="1"/>
  <c r="AS173" i="1"/>
  <c r="AS172" i="1"/>
  <c r="AS171" i="1"/>
  <c r="AS170" i="1"/>
  <c r="AS169" i="1"/>
  <c r="AS168" i="1"/>
  <c r="AS167" i="1"/>
  <c r="AS166" i="1"/>
  <c r="AS165" i="1"/>
  <c r="AS164" i="1"/>
  <c r="AS163" i="1"/>
  <c r="AS161" i="1"/>
  <c r="AS160" i="1"/>
  <c r="AS159" i="1"/>
  <c r="AS158" i="1"/>
  <c r="AS157" i="1"/>
  <c r="AS156" i="1"/>
  <c r="AS155" i="1"/>
  <c r="AS154" i="1"/>
  <c r="AS153" i="1"/>
  <c r="AS152" i="1"/>
  <c r="AS151" i="1"/>
  <c r="AS150" i="1"/>
  <c r="AS149" i="1"/>
  <c r="AS148" i="1"/>
  <c r="AS147" i="1"/>
  <c r="AS146" i="1"/>
  <c r="AS145" i="1"/>
  <c r="AS144" i="1"/>
  <c r="AS143" i="1"/>
  <c r="AR262" i="1"/>
  <c r="AR261" i="1"/>
  <c r="AR260" i="1"/>
  <c r="AR259" i="1"/>
  <c r="AR258" i="1"/>
  <c r="AR257" i="1"/>
  <c r="AR256" i="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R227" i="1"/>
  <c r="AR226" i="1"/>
  <c r="AR225" i="1"/>
  <c r="AR224" i="1"/>
  <c r="AR223" i="1"/>
  <c r="AR222" i="1"/>
  <c r="AR221" i="1"/>
  <c r="AR220" i="1"/>
  <c r="AR219" i="1"/>
  <c r="AR218" i="1"/>
  <c r="AR217" i="1"/>
  <c r="AR216" i="1"/>
  <c r="AR215" i="1"/>
  <c r="AR214" i="1"/>
  <c r="AR213" i="1"/>
  <c r="AR212" i="1"/>
  <c r="AR211" i="1"/>
  <c r="AR210" i="1"/>
  <c r="AR209" i="1"/>
  <c r="AR208" i="1"/>
  <c r="AR207" i="1"/>
  <c r="AR206" i="1"/>
  <c r="AR205" i="1"/>
  <c r="AR204" i="1"/>
  <c r="AR203" i="1"/>
  <c r="AR202" i="1"/>
  <c r="AR201" i="1"/>
  <c r="AR200" i="1"/>
  <c r="AR199" i="1"/>
  <c r="AR198" i="1"/>
  <c r="AR197" i="1"/>
  <c r="AR196" i="1"/>
  <c r="AR195" i="1"/>
  <c r="AR194" i="1"/>
  <c r="AR193" i="1"/>
  <c r="AR192" i="1"/>
  <c r="AR191" i="1"/>
  <c r="AR190" i="1"/>
  <c r="AR189" i="1"/>
  <c r="AR188" i="1"/>
  <c r="AR187" i="1"/>
  <c r="AR186" i="1"/>
  <c r="AR185" i="1"/>
  <c r="AR184" i="1"/>
  <c r="AR183" i="1"/>
  <c r="AR182" i="1"/>
  <c r="AR181" i="1"/>
  <c r="AR180" i="1"/>
  <c r="AR179" i="1"/>
  <c r="AR178" i="1"/>
  <c r="AR177" i="1"/>
  <c r="AR176" i="1"/>
  <c r="AR175" i="1"/>
  <c r="AR174" i="1"/>
  <c r="AR173" i="1"/>
  <c r="AR172" i="1"/>
  <c r="AR171" i="1"/>
  <c r="AR170" i="1"/>
  <c r="AR169" i="1"/>
  <c r="AR168" i="1"/>
  <c r="AR167" i="1"/>
  <c r="AR166" i="1"/>
  <c r="AR165" i="1"/>
  <c r="AR164" i="1"/>
  <c r="AR163" i="1"/>
  <c r="AR162" i="1"/>
  <c r="AR161" i="1"/>
  <c r="AR160" i="1"/>
  <c r="AR159" i="1"/>
  <c r="AR158" i="1"/>
  <c r="AR157" i="1"/>
  <c r="AR156" i="1"/>
  <c r="AR155" i="1"/>
  <c r="AR154" i="1"/>
  <c r="AR153" i="1"/>
  <c r="AR152" i="1"/>
  <c r="AR151" i="1"/>
  <c r="AR150" i="1"/>
  <c r="AR149" i="1"/>
  <c r="AR148" i="1"/>
  <c r="AR147" i="1"/>
  <c r="AR146" i="1"/>
  <c r="AR145" i="1"/>
  <c r="AR144" i="1"/>
  <c r="AR143" i="1"/>
  <c r="AQ262" i="1"/>
  <c r="AQ261" i="1"/>
  <c r="AQ260" i="1"/>
  <c r="AQ259" i="1"/>
  <c r="AQ258" i="1"/>
  <c r="AQ257" i="1"/>
  <c r="AQ256" i="1"/>
  <c r="AQ255" i="1"/>
  <c r="AQ254" i="1"/>
  <c r="AQ253" i="1"/>
  <c r="AQ252" i="1"/>
  <c r="AQ251" i="1"/>
  <c r="AQ250" i="1"/>
  <c r="AQ249" i="1"/>
  <c r="AQ248" i="1"/>
  <c r="AQ247" i="1"/>
  <c r="AQ246" i="1"/>
  <c r="AQ245" i="1"/>
  <c r="AQ244" i="1"/>
  <c r="AQ243" i="1"/>
  <c r="AQ242" i="1"/>
  <c r="AQ241" i="1"/>
  <c r="AQ240" i="1"/>
  <c r="AQ239" i="1"/>
  <c r="AQ238" i="1"/>
  <c r="AQ237" i="1"/>
  <c r="AQ236" i="1"/>
  <c r="AQ235" i="1"/>
  <c r="AQ234" i="1"/>
  <c r="AQ233" i="1"/>
  <c r="AQ232" i="1"/>
  <c r="AQ231" i="1"/>
  <c r="AQ230" i="1"/>
  <c r="AQ229" i="1"/>
  <c r="AQ228" i="1"/>
  <c r="AQ227" i="1"/>
  <c r="AQ226" i="1"/>
  <c r="AQ225" i="1"/>
  <c r="AQ224" i="1"/>
  <c r="AQ223" i="1"/>
  <c r="AQ222" i="1"/>
  <c r="AQ221" i="1"/>
  <c r="AQ220" i="1"/>
  <c r="AQ219" i="1"/>
  <c r="AQ218" i="1"/>
  <c r="AQ217" i="1"/>
  <c r="AQ216" i="1"/>
  <c r="AQ215" i="1"/>
  <c r="AQ214" i="1"/>
  <c r="AQ213" i="1"/>
  <c r="AQ212" i="1"/>
  <c r="AQ211" i="1"/>
  <c r="AQ210" i="1"/>
  <c r="AQ209" i="1"/>
  <c r="AQ208" i="1"/>
  <c r="AQ207" i="1"/>
  <c r="AQ206" i="1"/>
  <c r="AQ205" i="1"/>
  <c r="AQ204" i="1"/>
  <c r="AQ203" i="1"/>
  <c r="AQ202" i="1"/>
  <c r="AQ201" i="1"/>
  <c r="AQ200" i="1"/>
  <c r="AQ199" i="1"/>
  <c r="AQ198" i="1"/>
  <c r="AQ197" i="1"/>
  <c r="AQ196" i="1"/>
  <c r="AQ195" i="1"/>
  <c r="AQ194" i="1"/>
  <c r="AQ193" i="1"/>
  <c r="AQ192" i="1"/>
  <c r="AQ191" i="1"/>
  <c r="AQ190" i="1"/>
  <c r="AQ189" i="1"/>
  <c r="AQ188" i="1"/>
  <c r="AQ187" i="1"/>
  <c r="AQ186" i="1"/>
  <c r="AQ185" i="1"/>
  <c r="AQ184" i="1"/>
  <c r="AQ183" i="1"/>
  <c r="AQ182" i="1"/>
  <c r="AQ181" i="1"/>
  <c r="AQ180" i="1"/>
  <c r="AQ179" i="1"/>
  <c r="AQ178" i="1"/>
  <c r="AQ177" i="1"/>
  <c r="AQ176" i="1"/>
  <c r="AQ175" i="1"/>
  <c r="AQ174" i="1"/>
  <c r="AQ173" i="1"/>
  <c r="AQ172" i="1"/>
  <c r="AQ171" i="1"/>
  <c r="AQ170" i="1"/>
  <c r="AQ169" i="1"/>
  <c r="AQ168" i="1"/>
  <c r="AQ167" i="1"/>
  <c r="AQ166" i="1"/>
  <c r="AQ165" i="1"/>
  <c r="AQ164" i="1"/>
  <c r="AQ163" i="1"/>
  <c r="AQ162" i="1"/>
  <c r="AQ161" i="1"/>
  <c r="AQ160" i="1"/>
  <c r="AQ159" i="1"/>
  <c r="AQ158" i="1"/>
  <c r="AQ157" i="1"/>
  <c r="AQ156" i="1"/>
  <c r="AQ155" i="1"/>
  <c r="AQ154" i="1"/>
  <c r="AQ153" i="1"/>
  <c r="AQ152" i="1"/>
  <c r="AQ151" i="1"/>
  <c r="AQ150" i="1"/>
  <c r="AQ149" i="1"/>
  <c r="AQ148" i="1"/>
  <c r="AQ147" i="1"/>
  <c r="AQ146" i="1"/>
  <c r="AQ145" i="1"/>
  <c r="AQ144" i="1"/>
  <c r="AQ143" i="1"/>
  <c r="AP262" i="1"/>
  <c r="AP261" i="1"/>
  <c r="AP260" i="1"/>
  <c r="AP259" i="1"/>
  <c r="AP258" i="1"/>
  <c r="AP257" i="1"/>
  <c r="AP256" i="1"/>
  <c r="AP255" i="1"/>
  <c r="AP254" i="1"/>
  <c r="AP253" i="1"/>
  <c r="AP252" i="1"/>
  <c r="AP251" i="1"/>
  <c r="AP250" i="1"/>
  <c r="AP249" i="1"/>
  <c r="AP248" i="1"/>
  <c r="AP247" i="1"/>
  <c r="AP246" i="1"/>
  <c r="AP245" i="1"/>
  <c r="AP244" i="1"/>
  <c r="AP243" i="1"/>
  <c r="AP242" i="1"/>
  <c r="AP241" i="1"/>
  <c r="AP240" i="1"/>
  <c r="AP239" i="1"/>
  <c r="AP238" i="1"/>
  <c r="AP237" i="1"/>
  <c r="AP236" i="1"/>
  <c r="AP235" i="1"/>
  <c r="AP234" i="1"/>
  <c r="AP233"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P196" i="1"/>
  <c r="AP195" i="1"/>
  <c r="AP194" i="1"/>
  <c r="AP193" i="1"/>
  <c r="AP192" i="1"/>
  <c r="AP191" i="1"/>
  <c r="AP190" i="1"/>
  <c r="AP189" i="1"/>
  <c r="AP188" i="1"/>
  <c r="AP187" i="1"/>
  <c r="AP186" i="1"/>
  <c r="AP185" i="1"/>
  <c r="AP184" i="1"/>
  <c r="AP183" i="1"/>
  <c r="AP182" i="1"/>
  <c r="AP181" i="1"/>
  <c r="AP180" i="1"/>
  <c r="AP179" i="1"/>
  <c r="AP178" i="1"/>
  <c r="AP177" i="1"/>
  <c r="AP176" i="1"/>
  <c r="AP175" i="1"/>
  <c r="AP174" i="1"/>
  <c r="AP173" i="1"/>
  <c r="AP172" i="1"/>
  <c r="AP171" i="1"/>
  <c r="AP170" i="1"/>
  <c r="AP169" i="1"/>
  <c r="AP168" i="1"/>
  <c r="AP167" i="1"/>
  <c r="AP166" i="1"/>
  <c r="AP165" i="1"/>
  <c r="AP164" i="1"/>
  <c r="AP163" i="1"/>
  <c r="AP162" i="1"/>
  <c r="AP161" i="1"/>
  <c r="AP160" i="1"/>
  <c r="AP159" i="1"/>
  <c r="AP158" i="1"/>
  <c r="AP157" i="1"/>
  <c r="AP156" i="1"/>
  <c r="AP155" i="1"/>
  <c r="AP154" i="1"/>
  <c r="AP153" i="1"/>
  <c r="AP152" i="1"/>
  <c r="AP151" i="1"/>
  <c r="AP150" i="1"/>
  <c r="AP149" i="1"/>
  <c r="AP148" i="1"/>
  <c r="AP147" i="1"/>
  <c r="AP146" i="1"/>
  <c r="AP145" i="1"/>
  <c r="AP144" i="1"/>
  <c r="AP143" i="1"/>
  <c r="AO262" i="1"/>
  <c r="AO261" i="1"/>
  <c r="AO260" i="1"/>
  <c r="AO259" i="1"/>
  <c r="AO258" i="1"/>
  <c r="AO257" i="1"/>
  <c r="AO256" i="1"/>
  <c r="AO255" i="1"/>
  <c r="AO254" i="1"/>
  <c r="AO253" i="1"/>
  <c r="AO252" i="1"/>
  <c r="AO251" i="1"/>
  <c r="AO250" i="1"/>
  <c r="AO249" i="1"/>
  <c r="AO248" i="1"/>
  <c r="AO247" i="1"/>
  <c r="AO246" i="1"/>
  <c r="AO245" i="1"/>
  <c r="AO244" i="1"/>
  <c r="AO243" i="1"/>
  <c r="AO242" i="1"/>
  <c r="AO241" i="1"/>
  <c r="AO240" i="1"/>
  <c r="AO239" i="1"/>
  <c r="AO238" i="1"/>
  <c r="AO237" i="1"/>
  <c r="AO236" i="1"/>
  <c r="AO235" i="1"/>
  <c r="AO234" i="1"/>
  <c r="AO233" i="1"/>
  <c r="AO232" i="1"/>
  <c r="AO231" i="1"/>
  <c r="AO230" i="1"/>
  <c r="AO229" i="1"/>
  <c r="AO228" i="1"/>
  <c r="AO227" i="1"/>
  <c r="AO226" i="1"/>
  <c r="AO225" i="1"/>
  <c r="AO224" i="1"/>
  <c r="AO223" i="1"/>
  <c r="AO222" i="1"/>
  <c r="AO221" i="1"/>
  <c r="AO220" i="1"/>
  <c r="AO219" i="1"/>
  <c r="AO218" i="1"/>
  <c r="AO217" i="1"/>
  <c r="AO216" i="1"/>
  <c r="AO215"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4" i="1"/>
  <c r="AO153" i="1"/>
  <c r="AO152" i="1"/>
  <c r="AO151" i="1"/>
  <c r="AO150" i="1"/>
  <c r="AO149" i="1"/>
  <c r="AO148" i="1"/>
  <c r="AO147" i="1"/>
  <c r="AO146" i="1"/>
  <c r="AO145" i="1"/>
  <c r="AO144" i="1"/>
  <c r="AO143" i="1"/>
  <c r="AN262" i="1"/>
  <c r="AN261" i="1"/>
  <c r="AN260" i="1"/>
  <c r="AN259" i="1"/>
  <c r="AN258" i="1"/>
  <c r="AN257" i="1"/>
  <c r="AN256" i="1"/>
  <c r="AN255" i="1"/>
  <c r="AN254" i="1"/>
  <c r="AN253" i="1"/>
  <c r="AN252" i="1"/>
  <c r="AN251" i="1"/>
  <c r="AN250" i="1"/>
  <c r="AN249" i="1"/>
  <c r="AN248" i="1"/>
  <c r="AN247" i="1"/>
  <c r="AN246" i="1"/>
  <c r="AN245" i="1"/>
  <c r="AN244" i="1"/>
  <c r="AN243" i="1"/>
  <c r="AN242" i="1"/>
  <c r="AN241" i="1"/>
  <c r="AN240" i="1"/>
  <c r="AN239" i="1"/>
  <c r="AN238" i="1"/>
  <c r="AN237" i="1"/>
  <c r="AN236" i="1"/>
  <c r="AN235" i="1"/>
  <c r="AN234" i="1"/>
  <c r="AN233" i="1"/>
  <c r="AN232" i="1"/>
  <c r="AN231" i="1"/>
  <c r="AN230" i="1"/>
  <c r="AN229" i="1"/>
  <c r="AN228" i="1"/>
  <c r="AN227" i="1"/>
  <c r="AN226" i="1"/>
  <c r="AN225" i="1"/>
  <c r="AN224" i="1"/>
  <c r="AN223" i="1"/>
  <c r="AN222" i="1"/>
  <c r="AN221" i="1"/>
  <c r="AN220" i="1"/>
  <c r="AN219" i="1"/>
  <c r="AN218" i="1"/>
  <c r="AN217" i="1"/>
  <c r="AN216" i="1"/>
  <c r="AN215" i="1"/>
  <c r="AN214" i="1"/>
  <c r="AN213" i="1"/>
  <c r="AN212" i="1"/>
  <c r="AN211" i="1"/>
  <c r="AN210" i="1"/>
  <c r="AN209" i="1"/>
  <c r="AN208" i="1"/>
  <c r="AN207" i="1"/>
  <c r="AN206" i="1"/>
  <c r="AN205" i="1"/>
  <c r="AN204" i="1"/>
  <c r="AN203" i="1"/>
  <c r="AN202" i="1"/>
  <c r="AN201" i="1"/>
  <c r="AN200" i="1"/>
  <c r="AN199" i="1"/>
  <c r="AN198" i="1"/>
  <c r="AN197" i="1"/>
  <c r="AN196" i="1"/>
  <c r="AN195" i="1"/>
  <c r="AN194" i="1"/>
  <c r="AN193" i="1"/>
  <c r="AN192" i="1"/>
  <c r="AN191" i="1"/>
  <c r="AN190" i="1"/>
  <c r="AN189" i="1"/>
  <c r="AN188" i="1"/>
  <c r="AN187" i="1"/>
  <c r="AN186" i="1"/>
  <c r="AN185" i="1"/>
  <c r="AN184" i="1"/>
  <c r="AN183" i="1"/>
  <c r="AN182" i="1"/>
  <c r="AN181" i="1"/>
  <c r="AN180" i="1"/>
  <c r="AN179" i="1"/>
  <c r="AN178" i="1"/>
  <c r="AN177" i="1"/>
  <c r="AN176" i="1"/>
  <c r="AN175" i="1"/>
  <c r="AN174" i="1"/>
  <c r="AN173" i="1"/>
  <c r="AN172" i="1"/>
  <c r="AN171" i="1"/>
  <c r="AN170" i="1"/>
  <c r="AN169" i="1"/>
  <c r="AN168" i="1"/>
  <c r="AN167" i="1"/>
  <c r="AN166" i="1"/>
  <c r="AN165" i="1"/>
  <c r="AN164" i="1"/>
  <c r="AN163" i="1"/>
  <c r="AN162" i="1"/>
  <c r="AN161" i="1"/>
  <c r="AN160" i="1"/>
  <c r="AN159" i="1"/>
  <c r="AN158" i="1"/>
  <c r="AN157" i="1"/>
  <c r="AN156" i="1"/>
  <c r="AN155" i="1"/>
  <c r="AN154" i="1"/>
  <c r="AN153" i="1"/>
  <c r="AN152" i="1"/>
  <c r="AN151" i="1"/>
  <c r="AN150" i="1"/>
  <c r="AN149" i="1"/>
  <c r="AN148" i="1"/>
  <c r="AN147" i="1"/>
  <c r="AN146" i="1"/>
  <c r="AN145" i="1"/>
  <c r="AN144" i="1"/>
  <c r="AN143" i="1"/>
  <c r="AM262" i="1"/>
  <c r="AM261" i="1"/>
  <c r="AM260" i="1"/>
  <c r="AM259" i="1"/>
  <c r="AM258" i="1"/>
  <c r="AM257" i="1"/>
  <c r="AM256" i="1"/>
  <c r="AM255" i="1"/>
  <c r="AM254" i="1"/>
  <c r="AM253" i="1"/>
  <c r="AM252" i="1"/>
  <c r="AM251" i="1"/>
  <c r="AM250" i="1"/>
  <c r="AM249" i="1"/>
  <c r="AM248" i="1"/>
  <c r="AM247" i="1"/>
  <c r="AM246" i="1"/>
  <c r="AM245" i="1"/>
  <c r="AM244" i="1"/>
  <c r="AM243" i="1"/>
  <c r="AM242" i="1"/>
  <c r="AM241" i="1"/>
  <c r="AM240" i="1"/>
  <c r="AM239" i="1"/>
  <c r="AM238" i="1"/>
  <c r="AM237" i="1"/>
  <c r="DD237" i="1" s="1"/>
  <c r="AM236" i="1"/>
  <c r="DF236" i="1" s="1"/>
  <c r="AM235" i="1"/>
  <c r="AM234" i="1"/>
  <c r="AM233" i="1"/>
  <c r="AM232" i="1"/>
  <c r="AM231" i="1"/>
  <c r="AM229" i="1"/>
  <c r="AM228" i="1"/>
  <c r="CV228" i="1" s="1"/>
  <c r="AM227" i="1"/>
  <c r="CZ227" i="1" s="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M195" i="1"/>
  <c r="AM194" i="1"/>
  <c r="AM193" i="1"/>
  <c r="AM192" i="1"/>
  <c r="AM191" i="1"/>
  <c r="AM190" i="1"/>
  <c r="AM189" i="1"/>
  <c r="AM188" i="1"/>
  <c r="AM187" i="1"/>
  <c r="AM186" i="1"/>
  <c r="AM185" i="1"/>
  <c r="AM184" i="1"/>
  <c r="AM183" i="1"/>
  <c r="AM182" i="1"/>
  <c r="AM181" i="1"/>
  <c r="AM180" i="1"/>
  <c r="AM179" i="1"/>
  <c r="AM178" i="1"/>
  <c r="AM177" i="1"/>
  <c r="AM176" i="1"/>
  <c r="AM175" i="1"/>
  <c r="AM174" i="1"/>
  <c r="AM173" i="1"/>
  <c r="AM172" i="1"/>
  <c r="AM171" i="1"/>
  <c r="AM170" i="1"/>
  <c r="AM169" i="1"/>
  <c r="AM168" i="1"/>
  <c r="AM167" i="1"/>
  <c r="AM166" i="1"/>
  <c r="AM165" i="1"/>
  <c r="AM164" i="1"/>
  <c r="AM163" i="1"/>
  <c r="AM162" i="1"/>
  <c r="AM161" i="1"/>
  <c r="AM160" i="1"/>
  <c r="AM159" i="1"/>
  <c r="AM158" i="1"/>
  <c r="AM157" i="1"/>
  <c r="AM156" i="1"/>
  <c r="AM155" i="1"/>
  <c r="AM154" i="1"/>
  <c r="AM153" i="1"/>
  <c r="AM152" i="1"/>
  <c r="AM151" i="1"/>
  <c r="AM150" i="1"/>
  <c r="AM149" i="1"/>
  <c r="AM148" i="1"/>
  <c r="AM147" i="1"/>
  <c r="AM146" i="1"/>
  <c r="AM145" i="1"/>
  <c r="AM144" i="1"/>
  <c r="AM143" i="1"/>
  <c r="AL262" i="1"/>
  <c r="AL261" i="1"/>
  <c r="AL260" i="1"/>
  <c r="AL259" i="1"/>
  <c r="AL258" i="1"/>
  <c r="AL257" i="1"/>
  <c r="AL256" i="1"/>
  <c r="AL255" i="1"/>
  <c r="AL254" i="1"/>
  <c r="AL253" i="1"/>
  <c r="AL252" i="1"/>
  <c r="AL251" i="1"/>
  <c r="AL250" i="1"/>
  <c r="AL249" i="1"/>
  <c r="AL248" i="1"/>
  <c r="AL247" i="1"/>
  <c r="AL246" i="1"/>
  <c r="AL245" i="1"/>
  <c r="AL244" i="1"/>
  <c r="AL243" i="1"/>
  <c r="AL242" i="1"/>
  <c r="AL241" i="1"/>
  <c r="AL240" i="1"/>
  <c r="AL239" i="1"/>
  <c r="AL238" i="1"/>
  <c r="AL237" i="1"/>
  <c r="AL236" i="1"/>
  <c r="AL235" i="1"/>
  <c r="AL234" i="1"/>
  <c r="AL233" i="1"/>
  <c r="AL232" i="1"/>
  <c r="AL231" i="1"/>
  <c r="AL230" i="1"/>
  <c r="AL229" i="1"/>
  <c r="AL228" i="1"/>
  <c r="AL227" i="1"/>
  <c r="AL226" i="1"/>
  <c r="AL225" i="1"/>
  <c r="AL224" i="1"/>
  <c r="AL223" i="1"/>
  <c r="AL222" i="1"/>
  <c r="AL221" i="1"/>
  <c r="AL220" i="1"/>
  <c r="AL219" i="1"/>
  <c r="AL218" i="1"/>
  <c r="AL217" i="1"/>
  <c r="AL216" i="1"/>
  <c r="AL215" i="1"/>
  <c r="AL214" i="1"/>
  <c r="AL213" i="1"/>
  <c r="AL212" i="1"/>
  <c r="CZ212" i="1" s="1"/>
  <c r="AL211" i="1"/>
  <c r="AL210" i="1"/>
  <c r="DF210" i="1" s="1"/>
  <c r="AL209" i="1"/>
  <c r="AL208" i="1"/>
  <c r="AL207" i="1"/>
  <c r="AL206" i="1"/>
  <c r="AL205" i="1"/>
  <c r="AL204" i="1"/>
  <c r="AL203" i="1"/>
  <c r="AL202" i="1"/>
  <c r="AL201" i="1"/>
  <c r="AL200" i="1"/>
  <c r="AL199" i="1"/>
  <c r="AL198" i="1"/>
  <c r="AL197" i="1"/>
  <c r="AL196" i="1"/>
  <c r="AL195" i="1"/>
  <c r="AL194" i="1"/>
  <c r="AL193" i="1"/>
  <c r="AL192" i="1"/>
  <c r="AL191" i="1"/>
  <c r="AL190" i="1"/>
  <c r="AL189" i="1"/>
  <c r="AL188" i="1"/>
  <c r="AL187" i="1"/>
  <c r="AL186" i="1"/>
  <c r="AL185" i="1"/>
  <c r="AL184" i="1"/>
  <c r="AL183" i="1"/>
  <c r="AL182" i="1"/>
  <c r="AL181" i="1"/>
  <c r="AL180" i="1"/>
  <c r="AL179" i="1"/>
  <c r="AL178" i="1"/>
  <c r="AL177" i="1"/>
  <c r="AL176" i="1"/>
  <c r="AL175" i="1"/>
  <c r="AL174" i="1"/>
  <c r="AL173" i="1"/>
  <c r="AL172" i="1"/>
  <c r="AL171" i="1"/>
  <c r="AL170" i="1"/>
  <c r="AL169" i="1"/>
  <c r="AL168" i="1"/>
  <c r="AL167" i="1"/>
  <c r="AL166" i="1"/>
  <c r="AL165" i="1"/>
  <c r="AL164" i="1"/>
  <c r="AL163" i="1"/>
  <c r="AL162" i="1"/>
  <c r="AL161" i="1"/>
  <c r="AL160" i="1"/>
  <c r="AL159" i="1"/>
  <c r="AL158" i="1"/>
  <c r="AL157" i="1"/>
  <c r="AL156" i="1"/>
  <c r="AL155" i="1"/>
  <c r="AL154" i="1"/>
  <c r="AL153" i="1"/>
  <c r="AL152" i="1"/>
  <c r="AL151" i="1"/>
  <c r="AL150" i="1"/>
  <c r="AL149" i="1"/>
  <c r="AL148" i="1"/>
  <c r="AL147" i="1"/>
  <c r="AL146" i="1"/>
  <c r="AL145" i="1"/>
  <c r="AL144" i="1"/>
  <c r="AL14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3" i="1"/>
  <c r="AK162" i="1"/>
  <c r="AK161" i="1"/>
  <c r="AK160" i="1"/>
  <c r="AK159" i="1"/>
  <c r="AK158" i="1"/>
  <c r="AK157" i="1"/>
  <c r="AK156" i="1"/>
  <c r="AK155" i="1"/>
  <c r="AK154" i="1"/>
  <c r="AK153" i="1"/>
  <c r="AK152" i="1"/>
  <c r="AK151" i="1"/>
  <c r="AK150" i="1"/>
  <c r="AK149" i="1"/>
  <c r="AK148" i="1"/>
  <c r="AK147" i="1"/>
  <c r="AK146" i="1"/>
  <c r="AK145" i="1"/>
  <c r="AK144" i="1"/>
  <c r="AK143" i="1"/>
  <c r="AJ262" i="1"/>
  <c r="AJ261" i="1"/>
  <c r="AJ260" i="1"/>
  <c r="AJ259" i="1"/>
  <c r="AJ258" i="1"/>
  <c r="AJ257" i="1"/>
  <c r="AJ256" i="1"/>
  <c r="AJ255" i="1"/>
  <c r="AJ254" i="1"/>
  <c r="AJ253" i="1"/>
  <c r="AJ252" i="1"/>
  <c r="AJ251" i="1"/>
  <c r="AJ250" i="1"/>
  <c r="AJ249" i="1"/>
  <c r="AJ248" i="1"/>
  <c r="AJ247" i="1"/>
  <c r="AJ246" i="1"/>
  <c r="AJ245"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I262" i="1"/>
  <c r="AI261" i="1"/>
  <c r="AI260" i="1"/>
  <c r="AI259" i="1"/>
  <c r="AI258" i="1"/>
  <c r="AI257" i="1"/>
  <c r="AI256" i="1"/>
  <c r="AI255" i="1"/>
  <c r="AI254" i="1"/>
  <c r="AI253" i="1"/>
  <c r="AI252" i="1"/>
  <c r="AI251" i="1"/>
  <c r="AI250" i="1"/>
  <c r="AI249" i="1"/>
  <c r="AI248" i="1"/>
  <c r="AI247" i="1"/>
  <c r="AI246" i="1"/>
  <c r="AI245" i="1"/>
  <c r="AI244" i="1"/>
  <c r="AI243" i="1"/>
  <c r="AI242" i="1"/>
  <c r="AI241" i="1"/>
  <c r="AI240" i="1"/>
  <c r="AI239" i="1"/>
  <c r="AI238" i="1"/>
  <c r="AI237" i="1"/>
  <c r="AI236" i="1"/>
  <c r="AI235" i="1"/>
  <c r="AI234" i="1"/>
  <c r="AI233" i="1"/>
  <c r="AI232" i="1"/>
  <c r="AI231" i="1"/>
  <c r="AI230" i="1"/>
  <c r="AI229" i="1"/>
  <c r="AI228" i="1"/>
  <c r="AI227" i="1"/>
  <c r="AI226" i="1"/>
  <c r="AI225" i="1"/>
  <c r="AI224" i="1"/>
  <c r="AI223" i="1"/>
  <c r="AI222" i="1"/>
  <c r="AI221" i="1"/>
  <c r="AI220" i="1"/>
  <c r="AI219" i="1"/>
  <c r="AI218" i="1"/>
  <c r="AI217" i="1"/>
  <c r="AI216" i="1"/>
  <c r="AI215" i="1"/>
  <c r="AI214" i="1"/>
  <c r="AI213" i="1"/>
  <c r="AI212" i="1"/>
  <c r="AI211" i="1"/>
  <c r="AI210" i="1"/>
  <c r="AI209" i="1"/>
  <c r="AI208" i="1"/>
  <c r="AI207" i="1"/>
  <c r="AI206" i="1"/>
  <c r="AI205" i="1"/>
  <c r="AI204" i="1"/>
  <c r="AI203" i="1"/>
  <c r="AI202" i="1"/>
  <c r="AI201" i="1"/>
  <c r="AI200" i="1"/>
  <c r="AI199" i="1"/>
  <c r="AI198" i="1"/>
  <c r="AI197" i="1"/>
  <c r="AI196" i="1"/>
  <c r="AI195" i="1"/>
  <c r="AI194" i="1"/>
  <c r="AI193" i="1"/>
  <c r="AI192" i="1"/>
  <c r="AI191" i="1"/>
  <c r="AI190" i="1"/>
  <c r="AI189" i="1"/>
  <c r="AI188" i="1"/>
  <c r="AI187" i="1"/>
  <c r="AI186" i="1"/>
  <c r="AI185" i="1"/>
  <c r="AI184" i="1"/>
  <c r="AI183" i="1"/>
  <c r="AI182" i="1"/>
  <c r="AI181" i="1"/>
  <c r="AI180" i="1"/>
  <c r="AI179" i="1"/>
  <c r="AI178" i="1"/>
  <c r="AI177" i="1"/>
  <c r="AI176" i="1"/>
  <c r="AI175" i="1"/>
  <c r="AI174" i="1"/>
  <c r="AI173" i="1"/>
  <c r="AI172" i="1"/>
  <c r="AI171" i="1"/>
  <c r="AI170" i="1"/>
  <c r="AI169" i="1"/>
  <c r="AI168" i="1"/>
  <c r="AI167" i="1"/>
  <c r="AI166" i="1"/>
  <c r="AI165" i="1"/>
  <c r="AI164" i="1"/>
  <c r="AI163" i="1"/>
  <c r="AI162" i="1"/>
  <c r="AI161" i="1"/>
  <c r="AI160" i="1"/>
  <c r="AI159" i="1"/>
  <c r="AI158" i="1"/>
  <c r="AI157" i="1"/>
  <c r="AI156" i="1"/>
  <c r="AI155" i="1"/>
  <c r="AI154" i="1"/>
  <c r="AI153" i="1"/>
  <c r="AI152" i="1"/>
  <c r="AI151" i="1"/>
  <c r="AI150" i="1"/>
  <c r="AI149" i="1"/>
  <c r="AI148" i="1"/>
  <c r="AI147" i="1"/>
  <c r="AI146" i="1"/>
  <c r="AI145" i="1"/>
  <c r="AI144" i="1"/>
  <c r="AI14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2" i="1"/>
  <c r="AH161" i="1"/>
  <c r="AH160" i="1"/>
  <c r="AH159" i="1"/>
  <c r="AH158" i="1"/>
  <c r="AH157" i="1"/>
  <c r="AH156" i="1"/>
  <c r="AH155" i="1"/>
  <c r="AH154" i="1"/>
  <c r="AH153" i="1"/>
  <c r="AH152" i="1"/>
  <c r="AH151" i="1"/>
  <c r="AH150" i="1"/>
  <c r="AH149" i="1"/>
  <c r="AH148" i="1"/>
  <c r="AH147" i="1"/>
  <c r="AH146" i="1"/>
  <c r="AH145" i="1"/>
  <c r="AH144" i="1"/>
  <c r="AH143" i="1"/>
  <c r="AG262" i="1"/>
  <c r="AG261" i="1"/>
  <c r="AG260" i="1"/>
  <c r="AG259" i="1"/>
  <c r="AG258" i="1"/>
  <c r="AG257" i="1"/>
  <c r="AG256" i="1"/>
  <c r="AG255" i="1"/>
  <c r="AG254" i="1"/>
  <c r="AG253" i="1"/>
  <c r="AG252" i="1"/>
  <c r="AG251" i="1"/>
  <c r="AG250" i="1"/>
  <c r="AG249" i="1"/>
  <c r="AG248" i="1"/>
  <c r="AG247" i="1"/>
  <c r="AG246" i="1"/>
  <c r="AG245" i="1"/>
  <c r="AG244" i="1"/>
  <c r="AG243" i="1"/>
  <c r="AG242" i="1"/>
  <c r="AG241" i="1"/>
  <c r="AG240" i="1"/>
  <c r="AG239" i="1"/>
  <c r="AG238" i="1"/>
  <c r="AG237" i="1"/>
  <c r="AG236" i="1"/>
  <c r="AG235" i="1"/>
  <c r="AG234" i="1"/>
  <c r="AG233" i="1"/>
  <c r="AG232" i="1"/>
  <c r="AG231" i="1"/>
  <c r="AG230" i="1"/>
  <c r="AG229" i="1"/>
  <c r="AG228" i="1"/>
  <c r="AG227" i="1"/>
  <c r="AG226" i="1"/>
  <c r="AG225" i="1"/>
  <c r="AG224" i="1"/>
  <c r="AG223" i="1"/>
  <c r="AG222" i="1"/>
  <c r="AG221" i="1"/>
  <c r="AG220" i="1"/>
  <c r="AG219" i="1"/>
  <c r="AG218" i="1"/>
  <c r="AG217" i="1"/>
  <c r="AG216" i="1"/>
  <c r="AG215" i="1"/>
  <c r="AG214" i="1"/>
  <c r="AG213" i="1"/>
  <c r="AG212" i="1"/>
  <c r="AG211" i="1"/>
  <c r="AG210" i="1"/>
  <c r="AG209" i="1"/>
  <c r="AG208" i="1"/>
  <c r="AG207" i="1"/>
  <c r="AG206" i="1"/>
  <c r="AG205" i="1"/>
  <c r="AG204" i="1"/>
  <c r="AG203" i="1"/>
  <c r="AG202" i="1"/>
  <c r="AG201" i="1"/>
  <c r="AG200" i="1"/>
  <c r="AG199" i="1"/>
  <c r="AG198" i="1"/>
  <c r="AG197" i="1"/>
  <c r="AG196" i="1"/>
  <c r="AG195" i="1"/>
  <c r="AG194" i="1"/>
  <c r="AG193" i="1"/>
  <c r="AG192" i="1"/>
  <c r="AG191" i="1"/>
  <c r="AG190" i="1"/>
  <c r="AG189" i="1"/>
  <c r="AG188" i="1"/>
  <c r="AG187" i="1"/>
  <c r="AG186" i="1"/>
  <c r="AG185" i="1"/>
  <c r="AG184" i="1"/>
  <c r="AG183" i="1"/>
  <c r="AG182" i="1"/>
  <c r="AG181" i="1"/>
  <c r="AG180" i="1"/>
  <c r="AG179" i="1"/>
  <c r="AG178" i="1"/>
  <c r="AG177" i="1"/>
  <c r="AG176" i="1"/>
  <c r="AG175" i="1"/>
  <c r="AG174" i="1"/>
  <c r="AG173" i="1"/>
  <c r="AG172" i="1"/>
  <c r="AG171" i="1"/>
  <c r="AG170" i="1"/>
  <c r="AG169" i="1"/>
  <c r="AG168" i="1"/>
  <c r="AG167" i="1"/>
  <c r="AG166" i="1"/>
  <c r="AG165" i="1"/>
  <c r="AG164" i="1"/>
  <c r="AG163" i="1"/>
  <c r="AG162" i="1"/>
  <c r="AG161" i="1"/>
  <c r="AG160" i="1"/>
  <c r="AG159" i="1"/>
  <c r="AG158" i="1"/>
  <c r="AG157" i="1"/>
  <c r="AG156" i="1"/>
  <c r="AG155" i="1"/>
  <c r="AG154" i="1"/>
  <c r="AG153" i="1"/>
  <c r="AG152" i="1"/>
  <c r="AG151" i="1"/>
  <c r="AG150" i="1"/>
  <c r="AG149" i="1"/>
  <c r="AG148" i="1"/>
  <c r="AG147" i="1"/>
  <c r="AG146" i="1"/>
  <c r="AG145" i="1"/>
  <c r="AG144" i="1"/>
  <c r="AG143" i="1"/>
  <c r="AF262" i="1"/>
  <c r="AF261" i="1"/>
  <c r="AF260" i="1"/>
  <c r="AF259" i="1"/>
  <c r="AF258" i="1"/>
  <c r="AF257" i="1"/>
  <c r="AF256" i="1"/>
  <c r="AF255" i="1"/>
  <c r="AF254" i="1"/>
  <c r="AF253" i="1"/>
  <c r="AF252" i="1"/>
  <c r="AF251" i="1"/>
  <c r="AF250" i="1"/>
  <c r="AF249" i="1"/>
  <c r="AF248" i="1"/>
  <c r="AF247" i="1"/>
  <c r="AF246" i="1"/>
  <c r="AF245" i="1"/>
  <c r="AF244" i="1"/>
  <c r="AF243" i="1"/>
  <c r="AF242" i="1"/>
  <c r="AF241" i="1"/>
  <c r="AF240" i="1"/>
  <c r="AF239" i="1"/>
  <c r="AF238" i="1"/>
  <c r="AF237" i="1"/>
  <c r="AF236" i="1"/>
  <c r="AF235" i="1"/>
  <c r="AF234" i="1"/>
  <c r="AF233" i="1"/>
  <c r="AF232" i="1"/>
  <c r="AF231" i="1"/>
  <c r="AF230" i="1"/>
  <c r="AF229" i="1"/>
  <c r="AF228" i="1"/>
  <c r="AF227" i="1"/>
  <c r="AF226" i="1"/>
  <c r="AF225" i="1"/>
  <c r="AF224" i="1"/>
  <c r="AF223" i="1"/>
  <c r="AF222" i="1"/>
  <c r="AF221" i="1"/>
  <c r="AF220" i="1"/>
  <c r="AF219" i="1"/>
  <c r="AF218" i="1"/>
  <c r="AF217" i="1"/>
  <c r="AF216" i="1"/>
  <c r="AF215" i="1"/>
  <c r="AF214" i="1"/>
  <c r="AF213" i="1"/>
  <c r="AF212" i="1"/>
  <c r="AF211" i="1"/>
  <c r="AF210" i="1"/>
  <c r="AF209" i="1"/>
  <c r="AF208" i="1"/>
  <c r="AF207" i="1"/>
  <c r="AF206" i="1"/>
  <c r="AF205" i="1"/>
  <c r="AF204" i="1"/>
  <c r="AF203" i="1"/>
  <c r="AF202" i="1"/>
  <c r="AF201" i="1"/>
  <c r="AF200" i="1"/>
  <c r="AF199" i="1"/>
  <c r="AF198" i="1"/>
  <c r="AF197" i="1"/>
  <c r="AF196" i="1"/>
  <c r="AF195" i="1"/>
  <c r="AF194" i="1"/>
  <c r="AF193" i="1"/>
  <c r="AF192" i="1"/>
  <c r="AF191" i="1"/>
  <c r="AF190" i="1"/>
  <c r="AF189" i="1"/>
  <c r="AF188" i="1"/>
  <c r="AF187" i="1"/>
  <c r="AF186" i="1"/>
  <c r="AF185" i="1"/>
  <c r="AF184" i="1"/>
  <c r="AF183" i="1"/>
  <c r="AF182" i="1"/>
  <c r="AF181" i="1"/>
  <c r="AF180" i="1"/>
  <c r="AF179" i="1"/>
  <c r="AF178" i="1"/>
  <c r="AF177" i="1"/>
  <c r="AF176" i="1"/>
  <c r="AF175" i="1"/>
  <c r="AF174" i="1"/>
  <c r="AF173" i="1"/>
  <c r="AF172" i="1"/>
  <c r="AF171" i="1"/>
  <c r="AF170" i="1"/>
  <c r="AF169" i="1"/>
  <c r="AF168" i="1"/>
  <c r="AF167" i="1"/>
  <c r="AF166" i="1"/>
  <c r="AF165" i="1"/>
  <c r="AF164" i="1"/>
  <c r="AF163" i="1"/>
  <c r="AF162" i="1"/>
  <c r="AF161" i="1"/>
  <c r="AF160" i="1"/>
  <c r="AF159" i="1"/>
  <c r="AF158" i="1"/>
  <c r="AF157" i="1"/>
  <c r="AF156" i="1"/>
  <c r="AF155" i="1"/>
  <c r="AF154" i="1"/>
  <c r="AF153" i="1"/>
  <c r="AF152" i="1"/>
  <c r="AF151" i="1"/>
  <c r="AF150" i="1"/>
  <c r="AF149" i="1"/>
  <c r="AF148" i="1"/>
  <c r="AF147" i="1"/>
  <c r="AF146" i="1"/>
  <c r="AF145" i="1"/>
  <c r="AF144" i="1"/>
  <c r="AF14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2" i="1"/>
  <c r="AD161" i="1"/>
  <c r="AD160" i="1"/>
  <c r="AD159" i="1"/>
  <c r="AD158" i="1"/>
  <c r="AD157" i="1"/>
  <c r="AD156" i="1"/>
  <c r="AD155" i="1"/>
  <c r="AD154" i="1"/>
  <c r="AD153" i="1"/>
  <c r="AD152" i="1"/>
  <c r="AD151" i="1"/>
  <c r="AD150" i="1"/>
  <c r="AD149" i="1"/>
  <c r="AD148" i="1"/>
  <c r="AD147" i="1"/>
  <c r="AD146" i="1"/>
  <c r="AD145" i="1"/>
  <c r="AD144" i="1"/>
  <c r="AD143" i="1"/>
  <c r="AC262" i="1"/>
  <c r="AC261" i="1"/>
  <c r="AC260" i="1"/>
  <c r="AC259" i="1"/>
  <c r="AC258" i="1"/>
  <c r="AC257" i="1"/>
  <c r="AC256" i="1"/>
  <c r="AC255" i="1"/>
  <c r="AC254" i="1"/>
  <c r="AC253" i="1"/>
  <c r="AC252" i="1"/>
  <c r="AC251" i="1"/>
  <c r="AC250" i="1"/>
  <c r="AC249" i="1"/>
  <c r="AC248" i="1"/>
  <c r="AC247" i="1"/>
  <c r="AC246" i="1"/>
  <c r="AC245" i="1"/>
  <c r="AC244" i="1"/>
  <c r="AC243" i="1"/>
  <c r="AC242" i="1"/>
  <c r="AC241" i="1"/>
  <c r="AC240" i="1"/>
  <c r="AC239" i="1"/>
  <c r="AC238" i="1"/>
  <c r="AC237" i="1"/>
  <c r="AC236" i="1"/>
  <c r="AC235" i="1"/>
  <c r="AC234" i="1"/>
  <c r="AC233" i="1"/>
  <c r="AC232" i="1"/>
  <c r="AC231" i="1"/>
  <c r="AC230" i="1"/>
  <c r="AC229" i="1"/>
  <c r="AC228" i="1"/>
  <c r="AC227" i="1"/>
  <c r="AC226" i="1"/>
  <c r="AC225" i="1"/>
  <c r="AC224" i="1"/>
  <c r="AC223" i="1"/>
  <c r="AC222" i="1"/>
  <c r="AC221" i="1"/>
  <c r="AC220" i="1"/>
  <c r="AC219" i="1"/>
  <c r="AC218" i="1"/>
  <c r="AC217" i="1"/>
  <c r="AC216" i="1"/>
  <c r="AC215" i="1"/>
  <c r="AC214" i="1"/>
  <c r="AC213" i="1"/>
  <c r="AC212" i="1"/>
  <c r="AC211" i="1"/>
  <c r="AC210" i="1"/>
  <c r="AC209" i="1"/>
  <c r="AC208" i="1"/>
  <c r="AC207" i="1"/>
  <c r="AC206" i="1"/>
  <c r="AC205" i="1"/>
  <c r="AC204" i="1"/>
  <c r="AC203" i="1"/>
  <c r="AC202" i="1"/>
  <c r="AC201" i="1"/>
  <c r="AC200" i="1"/>
  <c r="AC199" i="1"/>
  <c r="AC198" i="1"/>
  <c r="AC197" i="1"/>
  <c r="AC196" i="1"/>
  <c r="AC195" i="1"/>
  <c r="AC194" i="1"/>
  <c r="AC193" i="1"/>
  <c r="AC192" i="1"/>
  <c r="AC191" i="1"/>
  <c r="AC190" i="1"/>
  <c r="AC189" i="1"/>
  <c r="AC188" i="1"/>
  <c r="AC187" i="1"/>
  <c r="AC186" i="1"/>
  <c r="AC185" i="1"/>
  <c r="AC184" i="1"/>
  <c r="AC183" i="1"/>
  <c r="AC182" i="1"/>
  <c r="AC181" i="1"/>
  <c r="AC180" i="1"/>
  <c r="AC179" i="1"/>
  <c r="AC178" i="1"/>
  <c r="AC177" i="1"/>
  <c r="AC176" i="1"/>
  <c r="AC175" i="1"/>
  <c r="AC174" i="1"/>
  <c r="AC173" i="1"/>
  <c r="AC172" i="1"/>
  <c r="AC171" i="1"/>
  <c r="AC170" i="1"/>
  <c r="AC169" i="1"/>
  <c r="AC168" i="1"/>
  <c r="AC167" i="1"/>
  <c r="AC166" i="1"/>
  <c r="AC165" i="1"/>
  <c r="AC163" i="1"/>
  <c r="AC162" i="1"/>
  <c r="AC161" i="1"/>
  <c r="AC160" i="1"/>
  <c r="AC159" i="1"/>
  <c r="AC158" i="1"/>
  <c r="AC157" i="1"/>
  <c r="AC156" i="1"/>
  <c r="AC155" i="1"/>
  <c r="AC154" i="1"/>
  <c r="AC153" i="1"/>
  <c r="AC152" i="1"/>
  <c r="AC151" i="1"/>
  <c r="AC150" i="1"/>
  <c r="AC149" i="1"/>
  <c r="AC148" i="1"/>
  <c r="AC147" i="1"/>
  <c r="AC146" i="1"/>
  <c r="AC145" i="1"/>
  <c r="AC144" i="1"/>
  <c r="AC14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A262" i="1"/>
  <c r="AA261" i="1"/>
  <c r="AA260" i="1"/>
  <c r="AA259" i="1"/>
  <c r="AA258" i="1"/>
  <c r="AA257" i="1"/>
  <c r="AA256" i="1"/>
  <c r="AA255" i="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W195" i="1"/>
  <c r="W194" i="1"/>
  <c r="W193" i="1"/>
  <c r="W192" i="1"/>
  <c r="W191" i="1"/>
  <c r="W190" i="1"/>
  <c r="W189" i="1"/>
  <c r="W188" i="1"/>
  <c r="W187" i="1"/>
  <c r="W186" i="1"/>
  <c r="W185" i="1"/>
  <c r="W184" i="1"/>
  <c r="W183" i="1"/>
  <c r="W182" i="1"/>
  <c r="W181" i="1"/>
  <c r="W180" i="1"/>
  <c r="W179" i="1"/>
  <c r="W178" i="1"/>
  <c r="W177" i="1"/>
  <c r="W176" i="1"/>
  <c r="W175" i="1"/>
  <c r="W174" i="1"/>
  <c r="W173" i="1"/>
  <c r="W172" i="1"/>
  <c r="W171" i="1"/>
  <c r="W170" i="1"/>
  <c r="W169" i="1"/>
  <c r="W168" i="1"/>
  <c r="W167" i="1"/>
  <c r="W166" i="1"/>
  <c r="W165" i="1"/>
  <c r="W164" i="1"/>
  <c r="W163" i="1"/>
  <c r="W162" i="1"/>
  <c r="W161" i="1"/>
  <c r="W160" i="1"/>
  <c r="W159" i="1"/>
  <c r="W158" i="1"/>
  <c r="W157" i="1"/>
  <c r="W156" i="1"/>
  <c r="W155" i="1"/>
  <c r="W154" i="1"/>
  <c r="W153" i="1"/>
  <c r="W152" i="1"/>
  <c r="W151" i="1"/>
  <c r="W150" i="1"/>
  <c r="W149" i="1"/>
  <c r="W148" i="1"/>
  <c r="W147" i="1"/>
  <c r="W146" i="1"/>
  <c r="W145" i="1"/>
  <c r="W144" i="1"/>
  <c r="W14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DE166" i="1" s="1"/>
  <c r="S165" i="1"/>
  <c r="S164" i="1"/>
  <c r="S163" i="1"/>
  <c r="S162" i="1"/>
  <c r="S161" i="1"/>
  <c r="S160" i="1"/>
  <c r="S159" i="1"/>
  <c r="S158" i="1"/>
  <c r="S157" i="1"/>
  <c r="S156" i="1"/>
  <c r="S155" i="1"/>
  <c r="S154" i="1"/>
  <c r="S153" i="1"/>
  <c r="S152" i="1"/>
  <c r="S151" i="1"/>
  <c r="S150" i="1"/>
  <c r="S149" i="1"/>
  <c r="S148" i="1"/>
  <c r="S147" i="1"/>
  <c r="S146" i="1"/>
  <c r="S145" i="1"/>
  <c r="S144" i="1"/>
  <c r="S14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2" i="1"/>
  <c r="O171" i="1"/>
  <c r="O170" i="1"/>
  <c r="O169" i="1"/>
  <c r="O168" i="1"/>
  <c r="O167" i="1"/>
  <c r="O166" i="1"/>
  <c r="O165" i="1"/>
  <c r="O161" i="1"/>
  <c r="O160" i="1"/>
  <c r="O159" i="1"/>
  <c r="O158" i="1"/>
  <c r="O157" i="1"/>
  <c r="O156" i="1"/>
  <c r="O155" i="1"/>
  <c r="O154" i="1"/>
  <c r="O153" i="1"/>
  <c r="O152" i="1"/>
  <c r="O151" i="1"/>
  <c r="O150" i="1"/>
  <c r="O149" i="1"/>
  <c r="O148" i="1"/>
  <c r="O147" i="1"/>
  <c r="O146" i="1"/>
  <c r="O145" i="1"/>
  <c r="O144" i="1"/>
  <c r="O14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2" i="1"/>
  <c r="N171" i="1"/>
  <c r="N170" i="1"/>
  <c r="N169" i="1"/>
  <c r="N168" i="1"/>
  <c r="N167" i="1"/>
  <c r="N166" i="1"/>
  <c r="N165" i="1"/>
  <c r="N161" i="1"/>
  <c r="N160" i="1"/>
  <c r="N159" i="1"/>
  <c r="N158" i="1"/>
  <c r="N157" i="1"/>
  <c r="N156" i="1"/>
  <c r="N155" i="1"/>
  <c r="N154" i="1"/>
  <c r="N153" i="1"/>
  <c r="N152" i="1"/>
  <c r="N151" i="1"/>
  <c r="N150" i="1"/>
  <c r="N149" i="1"/>
  <c r="N148" i="1"/>
  <c r="N147" i="1"/>
  <c r="N146" i="1"/>
  <c r="N145" i="1"/>
  <c r="N144" i="1"/>
  <c r="N14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I262" i="1"/>
  <c r="I261" i="1"/>
  <c r="I260" i="1"/>
  <c r="I259" i="1"/>
  <c r="I258" i="1"/>
  <c r="I257" i="1"/>
  <c r="I256" i="1"/>
  <c r="I255" i="1"/>
  <c r="I254" i="1"/>
  <c r="I253" i="1"/>
  <c r="I252" i="1"/>
  <c r="I251" i="1"/>
  <c r="I250" i="1"/>
  <c r="I249" i="1"/>
  <c r="I248" i="1"/>
  <c r="I247" i="1"/>
  <c r="I246" i="1"/>
  <c r="I245" i="1"/>
  <c r="I244" i="1"/>
  <c r="I243" i="1"/>
  <c r="I242" i="1"/>
  <c r="I241" i="1"/>
  <c r="I240" i="1"/>
  <c r="I239" i="1"/>
  <c r="I238" i="1"/>
  <c r="I237" i="1"/>
  <c r="I236" i="1"/>
  <c r="I235" i="1"/>
  <c r="I234" i="1"/>
  <c r="I233" i="1"/>
  <c r="I232" i="1"/>
  <c r="I231" i="1"/>
  <c r="I230" i="1"/>
  <c r="I229" i="1"/>
  <c r="I228" i="1"/>
  <c r="I227" i="1"/>
  <c r="I226" i="1"/>
  <c r="I225" i="1"/>
  <c r="I224" i="1"/>
  <c r="I223" i="1"/>
  <c r="I222" i="1"/>
  <c r="I221" i="1"/>
  <c r="I220" i="1"/>
  <c r="I219" i="1"/>
  <c r="I218" i="1"/>
  <c r="I217" i="1"/>
  <c r="I216" i="1"/>
  <c r="I215" i="1"/>
  <c r="I214" i="1"/>
  <c r="I213" i="1"/>
  <c r="I212" i="1"/>
  <c r="I211" i="1"/>
  <c r="I210" i="1"/>
  <c r="I209" i="1"/>
  <c r="I208" i="1"/>
  <c r="I207" i="1"/>
  <c r="I206" i="1"/>
  <c r="I205" i="1"/>
  <c r="I204" i="1"/>
  <c r="I203" i="1"/>
  <c r="I202" i="1"/>
  <c r="I201" i="1"/>
  <c r="I200" i="1"/>
  <c r="I199" i="1"/>
  <c r="I198" i="1"/>
  <c r="I197" i="1"/>
  <c r="I196" i="1"/>
  <c r="I195" i="1"/>
  <c r="I194" i="1"/>
  <c r="I193" i="1"/>
  <c r="I192" i="1"/>
  <c r="I191" i="1"/>
  <c r="I190" i="1"/>
  <c r="I189" i="1"/>
  <c r="I188" i="1"/>
  <c r="I187" i="1"/>
  <c r="I186" i="1"/>
  <c r="I185" i="1"/>
  <c r="I184" i="1"/>
  <c r="I183" i="1"/>
  <c r="I182" i="1"/>
  <c r="I181" i="1"/>
  <c r="I180" i="1"/>
  <c r="I179" i="1"/>
  <c r="I178" i="1"/>
  <c r="I177" i="1"/>
  <c r="I176" i="1"/>
  <c r="I175" i="1"/>
  <c r="I174" i="1"/>
  <c r="I173" i="1"/>
  <c r="I172" i="1"/>
  <c r="I171" i="1"/>
  <c r="I170" i="1"/>
  <c r="I169" i="1"/>
  <c r="I168" i="1"/>
  <c r="I167" i="1"/>
  <c r="I166" i="1"/>
  <c r="I165" i="1"/>
  <c r="I164" i="1"/>
  <c r="I163" i="1"/>
  <c r="I162" i="1"/>
  <c r="I161" i="1"/>
  <c r="I160" i="1"/>
  <c r="I159" i="1"/>
  <c r="I158" i="1"/>
  <c r="I157" i="1"/>
  <c r="I156" i="1"/>
  <c r="I155" i="1"/>
  <c r="I154" i="1"/>
  <c r="I153" i="1"/>
  <c r="I152" i="1"/>
  <c r="I151" i="1"/>
  <c r="I150" i="1"/>
  <c r="I149" i="1"/>
  <c r="I148" i="1"/>
  <c r="I147" i="1"/>
  <c r="I146" i="1"/>
  <c r="I145" i="1"/>
  <c r="I144" i="1"/>
  <c r="I14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G262" i="1"/>
  <c r="G261" i="1"/>
  <c r="G260" i="1"/>
  <c r="G259" i="1"/>
  <c r="G258" i="1"/>
  <c r="G257" i="1"/>
  <c r="G256" i="1"/>
  <c r="G255" i="1"/>
  <c r="G254" i="1"/>
  <c r="G253" i="1"/>
  <c r="G252"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Y46" i="4"/>
  <c r="Y45" i="4"/>
  <c r="D25" i="20"/>
  <c r="Y40" i="4"/>
  <c r="Y39" i="4"/>
  <c r="Y38" i="4"/>
  <c r="Y37" i="4"/>
  <c r="Y36" i="4"/>
  <c r="Y35" i="4"/>
  <c r="Y34" i="4"/>
  <c r="Y33" i="4"/>
  <c r="Y32" i="4"/>
  <c r="Y31" i="4"/>
  <c r="Y30" i="4"/>
  <c r="Y29" i="4"/>
  <c r="Y28" i="4"/>
  <c r="X46" i="4"/>
  <c r="X45" i="4"/>
  <c r="D24" i="20"/>
  <c r="X40" i="4"/>
  <c r="X39" i="4"/>
  <c r="X38" i="4"/>
  <c r="X37" i="4"/>
  <c r="X36" i="4"/>
  <c r="X35" i="4"/>
  <c r="X34" i="4"/>
  <c r="X33" i="4"/>
  <c r="X32" i="4"/>
  <c r="X31" i="4"/>
  <c r="X30" i="4"/>
  <c r="X29" i="4"/>
  <c r="X28" i="4"/>
  <c r="W46" i="4"/>
  <c r="W45" i="4"/>
  <c r="D23" i="20"/>
  <c r="W40" i="4"/>
  <c r="W39" i="4"/>
  <c r="W38" i="4"/>
  <c r="W37" i="4"/>
  <c r="W36" i="4"/>
  <c r="W35" i="4"/>
  <c r="W34" i="4"/>
  <c r="W33" i="4"/>
  <c r="W32" i="4"/>
  <c r="W31" i="4"/>
  <c r="W30" i="4"/>
  <c r="W29" i="4"/>
  <c r="W28" i="4"/>
  <c r="V46" i="4"/>
  <c r="V45" i="4"/>
  <c r="D22" i="20"/>
  <c r="V40" i="4"/>
  <c r="V39" i="4"/>
  <c r="V38" i="4"/>
  <c r="V37" i="4"/>
  <c r="V36" i="4"/>
  <c r="V35" i="4"/>
  <c r="V34" i="4"/>
  <c r="V33" i="4"/>
  <c r="V32" i="4"/>
  <c r="V31" i="4"/>
  <c r="V30" i="4"/>
  <c r="V29" i="4"/>
  <c r="V28" i="4"/>
  <c r="U46" i="4"/>
  <c r="U45" i="4"/>
  <c r="D21" i="20"/>
  <c r="U40" i="4"/>
  <c r="U39" i="4"/>
  <c r="U38" i="4"/>
  <c r="U37" i="4"/>
  <c r="U36" i="4"/>
  <c r="U35" i="4"/>
  <c r="U34" i="4"/>
  <c r="U33" i="4"/>
  <c r="U32" i="4"/>
  <c r="U31" i="4"/>
  <c r="U30" i="4"/>
  <c r="U29" i="4"/>
  <c r="U28" i="4"/>
  <c r="T46" i="4"/>
  <c r="T45" i="4"/>
  <c r="D20" i="20"/>
  <c r="T40" i="4"/>
  <c r="T39" i="4"/>
  <c r="T38" i="4"/>
  <c r="T37" i="4"/>
  <c r="T36" i="4"/>
  <c r="T35" i="4"/>
  <c r="T34" i="4"/>
  <c r="T33" i="4"/>
  <c r="T32" i="4"/>
  <c r="T31" i="4"/>
  <c r="T30" i="4"/>
  <c r="T29" i="4"/>
  <c r="T28" i="4"/>
  <c r="S40" i="4"/>
  <c r="S39" i="4"/>
  <c r="S38" i="4"/>
  <c r="S37" i="4"/>
  <c r="S36" i="4"/>
  <c r="S35" i="4"/>
  <c r="S33" i="4"/>
  <c r="S32" i="4"/>
  <c r="S31" i="4"/>
  <c r="S30" i="4"/>
  <c r="S29" i="4"/>
  <c r="S28" i="4"/>
  <c r="R40" i="4"/>
  <c r="R39" i="4"/>
  <c r="R38" i="4"/>
  <c r="R37" i="4"/>
  <c r="R36" i="4"/>
  <c r="R35" i="4"/>
  <c r="R33" i="4"/>
  <c r="R32" i="4"/>
  <c r="R31" i="4"/>
  <c r="R30" i="4"/>
  <c r="R29" i="4"/>
  <c r="R28" i="4"/>
  <c r="Q40" i="4"/>
  <c r="Q39" i="4"/>
  <c r="Q38" i="4"/>
  <c r="Q37" i="4"/>
  <c r="Q36" i="4"/>
  <c r="Q35" i="4"/>
  <c r="Q34" i="4"/>
  <c r="Q32" i="4"/>
  <c r="Q31" i="4"/>
  <c r="Q30" i="4"/>
  <c r="Q29" i="4"/>
  <c r="Q28" i="4"/>
  <c r="P40" i="4"/>
  <c r="P39" i="4"/>
  <c r="P38" i="4"/>
  <c r="P37" i="4"/>
  <c r="P36" i="4"/>
  <c r="P35" i="4"/>
  <c r="P34" i="4"/>
  <c r="P32" i="4"/>
  <c r="P31" i="4"/>
  <c r="P30" i="4"/>
  <c r="P29" i="4"/>
  <c r="P28" i="4"/>
  <c r="O40" i="4"/>
  <c r="O39" i="4"/>
  <c r="O38" i="4"/>
  <c r="O37" i="4"/>
  <c r="O36" i="4"/>
  <c r="O35" i="4"/>
  <c r="O34" i="4"/>
  <c r="O32" i="4"/>
  <c r="O31" i="4"/>
  <c r="O30" i="4"/>
  <c r="O29" i="4"/>
  <c r="O28" i="4"/>
  <c r="N40" i="4"/>
  <c r="N39" i="4"/>
  <c r="N38" i="4"/>
  <c r="N37" i="4"/>
  <c r="N36" i="4"/>
  <c r="N35" i="4"/>
  <c r="N34" i="4"/>
  <c r="N32" i="4"/>
  <c r="N31" i="4"/>
  <c r="N30" i="4"/>
  <c r="N29" i="4"/>
  <c r="N28" i="4"/>
  <c r="M40" i="4"/>
  <c r="M39" i="4"/>
  <c r="M38" i="4"/>
  <c r="M37" i="4"/>
  <c r="M36" i="4"/>
  <c r="M35" i="4"/>
  <c r="M34" i="4"/>
  <c r="M33" i="4"/>
  <c r="M31" i="4"/>
  <c r="M30" i="4"/>
  <c r="M29" i="4"/>
  <c r="M28" i="4"/>
  <c r="L40" i="4"/>
  <c r="L39" i="4"/>
  <c r="L38" i="4"/>
  <c r="L37" i="4"/>
  <c r="L36" i="4"/>
  <c r="L35" i="4"/>
  <c r="L34" i="4"/>
  <c r="L33" i="4"/>
  <c r="L31" i="4"/>
  <c r="L30" i="4"/>
  <c r="L29" i="4"/>
  <c r="L28" i="4"/>
  <c r="K40" i="4"/>
  <c r="K39" i="4"/>
  <c r="K38" i="4"/>
  <c r="K37" i="4"/>
  <c r="K36" i="4"/>
  <c r="K35" i="4"/>
  <c r="K34" i="4"/>
  <c r="K33" i="4"/>
  <c r="K31" i="4"/>
  <c r="K30" i="4"/>
  <c r="K29" i="4"/>
  <c r="K28" i="4"/>
  <c r="J46" i="4"/>
  <c r="J45" i="4"/>
  <c r="D10" i="20"/>
  <c r="J40" i="4"/>
  <c r="J39" i="4"/>
  <c r="J38" i="4"/>
  <c r="J37" i="4"/>
  <c r="J36" i="4"/>
  <c r="J35" i="4"/>
  <c r="J34" i="4"/>
  <c r="J33" i="4"/>
  <c r="J32" i="4"/>
  <c r="J31" i="4"/>
  <c r="J30" i="4"/>
  <c r="J29" i="4"/>
  <c r="J28" i="4"/>
  <c r="I40" i="4"/>
  <c r="I39" i="4"/>
  <c r="I38" i="4"/>
  <c r="I37" i="4"/>
  <c r="I36" i="4"/>
  <c r="I35" i="4"/>
  <c r="I34" i="4"/>
  <c r="I33" i="4"/>
  <c r="I32" i="4"/>
  <c r="I31" i="4"/>
  <c r="I29" i="4"/>
  <c r="I28" i="4"/>
  <c r="H40" i="4"/>
  <c r="H39" i="4"/>
  <c r="H38" i="4"/>
  <c r="H37" i="4"/>
  <c r="H36" i="4"/>
  <c r="H35" i="4"/>
  <c r="H34" i="4"/>
  <c r="H33" i="4"/>
  <c r="H32" i="4"/>
  <c r="H31" i="4"/>
  <c r="H29" i="4"/>
  <c r="H28" i="4"/>
  <c r="G40" i="4"/>
  <c r="G39" i="4"/>
  <c r="G38" i="4"/>
  <c r="G37" i="4"/>
  <c r="G36" i="4"/>
  <c r="G35" i="4"/>
  <c r="G34" i="4"/>
  <c r="G33" i="4"/>
  <c r="G32" i="4"/>
  <c r="G31" i="4"/>
  <c r="G30" i="4"/>
  <c r="G28" i="4"/>
  <c r="F40" i="4"/>
  <c r="F39" i="4"/>
  <c r="F38" i="4"/>
  <c r="F37" i="4"/>
  <c r="F36" i="4"/>
  <c r="F35" i="4"/>
  <c r="F34" i="4"/>
  <c r="F33" i="4"/>
  <c r="F32" i="4"/>
  <c r="F31" i="4"/>
  <c r="F30" i="4"/>
  <c r="F28" i="4"/>
  <c r="E40" i="4"/>
  <c r="E39" i="4"/>
  <c r="E38" i="4"/>
  <c r="E37" i="4"/>
  <c r="E36" i="4"/>
  <c r="E35" i="4"/>
  <c r="E34" i="4"/>
  <c r="E33" i="4"/>
  <c r="E32" i="4"/>
  <c r="E31" i="4"/>
  <c r="E30" i="4"/>
  <c r="E29" i="4"/>
  <c r="D40" i="4"/>
  <c r="D39" i="4"/>
  <c r="D38" i="4"/>
  <c r="D37" i="4"/>
  <c r="D36" i="4"/>
  <c r="D35" i="4"/>
  <c r="D34" i="4"/>
  <c r="D33" i="4"/>
  <c r="D32" i="4"/>
  <c r="D31" i="4"/>
  <c r="D30" i="4"/>
  <c r="D29" i="4"/>
  <c r="D28" i="4"/>
  <c r="D4" i="20" s="1"/>
  <c r="Z46" i="4"/>
  <c r="Z45" i="4"/>
  <c r="CT229" i="1"/>
  <c r="CT228" i="1" l="1"/>
  <c r="E491" i="5"/>
  <c r="CT237" i="1"/>
  <c r="E455" i="5"/>
  <c r="DB235" i="1"/>
  <c r="DF217" i="1"/>
  <c r="DB248" i="1"/>
  <c r="DB195" i="1"/>
  <c r="CT208" i="1"/>
  <c r="DF209" i="1"/>
  <c r="CT231" i="1"/>
  <c r="DB171" i="1"/>
  <c r="E45" i="5"/>
  <c r="E46" i="5" s="1"/>
  <c r="E399" i="5"/>
  <c r="DB146" i="1"/>
  <c r="DD154" i="1"/>
  <c r="CV148" i="1"/>
  <c r="DC255" i="1"/>
  <c r="DD251" i="1"/>
  <c r="E404" i="5"/>
  <c r="DB168" i="1"/>
  <c r="DE228" i="1"/>
  <c r="DF198" i="1"/>
  <c r="DC219" i="1"/>
  <c r="DD186" i="1"/>
  <c r="DD223" i="1"/>
  <c r="CZ191" i="1"/>
  <c r="E415" i="5"/>
  <c r="CT156" i="1" s="1"/>
  <c r="DC152" i="1"/>
  <c r="DE160" i="1"/>
  <c r="DB192" i="1"/>
  <c r="DF200" i="1"/>
  <c r="DA208" i="1"/>
  <c r="DE156" i="1"/>
  <c r="DE188" i="1"/>
  <c r="CV204" i="1"/>
  <c r="DD148" i="1"/>
  <c r="DA196" i="1"/>
  <c r="DA167" i="1"/>
  <c r="DC144" i="1"/>
  <c r="DB184" i="1"/>
  <c r="DC154" i="1"/>
  <c r="DA178" i="1"/>
  <c r="DD218" i="1"/>
  <c r="DE212" i="1"/>
  <c r="E461" i="5"/>
  <c r="DE143" i="1"/>
  <c r="DF161" i="1"/>
  <c r="DD189" i="1"/>
  <c r="DD165" i="1"/>
  <c r="CZ217" i="1"/>
  <c r="E463" i="5"/>
  <c r="DE159" i="1"/>
  <c r="DA170" i="1"/>
  <c r="CZ153" i="1"/>
  <c r="DA144" i="1"/>
  <c r="DC146" i="1"/>
  <c r="CT219" i="1"/>
  <c r="DC199" i="1"/>
  <c r="DF155" i="1"/>
  <c r="DB203" i="1"/>
  <c r="DF191" i="1"/>
  <c r="DB147" i="1"/>
  <c r="DA195" i="1"/>
  <c r="E447" i="5"/>
  <c r="CT191" i="1" s="1"/>
  <c r="DE203" i="1"/>
  <c r="DB155" i="1"/>
  <c r="CZ166" i="1"/>
  <c r="DF207" i="1"/>
  <c r="DF171" i="1"/>
  <c r="DB152" i="1"/>
  <c r="DC172" i="1"/>
  <c r="CZ186" i="1"/>
  <c r="CZ195" i="1"/>
  <c r="DD208" i="1"/>
  <c r="DC223" i="1"/>
  <c r="DC232" i="1"/>
  <c r="DA235" i="1"/>
  <c r="CZ253" i="1"/>
  <c r="E398" i="5"/>
  <c r="CT220" i="1" s="1"/>
  <c r="E475" i="5"/>
  <c r="CT175" i="1" s="1"/>
  <c r="E520" i="5"/>
  <c r="CZ244" i="1"/>
  <c r="DB160" i="1"/>
  <c r="CZ177" i="1"/>
  <c r="CZ185" i="1"/>
  <c r="DC218" i="1"/>
  <c r="DC235" i="1"/>
  <c r="DA251" i="1"/>
  <c r="CZ258" i="1"/>
  <c r="DA261" i="1"/>
  <c r="CW195" i="1"/>
  <c r="DB255" i="1"/>
  <c r="DD226" i="1"/>
  <c r="DA177" i="1"/>
  <c r="DB185" i="1"/>
  <c r="CZ194" i="1"/>
  <c r="DB251" i="1"/>
  <c r="CZ256" i="1"/>
  <c r="DA258" i="1"/>
  <c r="E446" i="5"/>
  <c r="E488" i="5"/>
  <c r="CY153" i="1"/>
  <c r="CZ146" i="1"/>
  <c r="CZ154" i="1"/>
  <c r="DF178" i="1"/>
  <c r="DB148" i="1"/>
  <c r="DB156" i="1"/>
  <c r="DC204" i="1"/>
  <c r="CW206" i="1"/>
  <c r="CX196" i="1"/>
  <c r="CY244" i="1"/>
  <c r="CV143" i="1"/>
  <c r="DF148" i="1"/>
  <c r="CV156" i="1"/>
  <c r="CZ182" i="1"/>
  <c r="DA183" i="1"/>
  <c r="DC216" i="1"/>
  <c r="CZ241" i="1"/>
  <c r="DA243" i="1"/>
  <c r="DC245" i="1"/>
  <c r="DF184" i="1"/>
  <c r="CX262" i="1"/>
  <c r="DC185" i="1"/>
  <c r="DC194" i="1"/>
  <c r="CZ147" i="1"/>
  <c r="DC179" i="1"/>
  <c r="DC149" i="1"/>
  <c r="DD157" i="1"/>
  <c r="CV189" i="1"/>
  <c r="CZ197" i="1"/>
  <c r="CV168" i="1"/>
  <c r="CZ145" i="1"/>
  <c r="DD153" i="1"/>
  <c r="DD170" i="1"/>
  <c r="DB252" i="1"/>
  <c r="DB260" i="1"/>
  <c r="DE165" i="1"/>
  <c r="DB229" i="1"/>
  <c r="DA158" i="1"/>
  <c r="CV206" i="1"/>
  <c r="CZ144" i="1"/>
  <c r="CZ152" i="1"/>
  <c r="DF156" i="1"/>
  <c r="DA182" i="1"/>
  <c r="DD183" i="1"/>
  <c r="DA187" i="1"/>
  <c r="CZ193" i="1"/>
  <c r="CZ239" i="1"/>
  <c r="DA241" i="1"/>
  <c r="CZ262" i="1"/>
  <c r="E39" i="5"/>
  <c r="E352" i="5"/>
  <c r="E425" i="5" s="1"/>
  <c r="DA160" i="1"/>
  <c r="DC186" i="1"/>
  <c r="DA188" i="1"/>
  <c r="DC210" i="1"/>
  <c r="CZ211" i="1"/>
  <c r="DE148" i="1"/>
  <c r="CZ183" i="1"/>
  <c r="DA216" i="1"/>
  <c r="DA233" i="1"/>
  <c r="CZ238" i="1"/>
  <c r="CZ247" i="1"/>
  <c r="DF150" i="1"/>
  <c r="DB158" i="1"/>
  <c r="DD169" i="1"/>
  <c r="DA146" i="1"/>
  <c r="DB154" i="1"/>
  <c r="DE170" i="1"/>
  <c r="DC202" i="1"/>
  <c r="DD190" i="1"/>
  <c r="DE206" i="1"/>
  <c r="AM230" i="1"/>
  <c r="DC143" i="1"/>
  <c r="DB151" i="1"/>
  <c r="CY227" i="1"/>
  <c r="DA152" i="1"/>
  <c r="CZ158" i="1"/>
  <c r="DC182" i="1"/>
  <c r="DB193" i="1"/>
  <c r="DC226" i="1"/>
  <c r="DB232" i="1"/>
  <c r="E30" i="5"/>
  <c r="E354" i="5"/>
  <c r="E477" i="5" s="1"/>
  <c r="E431" i="5"/>
  <c r="DD145" i="1"/>
  <c r="DD146" i="1"/>
  <c r="CW156" i="1"/>
  <c r="CV190" i="1"/>
  <c r="CW192" i="1"/>
  <c r="CW225" i="1"/>
  <c r="DA229" i="1"/>
  <c r="CT195" i="1"/>
  <c r="CZ199" i="1"/>
  <c r="DE199" i="1"/>
  <c r="DB199" i="1"/>
  <c r="DA199" i="1"/>
  <c r="CV199" i="1"/>
  <c r="DF199" i="1"/>
  <c r="DD199" i="1"/>
  <c r="DA151" i="1"/>
  <c r="CZ151" i="1"/>
  <c r="CY151" i="1"/>
  <c r="DC159" i="1"/>
  <c r="DB159" i="1"/>
  <c r="CY159" i="1"/>
  <c r="CV159" i="1"/>
  <c r="DF159" i="1"/>
  <c r="DC191" i="1"/>
  <c r="DB191" i="1"/>
  <c r="DE191" i="1"/>
  <c r="DD191" i="1"/>
  <c r="DA191" i="1"/>
  <c r="DC170" i="1"/>
  <c r="DB170" i="1"/>
  <c r="CV170" i="1"/>
  <c r="DB143" i="1"/>
  <c r="DB144" i="1"/>
  <c r="DE145" i="1"/>
  <c r="DE146" i="1"/>
  <c r="CW148" i="1"/>
  <c r="CZ149" i="1"/>
  <c r="CZ150" i="1"/>
  <c r="DC151" i="1"/>
  <c r="DF153" i="1"/>
  <c r="CX155" i="1"/>
  <c r="CX156" i="1"/>
  <c r="DA157" i="1"/>
  <c r="DC158" i="1"/>
  <c r="DC160" i="1"/>
  <c r="CY167" i="1"/>
  <c r="CZ169" i="1"/>
  <c r="DF170" i="1"/>
  <c r="CW178" i="1"/>
  <c r="DA184" i="1"/>
  <c r="DB188" i="1"/>
  <c r="CY190" i="1"/>
  <c r="CX192" i="1"/>
  <c r="CW196" i="1"/>
  <c r="DE197" i="1"/>
  <c r="DC200" i="1"/>
  <c r="DA206" i="1"/>
  <c r="CV218" i="1"/>
  <c r="CX225" i="1"/>
  <c r="CW248" i="1"/>
  <c r="CW250" i="1"/>
  <c r="CY144" i="1"/>
  <c r="CY208" i="1"/>
  <c r="DF229" i="1"/>
  <c r="DE229" i="1"/>
  <c r="DD229" i="1"/>
  <c r="CV229" i="1"/>
  <c r="CZ229" i="1"/>
  <c r="DF147" i="1"/>
  <c r="CV157" i="1"/>
  <c r="CV165" i="1"/>
  <c r="DD202" i="1"/>
  <c r="CV202" i="1"/>
  <c r="DA202" i="1"/>
  <c r="CZ202" i="1"/>
  <c r="DF202" i="1"/>
  <c r="DE202" i="1"/>
  <c r="CV149" i="1"/>
  <c r="CY150" i="1"/>
  <c r="DE153" i="1"/>
  <c r="CZ157" i="1"/>
  <c r="DF177" i="1"/>
  <c r="DE177" i="1"/>
  <c r="CV225" i="1"/>
  <c r="DF225" i="1"/>
  <c r="DE225" i="1"/>
  <c r="CX148" i="1"/>
  <c r="CV153" i="1"/>
  <c r="DB206" i="1"/>
  <c r="CX210" i="1"/>
  <c r="DC229" i="1"/>
  <c r="DE161" i="1"/>
  <c r="DD161" i="1"/>
  <c r="CV161" i="1"/>
  <c r="DA161" i="1"/>
  <c r="CZ161" i="1"/>
  <c r="DB201" i="1"/>
  <c r="DA201" i="1"/>
  <c r="CZ201" i="1"/>
  <c r="DF201" i="1"/>
  <c r="CV201" i="1"/>
  <c r="DD201" i="1"/>
  <c r="DC201" i="1"/>
  <c r="DB165" i="1"/>
  <c r="DA165" i="1"/>
  <c r="DF165" i="1"/>
  <c r="DC165" i="1"/>
  <c r="CZ165" i="1"/>
  <c r="DE209" i="1"/>
  <c r="DD209" i="1"/>
  <c r="CV209" i="1"/>
  <c r="DC209" i="1"/>
  <c r="DB209" i="1"/>
  <c r="CZ209" i="1"/>
  <c r="DA209" i="1"/>
  <c r="DE217" i="1"/>
  <c r="DD217" i="1"/>
  <c r="CV217" i="1"/>
  <c r="DC217" i="1"/>
  <c r="DB217" i="1"/>
  <c r="DA217" i="1"/>
  <c r="DF176" i="1"/>
  <c r="DD176" i="1"/>
  <c r="CZ176" i="1"/>
  <c r="DF226" i="1"/>
  <c r="DE226" i="1"/>
  <c r="CV226" i="1"/>
  <c r="DF234" i="1"/>
  <c r="CV234" i="1"/>
  <c r="DD143" i="1"/>
  <c r="CV145" i="1"/>
  <c r="CV146" i="1"/>
  <c r="CY147" i="1"/>
  <c r="CY148" i="1"/>
  <c r="DB149" i="1"/>
  <c r="DE150" i="1"/>
  <c r="DE151" i="1"/>
  <c r="CW153" i="1"/>
  <c r="CW154" i="1"/>
  <c r="CZ155" i="1"/>
  <c r="DC156" i="1"/>
  <c r="DC157" i="1"/>
  <c r="CZ159" i="1"/>
  <c r="DF160" i="1"/>
  <c r="CV166" i="1"/>
  <c r="DC169" i="1"/>
  <c r="DC171" i="1"/>
  <c r="CY176" i="1"/>
  <c r="CY178" i="1"/>
  <c r="CX183" i="1"/>
  <c r="DC184" i="1"/>
  <c r="DF188" i="1"/>
  <c r="CV191" i="1"/>
  <c r="CY196" i="1"/>
  <c r="DE198" i="1"/>
  <c r="DC203" i="1"/>
  <c r="CX245" i="1"/>
  <c r="CY145" i="1"/>
  <c r="DF214" i="1"/>
  <c r="DE214" i="1"/>
  <c r="DD214" i="1"/>
  <c r="CV214" i="1"/>
  <c r="CZ214" i="1"/>
  <c r="CW143" i="1"/>
  <c r="CX220" i="1"/>
  <c r="CW234" i="1"/>
  <c r="DF145" i="1"/>
  <c r="DA150" i="1"/>
  <c r="CV154" i="1"/>
  <c r="CY156" i="1"/>
  <c r="DB157" i="1"/>
  <c r="CX159" i="1"/>
  <c r="DA169" i="1"/>
  <c r="CW176" i="1"/>
  <c r="CW240" i="1"/>
  <c r="CW257" i="1"/>
  <c r="CW213" i="1"/>
  <c r="DB254" i="1"/>
  <c r="DB245" i="1"/>
  <c r="DB259" i="1"/>
  <c r="DB250" i="1"/>
  <c r="DB242" i="1"/>
  <c r="DB234" i="1"/>
  <c r="DB225" i="1"/>
  <c r="DB215" i="1"/>
  <c r="DB256" i="1"/>
  <c r="DB247" i="1"/>
  <c r="DB239" i="1"/>
  <c r="DB231" i="1"/>
  <c r="DB220" i="1"/>
  <c r="DB262" i="1"/>
  <c r="DB253" i="1"/>
  <c r="DB244" i="1"/>
  <c r="DB219" i="1"/>
  <c r="DB194" i="1"/>
  <c r="DB186" i="1"/>
  <c r="DB176" i="1"/>
  <c r="DB258" i="1"/>
  <c r="DB249" i="1"/>
  <c r="DB241" i="1"/>
  <c r="DB183" i="1"/>
  <c r="DB223" i="1"/>
  <c r="DB216" i="1"/>
  <c r="DB182" i="1"/>
  <c r="DB226" i="1"/>
  <c r="DB224" i="1"/>
  <c r="DB172" i="1"/>
  <c r="DB246" i="1"/>
  <c r="DB261" i="1"/>
  <c r="DB257" i="1"/>
  <c r="DB243" i="1"/>
  <c r="DB240" i="1"/>
  <c r="DB213" i="1"/>
  <c r="DB177" i="1"/>
  <c r="DD256" i="1"/>
  <c r="DD247" i="1"/>
  <c r="DD239" i="1"/>
  <c r="DD231" i="1"/>
  <c r="DD262" i="1"/>
  <c r="DD253" i="1"/>
  <c r="DD244" i="1"/>
  <c r="DD258" i="1"/>
  <c r="DD249" i="1"/>
  <c r="DD241" i="1"/>
  <c r="DD233" i="1"/>
  <c r="DD224" i="1"/>
  <c r="DD255" i="1"/>
  <c r="DD246" i="1"/>
  <c r="DD219" i="1"/>
  <c r="DD257" i="1"/>
  <c r="DD248" i="1"/>
  <c r="DD240" i="1"/>
  <c r="DD232" i="1"/>
  <c r="DD215" i="1"/>
  <c r="DD193" i="1"/>
  <c r="DD185" i="1"/>
  <c r="DD235" i="1"/>
  <c r="DD225" i="1"/>
  <c r="DD213" i="1"/>
  <c r="DD234" i="1"/>
  <c r="DD261" i="1"/>
  <c r="DD254" i="1"/>
  <c r="DD243" i="1"/>
  <c r="DD177" i="1"/>
  <c r="DD195" i="1"/>
  <c r="DD194" i="1"/>
  <c r="DD250" i="1"/>
  <c r="CW145" i="1"/>
  <c r="CW146" i="1"/>
  <c r="DC148" i="1"/>
  <c r="DF151" i="1"/>
  <c r="CX153" i="1"/>
  <c r="DA154" i="1"/>
  <c r="DA155" i="1"/>
  <c r="DD156" i="1"/>
  <c r="DA159" i="1"/>
  <c r="DB161" i="1"/>
  <c r="CW166" i="1"/>
  <c r="CX168" i="1"/>
  <c r="DE171" i="1"/>
  <c r="DE176" i="1"/>
  <c r="DE184" i="1"/>
  <c r="DB187" i="1"/>
  <c r="CW191" i="1"/>
  <c r="CW194" i="1"/>
  <c r="CW201" i="1"/>
  <c r="DE207" i="1"/>
  <c r="DD210" i="1"/>
  <c r="DA214" i="1"/>
  <c r="DD216" i="1"/>
  <c r="CW237" i="1"/>
  <c r="CW247" i="1"/>
  <c r="DD259" i="1"/>
  <c r="E426" i="5"/>
  <c r="CT161" i="1" s="1"/>
  <c r="E432" i="5"/>
  <c r="E487" i="5"/>
  <c r="CT201" i="1" s="1"/>
  <c r="E489" i="5"/>
  <c r="CW150" i="1"/>
  <c r="CW151" i="1"/>
  <c r="CX172" i="1"/>
  <c r="CW177" i="1"/>
  <c r="CX179" i="1"/>
  <c r="CY193" i="1"/>
  <c r="CY197" i="1"/>
  <c r="CY199" i="1"/>
  <c r="CW202" i="1"/>
  <c r="CW204" i="1"/>
  <c r="CX212" i="1"/>
  <c r="CT235" i="1"/>
  <c r="CT234" i="1"/>
  <c r="DE147" i="1"/>
  <c r="DD147" i="1"/>
  <c r="CV147" i="1"/>
  <c r="DC147" i="1"/>
  <c r="DA179" i="1"/>
  <c r="CZ179" i="1"/>
  <c r="DE179" i="1"/>
  <c r="CV179" i="1"/>
  <c r="DF179" i="1"/>
  <c r="CY149" i="1"/>
  <c r="DF149" i="1"/>
  <c r="CX149" i="1"/>
  <c r="DE149" i="1"/>
  <c r="DF157" i="1"/>
  <c r="DE157" i="1"/>
  <c r="DA189" i="1"/>
  <c r="CZ189" i="1"/>
  <c r="DE189" i="1"/>
  <c r="DB189" i="1"/>
  <c r="DF197" i="1"/>
  <c r="DC197" i="1"/>
  <c r="DB197" i="1"/>
  <c r="DA197" i="1"/>
  <c r="CV197" i="1"/>
  <c r="DA168" i="1"/>
  <c r="CZ168" i="1"/>
  <c r="DE168" i="1"/>
  <c r="DF168" i="1"/>
  <c r="DD168" i="1"/>
  <c r="DB237" i="1"/>
  <c r="DA237" i="1"/>
  <c r="CZ237" i="1"/>
  <c r="DF237" i="1"/>
  <c r="DE237" i="1"/>
  <c r="CV237" i="1"/>
  <c r="CX150" i="1"/>
  <c r="CX151" i="1"/>
  <c r="CW167" i="1"/>
  <c r="DC168" i="1"/>
  <c r="CY179" i="1"/>
  <c r="DF189" i="1"/>
  <c r="CX202" i="1"/>
  <c r="DD150" i="1"/>
  <c r="CV150" i="1"/>
  <c r="DC150" i="1"/>
  <c r="DB150" i="1"/>
  <c r="DF158" i="1"/>
  <c r="CX158" i="1"/>
  <c r="DE158" i="1"/>
  <c r="CV158" i="1"/>
  <c r="DD158" i="1"/>
  <c r="DC198" i="1"/>
  <c r="CZ198" i="1"/>
  <c r="DB198" i="1"/>
  <c r="DA198" i="1"/>
  <c r="DD198" i="1"/>
  <c r="DF169" i="1"/>
  <c r="DE169" i="1"/>
  <c r="DB169" i="1"/>
  <c r="CV169" i="1"/>
  <c r="DF238" i="1"/>
  <c r="DE238" i="1"/>
  <c r="DD238" i="1"/>
  <c r="CV238" i="1"/>
  <c r="DC238" i="1"/>
  <c r="DA238" i="1"/>
  <c r="DB238" i="1"/>
  <c r="CY255" i="1"/>
  <c r="CY246" i="1"/>
  <c r="CY238" i="1"/>
  <c r="CY229" i="1"/>
  <c r="CY219" i="1"/>
  <c r="CY211" i="1"/>
  <c r="CY202" i="1"/>
  <c r="CY261" i="1"/>
  <c r="CY251" i="1"/>
  <c r="CY243" i="1"/>
  <c r="CY235" i="1"/>
  <c r="CY226" i="1"/>
  <c r="CY216" i="1"/>
  <c r="CY257" i="1"/>
  <c r="CY248" i="1"/>
  <c r="CY240" i="1"/>
  <c r="CY232" i="1"/>
  <c r="CY223" i="1"/>
  <c r="CY213" i="1"/>
  <c r="CY254" i="1"/>
  <c r="CY245" i="1"/>
  <c r="CY237" i="1"/>
  <c r="CY228" i="1"/>
  <c r="CY218" i="1"/>
  <c r="CY210" i="1"/>
  <c r="CY201" i="1"/>
  <c r="CY256" i="1"/>
  <c r="CY247" i="1"/>
  <c r="CY239" i="1"/>
  <c r="CY195" i="1"/>
  <c r="CY187" i="1"/>
  <c r="CY177" i="1"/>
  <c r="CY166" i="1"/>
  <c r="CY231" i="1"/>
  <c r="CY214" i="1"/>
  <c r="CY207" i="1"/>
  <c r="CY206" i="1"/>
  <c r="CY204" i="1"/>
  <c r="CY203" i="1"/>
  <c r="CY192" i="1"/>
  <c r="CY184" i="1"/>
  <c r="CY171" i="1"/>
  <c r="CY160" i="1"/>
  <c r="CY258" i="1"/>
  <c r="CY249" i="1"/>
  <c r="CY241" i="1"/>
  <c r="CY234" i="1"/>
  <c r="CY212" i="1"/>
  <c r="CY191" i="1"/>
  <c r="CY183" i="1"/>
  <c r="CY170" i="1"/>
  <c r="CY259" i="1"/>
  <c r="CY253" i="1"/>
  <c r="CY242" i="1"/>
  <c r="CY233" i="1"/>
  <c r="CY217" i="1"/>
  <c r="CY188" i="1"/>
  <c r="CY186" i="1"/>
  <c r="CY185" i="1"/>
  <c r="CY182" i="1"/>
  <c r="CY157" i="1"/>
  <c r="CY209" i="1"/>
  <c r="CY198" i="1"/>
  <c r="CY189" i="1"/>
  <c r="CY161" i="1"/>
  <c r="CY236" i="1"/>
  <c r="CY224" i="1"/>
  <c r="CY215" i="1"/>
  <c r="CY172" i="1"/>
  <c r="CY165" i="1"/>
  <c r="CY225" i="1"/>
  <c r="CY220" i="1"/>
  <c r="CX143" i="1"/>
  <c r="DE154" i="1"/>
  <c r="CW165" i="1"/>
  <c r="CX167" i="1"/>
  <c r="CY169" i="1"/>
  <c r="DB179" i="1"/>
  <c r="DD197" i="1"/>
  <c r="CY200" i="1"/>
  <c r="DB202" i="1"/>
  <c r="DF152" i="1"/>
  <c r="CX152" i="1"/>
  <c r="DE152" i="1"/>
  <c r="DD152" i="1"/>
  <c r="CV152" i="1"/>
  <c r="CZ160" i="1"/>
  <c r="DD160" i="1"/>
  <c r="CV160" i="1"/>
  <c r="CZ192" i="1"/>
  <c r="DD192" i="1"/>
  <c r="CV192" i="1"/>
  <c r="DF192" i="1"/>
  <c r="DE192" i="1"/>
  <c r="DC192" i="1"/>
  <c r="DE200" i="1"/>
  <c r="DB200" i="1"/>
  <c r="DA200" i="1"/>
  <c r="CZ200" i="1"/>
  <c r="CV200" i="1"/>
  <c r="CZ208" i="1"/>
  <c r="DF208" i="1"/>
  <c r="DE208" i="1"/>
  <c r="DC208" i="1"/>
  <c r="DB208" i="1"/>
  <c r="CV208" i="1"/>
  <c r="DF196" i="1"/>
  <c r="DD196" i="1"/>
  <c r="CV196" i="1"/>
  <c r="DC196" i="1"/>
  <c r="CZ196" i="1"/>
  <c r="DE196" i="1"/>
  <c r="DE172" i="1"/>
  <c r="DD172" i="1"/>
  <c r="CV172" i="1"/>
  <c r="CZ172" i="1"/>
  <c r="CX147" i="1"/>
  <c r="DA149" i="1"/>
  <c r="DD151" i="1"/>
  <c r="CY155" i="1"/>
  <c r="CX178" i="1"/>
  <c r="DD179" i="1"/>
  <c r="DA192" i="1"/>
  <c r="CV198" i="1"/>
  <c r="DD200" i="1"/>
  <c r="CY250" i="1"/>
  <c r="DA143" i="1"/>
  <c r="CZ143" i="1"/>
  <c r="CY143" i="1"/>
  <c r="DF144" i="1"/>
  <c r="DC145" i="1"/>
  <c r="DC153" i="1"/>
  <c r="DE155" i="1"/>
  <c r="DB167" i="1"/>
  <c r="CX258" i="1"/>
  <c r="CX249" i="1"/>
  <c r="CX241" i="1"/>
  <c r="CX233" i="1"/>
  <c r="CX224" i="1"/>
  <c r="CX214" i="1"/>
  <c r="CX206" i="1"/>
  <c r="CX255" i="1"/>
  <c r="CX246" i="1"/>
  <c r="CX238" i="1"/>
  <c r="CX229" i="1"/>
  <c r="CX219" i="1"/>
  <c r="CX211" i="1"/>
  <c r="CX261" i="1"/>
  <c r="CX251" i="1"/>
  <c r="CX243" i="1"/>
  <c r="CX235" i="1"/>
  <c r="CX226" i="1"/>
  <c r="CX216" i="1"/>
  <c r="CX208" i="1"/>
  <c r="CX257" i="1"/>
  <c r="CX248" i="1"/>
  <c r="CX240" i="1"/>
  <c r="CX232" i="1"/>
  <c r="CX223" i="1"/>
  <c r="CX213" i="1"/>
  <c r="CX204" i="1"/>
  <c r="CX218" i="1"/>
  <c r="CX190" i="1"/>
  <c r="CX182" i="1"/>
  <c r="CX169" i="1"/>
  <c r="CX256" i="1"/>
  <c r="CX247" i="1"/>
  <c r="CX239" i="1"/>
  <c r="CX195" i="1"/>
  <c r="CX187" i="1"/>
  <c r="CX177" i="1"/>
  <c r="CX166" i="1"/>
  <c r="CX259" i="1"/>
  <c r="CX250" i="1"/>
  <c r="CX242" i="1"/>
  <c r="CX237" i="1"/>
  <c r="CX227" i="1"/>
  <c r="CX197" i="1"/>
  <c r="CX194" i="1"/>
  <c r="CX186" i="1"/>
  <c r="CX176" i="1"/>
  <c r="CX165" i="1"/>
  <c r="CX203" i="1"/>
  <c r="CX200" i="1"/>
  <c r="CX184" i="1"/>
  <c r="CX170" i="1"/>
  <c r="CX160" i="1"/>
  <c r="CX236" i="1"/>
  <c r="CX253" i="1"/>
  <c r="CX234" i="1"/>
  <c r="CX231" i="1"/>
  <c r="CX228" i="1"/>
  <c r="CX217" i="1"/>
  <c r="CX207" i="1"/>
  <c r="CX188" i="1"/>
  <c r="CX185" i="1"/>
  <c r="CX171" i="1"/>
  <c r="CX157" i="1"/>
  <c r="CX209" i="1"/>
  <c r="CX201" i="1"/>
  <c r="CX198" i="1"/>
  <c r="CX189" i="1"/>
  <c r="CX161" i="1"/>
  <c r="CX254" i="1"/>
  <c r="CX215" i="1"/>
  <c r="DF143" i="1"/>
  <c r="CX145" i="1"/>
  <c r="DA147" i="1"/>
  <c r="DD149" i="1"/>
  <c r="CV151" i="1"/>
  <c r="CY152" i="1"/>
  <c r="CY158" i="1"/>
  <c r="DD159" i="1"/>
  <c r="DC161" i="1"/>
  <c r="CY168" i="1"/>
  <c r="CZ170" i="1"/>
  <c r="CV177" i="1"/>
  <c r="DB178" i="1"/>
  <c r="DD187" i="1"/>
  <c r="DC189" i="1"/>
  <c r="CX191" i="1"/>
  <c r="CX193" i="1"/>
  <c r="CY194" i="1"/>
  <c r="DB196" i="1"/>
  <c r="CX199" i="1"/>
  <c r="DE201" i="1"/>
  <c r="DB214" i="1"/>
  <c r="DB233" i="1"/>
  <c r="DC237" i="1"/>
  <c r="DD242" i="1"/>
  <c r="CX244" i="1"/>
  <c r="DD245" i="1"/>
  <c r="CY262" i="1"/>
  <c r="E435" i="5"/>
  <c r="E434" i="5"/>
  <c r="CT189" i="1" s="1"/>
  <c r="DF166" i="1"/>
  <c r="DC166" i="1"/>
  <c r="DF190" i="1"/>
  <c r="DE190" i="1"/>
  <c r="DB190" i="1"/>
  <c r="DF206" i="1"/>
  <c r="DD206" i="1"/>
  <c r="DC206" i="1"/>
  <c r="CZ206" i="1"/>
  <c r="DB218" i="1"/>
  <c r="DA218" i="1"/>
  <c r="CZ218" i="1"/>
  <c r="DF218" i="1"/>
  <c r="DB210" i="1"/>
  <c r="DA210" i="1"/>
  <c r="CZ210" i="1"/>
  <c r="CV210" i="1"/>
  <c r="DE210" i="1"/>
  <c r="DF235" i="1"/>
  <c r="DE235" i="1"/>
  <c r="CV235" i="1"/>
  <c r="DC259" i="1"/>
  <c r="DC250" i="1"/>
  <c r="DC242" i="1"/>
  <c r="DC234" i="1"/>
  <c r="DC225" i="1"/>
  <c r="DC215" i="1"/>
  <c r="DC256" i="1"/>
  <c r="DC247" i="1"/>
  <c r="DC239" i="1"/>
  <c r="DC231" i="1"/>
  <c r="DC220" i="1"/>
  <c r="DC262" i="1"/>
  <c r="DC253" i="1"/>
  <c r="DC244" i="1"/>
  <c r="DC258" i="1"/>
  <c r="DC249" i="1"/>
  <c r="DC241" i="1"/>
  <c r="DC233" i="1"/>
  <c r="DC224" i="1"/>
  <c r="DC214" i="1"/>
  <c r="DC183" i="1"/>
  <c r="DC257" i="1"/>
  <c r="DC248" i="1"/>
  <c r="DC240" i="1"/>
  <c r="DC261" i="1"/>
  <c r="DC251" i="1"/>
  <c r="DC243" i="1"/>
  <c r="DC195" i="1"/>
  <c r="DC187" i="1"/>
  <c r="DC177" i="1"/>
  <c r="CV144" i="1"/>
  <c r="DD144" i="1"/>
  <c r="DA145" i="1"/>
  <c r="CX146" i="1"/>
  <c r="DF146" i="1"/>
  <c r="CZ148" i="1"/>
  <c r="CW149" i="1"/>
  <c r="DA153" i="1"/>
  <c r="CX154" i="1"/>
  <c r="DF154" i="1"/>
  <c r="DC155" i="1"/>
  <c r="CZ156" i="1"/>
  <c r="CW157" i="1"/>
  <c r="DA166" i="1"/>
  <c r="CW171" i="1"/>
  <c r="DE178" i="1"/>
  <c r="CW188" i="1"/>
  <c r="CZ190" i="1"/>
  <c r="DC193" i="1"/>
  <c r="DB204" i="1"/>
  <c r="CW207" i="1"/>
  <c r="DE218" i="1"/>
  <c r="CW228" i="1"/>
  <c r="CW231" i="1"/>
  <c r="DC254" i="1"/>
  <c r="DD203" i="1"/>
  <c r="CV203" i="1"/>
  <c r="DA203" i="1"/>
  <c r="CZ203" i="1"/>
  <c r="DF203" i="1"/>
  <c r="DD167" i="1"/>
  <c r="CV167" i="1"/>
  <c r="DC167" i="1"/>
  <c r="CZ167" i="1"/>
  <c r="DC207" i="1"/>
  <c r="DA207" i="1"/>
  <c r="CZ207" i="1"/>
  <c r="DB207" i="1"/>
  <c r="CV207" i="1"/>
  <c r="DF211" i="1"/>
  <c r="DE211" i="1"/>
  <c r="DD211" i="1"/>
  <c r="CV211" i="1"/>
  <c r="DB211" i="1"/>
  <c r="DA211" i="1"/>
  <c r="CZ171" i="1"/>
  <c r="DD171" i="1"/>
  <c r="CV171" i="1"/>
  <c r="DE227" i="1"/>
  <c r="DD227" i="1"/>
  <c r="CV227" i="1"/>
  <c r="DC227" i="1"/>
  <c r="DB227" i="1"/>
  <c r="DF227" i="1"/>
  <c r="DA227" i="1"/>
  <c r="DD220" i="1"/>
  <c r="CV220" i="1"/>
  <c r="DE220" i="1"/>
  <c r="CZ220" i="1"/>
  <c r="CW262" i="1"/>
  <c r="CW253" i="1"/>
  <c r="CW244" i="1"/>
  <c r="CW236" i="1"/>
  <c r="CW227" i="1"/>
  <c r="CW217" i="1"/>
  <c r="CW209" i="1"/>
  <c r="CW200" i="1"/>
  <c r="CW258" i="1"/>
  <c r="CW249" i="1"/>
  <c r="CW241" i="1"/>
  <c r="CW233" i="1"/>
  <c r="CW224" i="1"/>
  <c r="CW214" i="1"/>
  <c r="CW255" i="1"/>
  <c r="CW246" i="1"/>
  <c r="CW238" i="1"/>
  <c r="CW229" i="1"/>
  <c r="CW219" i="1"/>
  <c r="CW211" i="1"/>
  <c r="CW261" i="1"/>
  <c r="CW251" i="1"/>
  <c r="CW243" i="1"/>
  <c r="CW235" i="1"/>
  <c r="CW226" i="1"/>
  <c r="CW216" i="1"/>
  <c r="CW208" i="1"/>
  <c r="CW199" i="1"/>
  <c r="CW254" i="1"/>
  <c r="CW245" i="1"/>
  <c r="CW210" i="1"/>
  <c r="CW193" i="1"/>
  <c r="CW185" i="1"/>
  <c r="CW172" i="1"/>
  <c r="CW161" i="1"/>
  <c r="CW218" i="1"/>
  <c r="CW190" i="1"/>
  <c r="CW182" i="1"/>
  <c r="CW169" i="1"/>
  <c r="CW158" i="1"/>
  <c r="CW232" i="1"/>
  <c r="CW220" i="1"/>
  <c r="CW215" i="1"/>
  <c r="CW198" i="1"/>
  <c r="CW189" i="1"/>
  <c r="CW179" i="1"/>
  <c r="CW168" i="1"/>
  <c r="CZ261" i="1"/>
  <c r="CZ251" i="1"/>
  <c r="CZ243" i="1"/>
  <c r="CZ235" i="1"/>
  <c r="CZ226" i="1"/>
  <c r="CZ216" i="1"/>
  <c r="CZ257" i="1"/>
  <c r="CZ248" i="1"/>
  <c r="CZ240" i="1"/>
  <c r="CZ232" i="1"/>
  <c r="CZ223" i="1"/>
  <c r="CZ213" i="1"/>
  <c r="CZ254" i="1"/>
  <c r="CZ245" i="1"/>
  <c r="CZ259" i="1"/>
  <c r="CZ250" i="1"/>
  <c r="CZ242" i="1"/>
  <c r="CZ234" i="1"/>
  <c r="CZ225" i="1"/>
  <c r="CZ215" i="1"/>
  <c r="CZ231" i="1"/>
  <c r="CZ255" i="1"/>
  <c r="CZ246" i="1"/>
  <c r="CZ233" i="1"/>
  <c r="CW144" i="1"/>
  <c r="DE144" i="1"/>
  <c r="DB145" i="1"/>
  <c r="CY146" i="1"/>
  <c r="DA148" i="1"/>
  <c r="CW152" i="1"/>
  <c r="DB153" i="1"/>
  <c r="CY154" i="1"/>
  <c r="CV155" i="1"/>
  <c r="DD155" i="1"/>
  <c r="DA156" i="1"/>
  <c r="CW160" i="1"/>
  <c r="DB166" i="1"/>
  <c r="DE167" i="1"/>
  <c r="CW170" i="1"/>
  <c r="DC176" i="1"/>
  <c r="CW184" i="1"/>
  <c r="CW186" i="1"/>
  <c r="CW187" i="1"/>
  <c r="DA190" i="1"/>
  <c r="CW203" i="1"/>
  <c r="DC211" i="1"/>
  <c r="DC213" i="1"/>
  <c r="CZ224" i="1"/>
  <c r="CW242" i="1"/>
  <c r="CW259" i="1"/>
  <c r="E27" i="5"/>
  <c r="DD178" i="1"/>
  <c r="CV178" i="1"/>
  <c r="DC178" i="1"/>
  <c r="CZ178" i="1"/>
  <c r="DD188" i="1"/>
  <c r="CV188" i="1"/>
  <c r="DC188" i="1"/>
  <c r="CZ188" i="1"/>
  <c r="DA204" i="1"/>
  <c r="DF204" i="1"/>
  <c r="CZ204" i="1"/>
  <c r="DE204" i="1"/>
  <c r="CZ184" i="1"/>
  <c r="DD184" i="1"/>
  <c r="CV184" i="1"/>
  <c r="DD212" i="1"/>
  <c r="CV212" i="1"/>
  <c r="DC212" i="1"/>
  <c r="DB212" i="1"/>
  <c r="DA212" i="1"/>
  <c r="DF212" i="1"/>
  <c r="DB228" i="1"/>
  <c r="DA228" i="1"/>
  <c r="CZ228" i="1"/>
  <c r="DF228" i="1"/>
  <c r="DC228" i="1"/>
  <c r="DE236" i="1"/>
  <c r="DD236" i="1"/>
  <c r="CV236" i="1"/>
  <c r="DC236" i="1"/>
  <c r="DB236" i="1"/>
  <c r="DA236" i="1"/>
  <c r="CZ236" i="1"/>
  <c r="DA257" i="1"/>
  <c r="DA248" i="1"/>
  <c r="DA240" i="1"/>
  <c r="DA232" i="1"/>
  <c r="DA223" i="1"/>
  <c r="DA213" i="1"/>
  <c r="DA254" i="1"/>
  <c r="DA245" i="1"/>
  <c r="DA259" i="1"/>
  <c r="DA250" i="1"/>
  <c r="DA242" i="1"/>
  <c r="DA234" i="1"/>
  <c r="DA225" i="1"/>
  <c r="DA215" i="1"/>
  <c r="DA256" i="1"/>
  <c r="DA247" i="1"/>
  <c r="DA239" i="1"/>
  <c r="DA231" i="1"/>
  <c r="DA220" i="1"/>
  <c r="DA255" i="1"/>
  <c r="DA246" i="1"/>
  <c r="DA226" i="1"/>
  <c r="DA219" i="1"/>
  <c r="DA194" i="1"/>
  <c r="DA186" i="1"/>
  <c r="DA176" i="1"/>
  <c r="DA262" i="1"/>
  <c r="DA253" i="1"/>
  <c r="DA244" i="1"/>
  <c r="DA224" i="1"/>
  <c r="DA193" i="1"/>
  <c r="DA185" i="1"/>
  <c r="DA172" i="1"/>
  <c r="CX144" i="1"/>
  <c r="CW147" i="1"/>
  <c r="CW155" i="1"/>
  <c r="CW159" i="1"/>
  <c r="DD166" i="1"/>
  <c r="DF167" i="1"/>
  <c r="DA171" i="1"/>
  <c r="CW183" i="1"/>
  <c r="CZ187" i="1"/>
  <c r="DC190" i="1"/>
  <c r="CW197" i="1"/>
  <c r="DD204" i="1"/>
  <c r="DD207" i="1"/>
  <c r="CW212" i="1"/>
  <c r="CZ219" i="1"/>
  <c r="CW223" i="1"/>
  <c r="DD228" i="1"/>
  <c r="CW239" i="1"/>
  <c r="DC246" i="1"/>
  <c r="CW256" i="1"/>
  <c r="E430" i="5"/>
  <c r="E10" i="5"/>
  <c r="E11" i="5" s="1"/>
  <c r="E496" i="5"/>
  <c r="E495" i="5"/>
  <c r="E492" i="5"/>
  <c r="CT204" i="1" s="1"/>
  <c r="E511" i="5"/>
  <c r="E510" i="5"/>
  <c r="E456" i="5"/>
  <c r="CT198" i="1" s="1"/>
  <c r="E356" i="5"/>
  <c r="E480" i="5" s="1"/>
  <c r="E440" i="5"/>
  <c r="CT186" i="1"/>
  <c r="E135" i="5" s="1"/>
  <c r="E517" i="5"/>
  <c r="CT207" i="1"/>
  <c r="D46" i="4"/>
  <c r="D45" i="4"/>
  <c r="E469" i="5"/>
  <c r="E483" i="5"/>
  <c r="E467" i="5"/>
  <c r="E482" i="5"/>
  <c r="E466" i="5"/>
  <c r="CT168" i="1" s="1"/>
  <c r="E470" i="5"/>
  <c r="E485" i="5"/>
  <c r="E484" i="5"/>
  <c r="E486" i="5"/>
  <c r="DB221" i="1"/>
  <c r="DD252" i="1"/>
  <c r="CY222" i="1"/>
  <c r="CV260" i="1"/>
  <c r="CV252" i="1"/>
  <c r="DD260" i="1"/>
  <c r="E16" i="5"/>
  <c r="E22" i="5" s="1"/>
  <c r="DE230" i="1"/>
  <c r="CV221" i="1"/>
  <c r="E76" i="5"/>
  <c r="AS162" i="1" s="1"/>
  <c r="CT185" i="1"/>
  <c r="DD221" i="1"/>
  <c r="E77" i="5"/>
  <c r="O164" i="1" s="1"/>
  <c r="CY205" i="1"/>
  <c r="E78" i="5"/>
  <c r="E600" i="5"/>
  <c r="E599" i="5"/>
  <c r="E579" i="5"/>
  <c r="E578" i="5" s="1"/>
  <c r="E584" i="5" s="1"/>
  <c r="E581" i="5" s="1"/>
  <c r="E598" i="5"/>
  <c r="E596" i="5"/>
  <c r="E597" i="5"/>
  <c r="E595" i="5"/>
  <c r="E594" i="5"/>
  <c r="E601" i="5"/>
  <c r="E613" i="5" s="1"/>
  <c r="E593" i="5"/>
  <c r="E589" i="5"/>
  <c r="E588" i="5"/>
  <c r="E587" i="5"/>
  <c r="E608" i="5" s="1"/>
  <c r="E586" i="5"/>
  <c r="E583" i="5" s="1"/>
  <c r="CT210" i="1"/>
  <c r="CT209" i="1"/>
  <c r="CT222" i="1"/>
  <c r="CT221" i="1"/>
  <c r="CT148" i="1"/>
  <c r="CT200" i="1"/>
  <c r="CT147" i="1"/>
  <c r="CT146" i="1"/>
  <c r="CT151" i="1"/>
  <c r="CT145" i="1"/>
  <c r="CT149" i="1"/>
  <c r="CT144" i="1"/>
  <c r="CT143" i="1"/>
  <c r="CT155" i="1"/>
  <c r="CT152" i="1"/>
  <c r="CT183" i="1"/>
  <c r="E74" i="5"/>
  <c r="E75" i="5"/>
  <c r="CT174" i="1"/>
  <c r="CT173" i="1"/>
  <c r="CT163" i="1"/>
  <c r="CT162" i="1"/>
  <c r="E180" i="1"/>
  <c r="E181" i="1"/>
  <c r="N173" i="1"/>
  <c r="O173" i="1"/>
  <c r="N174" i="1"/>
  <c r="O174" i="1"/>
  <c r="N175" i="1"/>
  <c r="O175" i="1"/>
  <c r="E20" i="5"/>
  <c r="CY230" i="1"/>
  <c r="CX230" i="1"/>
  <c r="DF230" i="1"/>
  <c r="CZ230" i="1"/>
  <c r="DA230" i="1"/>
  <c r="DB230" i="1"/>
  <c r="DC230" i="1"/>
  <c r="CV230" i="1"/>
  <c r="DD230" i="1"/>
  <c r="CW230" i="1"/>
  <c r="CZ205" i="1"/>
  <c r="DA205" i="1"/>
  <c r="DB205" i="1"/>
  <c r="DC205" i="1"/>
  <c r="CV205" i="1"/>
  <c r="DD205" i="1"/>
  <c r="CW205" i="1"/>
  <c r="DE205" i="1"/>
  <c r="CX205" i="1"/>
  <c r="DF205" i="1"/>
  <c r="DC252" i="1"/>
  <c r="DC260" i="1"/>
  <c r="E34" i="5"/>
  <c r="CW252" i="1"/>
  <c r="DE252" i="1"/>
  <c r="CW260" i="1"/>
  <c r="DE260" i="1"/>
  <c r="CX252" i="1"/>
  <c r="DF252" i="1"/>
  <c r="CX260" i="1"/>
  <c r="DF260" i="1"/>
  <c r="CY252" i="1"/>
  <c r="CY260" i="1"/>
  <c r="E38" i="5"/>
  <c r="CZ252" i="1"/>
  <c r="CZ260" i="1"/>
  <c r="DA252" i="1"/>
  <c r="DA260" i="1"/>
  <c r="DA222" i="1"/>
  <c r="DC221" i="1"/>
  <c r="CZ222" i="1"/>
  <c r="CW221" i="1"/>
  <c r="DE221" i="1"/>
  <c r="DB222" i="1"/>
  <c r="CX221" i="1"/>
  <c r="DF221" i="1"/>
  <c r="DC222" i="1"/>
  <c r="CY221" i="1"/>
  <c r="CV222" i="1"/>
  <c r="DD222" i="1"/>
  <c r="CZ221" i="1"/>
  <c r="CW222" i="1"/>
  <c r="DE222" i="1"/>
  <c r="DA221" i="1"/>
  <c r="CX222" i="1"/>
  <c r="DF222" i="1"/>
  <c r="CT157" i="1" l="1"/>
  <c r="CT154" i="1"/>
  <c r="CT164" i="1"/>
  <c r="CT214" i="1"/>
  <c r="CT192" i="1"/>
  <c r="CT203" i="1"/>
  <c r="CT166" i="1"/>
  <c r="E424" i="5"/>
  <c r="CT153" i="1" s="1"/>
  <c r="CT177" i="1"/>
  <c r="E60" i="5"/>
  <c r="CT202" i="1"/>
  <c r="CT160" i="1"/>
  <c r="CT159" i="1"/>
  <c r="CT158" i="1"/>
  <c r="E23" i="5"/>
  <c r="E24" i="5" s="1"/>
  <c r="CT246" i="1"/>
  <c r="CT244" i="1"/>
  <c r="CT150" i="1"/>
  <c r="CT245" i="1"/>
  <c r="CT218" i="1"/>
  <c r="CT213" i="1"/>
  <c r="CT188" i="1"/>
  <c r="CT179" i="1"/>
  <c r="CT197" i="1"/>
  <c r="E618" i="5"/>
  <c r="E585" i="5"/>
  <c r="E582" i="5" s="1"/>
  <c r="E606" i="5"/>
  <c r="E605" i="5"/>
  <c r="E619" i="5"/>
  <c r="E607" i="5"/>
  <c r="E620" i="5"/>
  <c r="E617" i="5"/>
  <c r="E612" i="5"/>
  <c r="E628" i="5" s="1"/>
  <c r="E611" i="5"/>
  <c r="E627" i="5" s="1"/>
  <c r="E621" i="5"/>
  <c r="E610" i="5"/>
  <c r="E609" i="5"/>
  <c r="E626" i="5" s="1"/>
  <c r="G29" i="4"/>
  <c r="D7" i="20" s="1"/>
  <c r="F29" i="4"/>
  <c r="D6" i="20" s="1"/>
  <c r="E133" i="5"/>
  <c r="E132" i="5"/>
  <c r="O163" i="1"/>
  <c r="CT180" i="1"/>
  <c r="CT170" i="1"/>
  <c r="CT167" i="1"/>
  <c r="O162" i="1"/>
  <c r="CT169" i="1"/>
  <c r="N162" i="1"/>
  <c r="CT171" i="1"/>
  <c r="AV175" i="1"/>
  <c r="CY175" i="1" s="1"/>
  <c r="AV174" i="1"/>
  <c r="DE174" i="1" s="1"/>
  <c r="AV181" i="1"/>
  <c r="CZ181" i="1" s="1"/>
  <c r="AV173" i="1"/>
  <c r="DC173" i="1" s="1"/>
  <c r="AV180" i="1"/>
  <c r="CW180" i="1" s="1"/>
  <c r="AV164" i="1"/>
  <c r="AV163" i="1"/>
  <c r="AV162" i="1"/>
  <c r="CT176" i="1"/>
  <c r="CT181" i="1"/>
  <c r="CT172" i="1"/>
  <c r="CT165" i="1"/>
  <c r="E127" i="5" s="1"/>
  <c r="AD164" i="1"/>
  <c r="AC164" i="1"/>
  <c r="AH163" i="1"/>
  <c r="AD163" i="1"/>
  <c r="N164" i="1"/>
  <c r="N163" i="1"/>
  <c r="CT178" i="1" l="1"/>
  <c r="E57" i="5"/>
  <c r="E793" i="5"/>
  <c r="E797" i="5" s="1"/>
  <c r="E99" i="5"/>
  <c r="CV180" i="1"/>
  <c r="DC175" i="1"/>
  <c r="DC180" i="1"/>
  <c r="DD180" i="1"/>
  <c r="DE180" i="1"/>
  <c r="DB181" i="1"/>
  <c r="CZ180" i="1"/>
  <c r="DE181" i="1"/>
  <c r="E754" i="5"/>
  <c r="E769" i="5"/>
  <c r="E767" i="5"/>
  <c r="E625" i="5"/>
  <c r="F46" i="4"/>
  <c r="E386" i="5"/>
  <c r="E382" i="5"/>
  <c r="F45" i="4"/>
  <c r="G46" i="4"/>
  <c r="G45" i="4"/>
  <c r="E129" i="5"/>
  <c r="DD175" i="1"/>
  <c r="DA180" i="1"/>
  <c r="DF180" i="1"/>
  <c r="CX180" i="1"/>
  <c r="DB180" i="1"/>
  <c r="CY180" i="1"/>
  <c r="CW175" i="1"/>
  <c r="CW181" i="1"/>
  <c r="DF173" i="1"/>
  <c r="CV173" i="1"/>
  <c r="CX174" i="1"/>
  <c r="CV175" i="1"/>
  <c r="DA181" i="1"/>
  <c r="CY173" i="1"/>
  <c r="DD173" i="1"/>
  <c r="DF174" i="1"/>
  <c r="CZ175" i="1"/>
  <c r="DE175" i="1"/>
  <c r="CX181" i="1"/>
  <c r="DC181" i="1"/>
  <c r="DA173" i="1"/>
  <c r="CV174" i="1"/>
  <c r="CZ174" i="1"/>
  <c r="DE173" i="1"/>
  <c r="DC174" i="1"/>
  <c r="DB174" i="1"/>
  <c r="DA175" i="1"/>
  <c r="CX175" i="1"/>
  <c r="DF181" i="1"/>
  <c r="CV181" i="1"/>
  <c r="DB173" i="1"/>
  <c r="DD174" i="1"/>
  <c r="DA174" i="1"/>
  <c r="CY174" i="1"/>
  <c r="DB163" i="1"/>
  <c r="DA163" i="1"/>
  <c r="DC163" i="1"/>
  <c r="CZ163" i="1"/>
  <c r="CY163" i="1"/>
  <c r="DF163" i="1"/>
  <c r="CX163" i="1"/>
  <c r="DE163" i="1"/>
  <c r="CW163" i="1"/>
  <c r="DD163" i="1"/>
  <c r="CV163" i="1"/>
  <c r="DB175" i="1"/>
  <c r="DF175" i="1"/>
  <c r="CY181" i="1"/>
  <c r="DD181" i="1"/>
  <c r="CW173" i="1"/>
  <c r="CW174" i="1"/>
  <c r="DE162" i="1"/>
  <c r="CW162" i="1"/>
  <c r="DD162" i="1"/>
  <c r="CV162" i="1"/>
  <c r="CX162" i="1"/>
  <c r="DC162" i="1"/>
  <c r="DB162" i="1"/>
  <c r="DF162" i="1"/>
  <c r="DA162" i="1"/>
  <c r="CZ162" i="1"/>
  <c r="CY162" i="1"/>
  <c r="CY164" i="1"/>
  <c r="DF164" i="1"/>
  <c r="CX164" i="1"/>
  <c r="DE164" i="1"/>
  <c r="CW164" i="1"/>
  <c r="DD164" i="1"/>
  <c r="CV164" i="1"/>
  <c r="CZ164" i="1"/>
  <c r="DC164" i="1"/>
  <c r="DB164" i="1"/>
  <c r="DA164" i="1"/>
  <c r="CZ173" i="1"/>
  <c r="CX173" i="1"/>
  <c r="CT205" i="1"/>
  <c r="CT206" i="1"/>
  <c r="E28" i="4"/>
  <c r="D5" i="20" s="1"/>
  <c r="P33" i="4" l="1"/>
  <c r="D16" i="20" s="1"/>
  <c r="P46" i="4" s="1"/>
  <c r="L32" i="4"/>
  <c r="D12" i="20" s="1"/>
  <c r="K32" i="4"/>
  <c r="D11" i="20" s="1"/>
  <c r="I30" i="4"/>
  <c r="D9" i="20" s="1"/>
  <c r="H30" i="4"/>
  <c r="D8" i="20" s="1"/>
  <c r="E753" i="5" s="1"/>
  <c r="M32" i="4"/>
  <c r="D13" i="20" s="1"/>
  <c r="S34" i="4"/>
  <c r="D19" i="20" s="1"/>
  <c r="R34" i="4"/>
  <c r="D18" i="20" s="1"/>
  <c r="Q33" i="4"/>
  <c r="D17" i="20" s="1"/>
  <c r="E46" i="4"/>
  <c r="E45" i="4"/>
  <c r="O33" i="4"/>
  <c r="D15" i="20" s="1"/>
  <c r="N33" i="4"/>
  <c r="D14" i="20" s="1"/>
  <c r="CT251" i="1"/>
  <c r="CT259" i="1"/>
  <c r="CT199" i="1"/>
  <c r="E766" i="5" l="1"/>
  <c r="E768" i="5"/>
  <c r="E629" i="5"/>
  <c r="E111" i="5"/>
  <c r="E114" i="5" s="1"/>
  <c r="P45" i="4"/>
  <c r="E384" i="5"/>
  <c r="E383" i="5"/>
  <c r="E381" i="5"/>
  <c r="L46" i="4"/>
  <c r="L45" i="4"/>
  <c r="E107" i="5"/>
  <c r="E110" i="5" s="1"/>
  <c r="E103" i="5"/>
  <c r="E106" i="5" s="1"/>
  <c r="E119" i="5"/>
  <c r="E122" i="5" s="1"/>
  <c r="Q46" i="4"/>
  <c r="Q45" i="4"/>
  <c r="R46" i="4"/>
  <c r="R45" i="4"/>
  <c r="S46" i="4"/>
  <c r="S45" i="4"/>
  <c r="I46" i="4"/>
  <c r="I45" i="4"/>
  <c r="N45" i="4"/>
  <c r="N46" i="4"/>
  <c r="E385" i="5"/>
  <c r="H45" i="4"/>
  <c r="H46" i="4"/>
  <c r="K46" i="4"/>
  <c r="K45" i="4"/>
  <c r="O46" i="4"/>
  <c r="O45" i="4"/>
  <c r="M46" i="4"/>
  <c r="M45" i="4"/>
  <c r="E115" i="5"/>
  <c r="E118" i="5" s="1"/>
  <c r="CT239" i="1" s="1"/>
  <c r="E147" i="5"/>
  <c r="E146" i="5"/>
  <c r="E380" i="5"/>
  <c r="E378" i="5"/>
  <c r="Z20" i="4" l="1"/>
  <c r="E675" i="5" s="1"/>
  <c r="Z21" i="4"/>
  <c r="E676" i="5" s="1"/>
  <c r="E443" i="5"/>
  <c r="CT187" i="1" s="1"/>
  <c r="E136" i="5" s="1"/>
  <c r="E134" i="5" s="1"/>
  <c r="CT193" i="1"/>
  <c r="E137" i="5" s="1"/>
  <c r="E84" i="5"/>
  <c r="E85" i="5" s="1"/>
  <c r="E86" i="5" s="1"/>
  <c r="CT255" i="1"/>
  <c r="CT247" i="1"/>
  <c r="E58" i="5"/>
  <c r="CT241" i="1"/>
  <c r="CT240" i="1"/>
  <c r="CT242" i="1"/>
  <c r="CT243" i="1"/>
  <c r="CT196" i="1"/>
  <c r="E139" i="5" s="1"/>
  <c r="CT184" i="1"/>
  <c r="CT190" i="1"/>
  <c r="E131" i="5" l="1"/>
  <c r="E142" i="5"/>
  <c r="E95" i="5"/>
  <c r="CT230" i="1" s="1"/>
  <c r="E143" i="5" s="1"/>
  <c r="CT182" i="1"/>
  <c r="E130" i="5"/>
  <c r="E138" i="5"/>
  <c r="E128" i="5"/>
  <c r="E126" i="5" s="1"/>
  <c r="E141" i="5"/>
  <c r="E306" i="5"/>
  <c r="E686" i="5"/>
  <c r="E684" i="5"/>
  <c r="E121" i="5"/>
  <c r="E117" i="5"/>
  <c r="E113" i="5"/>
  <c r="E109" i="5"/>
  <c r="E105" i="5"/>
  <c r="E140" i="5" l="1"/>
  <c r="E145" i="5"/>
  <c r="D146" i="9"/>
  <c r="E197" i="5"/>
  <c r="E372" i="5"/>
  <c r="E370" i="5"/>
  <c r="D450" i="9"/>
  <c r="N438" i="9"/>
  <c r="N437" i="9"/>
  <c r="M437" i="9"/>
  <c r="M439" i="9" s="1"/>
  <c r="N436" i="9"/>
  <c r="M436" i="9"/>
  <c r="N435" i="9"/>
  <c r="M435" i="9"/>
  <c r="N434" i="9"/>
  <c r="M434" i="9"/>
  <c r="L449" i="36"/>
  <c r="L448" i="36"/>
  <c r="L447" i="36"/>
  <c r="L446" i="36"/>
  <c r="L442" i="36"/>
  <c r="L441" i="36"/>
  <c r="L440" i="36"/>
  <c r="L439" i="36"/>
  <c r="L438" i="36"/>
  <c r="L437" i="36"/>
  <c r="L436" i="36"/>
  <c r="L435" i="36"/>
  <c r="L434" i="36"/>
  <c r="D396" i="36"/>
  <c r="D395" i="36" s="1"/>
  <c r="D393" i="36"/>
  <c r="D392" i="36"/>
  <c r="D339" i="36"/>
  <c r="D338" i="36"/>
  <c r="D337" i="36"/>
  <c r="D336" i="36"/>
  <c r="D335" i="36"/>
  <c r="D334" i="36"/>
  <c r="D333" i="36"/>
  <c r="D332" i="36"/>
  <c r="D331" i="36"/>
  <c r="D330" i="36"/>
  <c r="D329" i="36"/>
  <c r="D328" i="36"/>
  <c r="D327" i="36"/>
  <c r="D326" i="36"/>
  <c r="D325" i="36"/>
  <c r="D324" i="36"/>
  <c r="D320" i="36"/>
  <c r="D318" i="36"/>
  <c r="D316" i="36"/>
  <c r="D315" i="36"/>
  <c r="D313" i="36"/>
  <c r="D309" i="36"/>
  <c r="D308" i="36"/>
  <c r="D307" i="36"/>
  <c r="D306" i="36"/>
  <c r="D305" i="36"/>
  <c r="D301" i="36"/>
  <c r="D300" i="36"/>
  <c r="D299" i="36"/>
  <c r="D298" i="36"/>
  <c r="D297" i="36"/>
  <c r="D296" i="36"/>
  <c r="D295" i="36"/>
  <c r="D294" i="36"/>
  <c r="D293" i="36"/>
  <c r="D289" i="36"/>
  <c r="D288" i="36"/>
  <c r="D286" i="36"/>
  <c r="D284" i="36"/>
  <c r="D283" i="36"/>
  <c r="D282" i="36"/>
  <c r="D281" i="36"/>
  <c r="D275" i="36"/>
  <c r="D236" i="36" s="1"/>
  <c r="D274" i="36"/>
  <c r="D273" i="36"/>
  <c r="D272" i="36"/>
  <c r="D271" i="36"/>
  <c r="D270" i="36"/>
  <c r="D269" i="36"/>
  <c r="D267" i="36"/>
  <c r="D268" i="36" s="1"/>
  <c r="D266" i="36"/>
  <c r="D265" i="36"/>
  <c r="D264" i="36"/>
  <c r="D263" i="36"/>
  <c r="D262" i="36"/>
  <c r="D261" i="36"/>
  <c r="D260" i="36"/>
  <c r="D259" i="36"/>
  <c r="D258" i="36"/>
  <c r="D257" i="36"/>
  <c r="D256" i="36"/>
  <c r="D255" i="36"/>
  <c r="D254" i="36"/>
  <c r="D253" i="36"/>
  <c r="D252" i="36"/>
  <c r="D251" i="36"/>
  <c r="D250" i="36"/>
  <c r="D249" i="36"/>
  <c r="D248" i="36"/>
  <c r="D247" i="36"/>
  <c r="D246" i="36"/>
  <c r="D245" i="36"/>
  <c r="D244" i="36"/>
  <c r="D243" i="36"/>
  <c r="D242" i="36"/>
  <c r="D241" i="36"/>
  <c r="D240" i="36"/>
  <c r="D208" i="36" s="1"/>
  <c r="D239" i="36"/>
  <c r="D238" i="36"/>
  <c r="D217" i="36" s="1"/>
  <c r="D237" i="36"/>
  <c r="D235" i="36"/>
  <c r="D234" i="36"/>
  <c r="D233" i="36"/>
  <c r="D232" i="36"/>
  <c r="D231" i="36"/>
  <c r="D230" i="36"/>
  <c r="D229" i="36"/>
  <c r="D228" i="36"/>
  <c r="D227" i="36"/>
  <c r="D226" i="36"/>
  <c r="D225" i="36"/>
  <c r="D224" i="36"/>
  <c r="D223" i="36"/>
  <c r="D222" i="36"/>
  <c r="D221" i="36"/>
  <c r="D220" i="36"/>
  <c r="D219" i="36"/>
  <c r="D218" i="36"/>
  <c r="D216" i="36"/>
  <c r="D215" i="36"/>
  <c r="D214" i="36"/>
  <c r="D213" i="36"/>
  <c r="D207" i="36"/>
  <c r="D206" i="36"/>
  <c r="D205" i="36"/>
  <c r="D204" i="36"/>
  <c r="D203" i="36"/>
  <c r="D202" i="36"/>
  <c r="D201" i="36"/>
  <c r="D200" i="36"/>
  <c r="D62" i="36"/>
  <c r="D42" i="36"/>
  <c r="K32" i="36"/>
  <c r="D32" i="36"/>
  <c r="K31" i="36"/>
  <c r="D31" i="36"/>
  <c r="D27" i="36"/>
  <c r="E639" i="5"/>
  <c r="E349" i="5"/>
  <c r="E641" i="5"/>
  <c r="E635" i="5"/>
  <c r="E634" i="5"/>
  <c r="E640" i="5"/>
  <c r="E297" i="5"/>
  <c r="E295" i="5"/>
  <c r="E293" i="5"/>
  <c r="E291" i="5"/>
  <c r="E289" i="5"/>
  <c r="E287" i="5"/>
  <c r="E285" i="5"/>
  <c r="E283" i="5"/>
  <c r="E281" i="5"/>
  <c r="E265" i="5"/>
  <c r="E264" i="5"/>
  <c r="E317" i="5"/>
  <c r="E308" i="5"/>
  <c r="E272" i="5"/>
  <c r="E179" i="5"/>
  <c r="E177" i="5"/>
  <c r="E175" i="5"/>
  <c r="E207" i="5"/>
  <c r="E662" i="5"/>
  <c r="E661" i="5"/>
  <c r="E664" i="5"/>
  <c r="E173" i="5"/>
  <c r="E182" i="5"/>
  <c r="E181" i="5"/>
  <c r="E159" i="5"/>
  <c r="E161" i="5"/>
  <c r="E169" i="5"/>
  <c r="E168" i="5"/>
  <c r="E669" i="5"/>
  <c r="E668" i="5"/>
  <c r="D420" i="9"/>
  <c r="E376" i="5"/>
  <c r="E374" i="5"/>
  <c r="E368" i="5"/>
  <c r="E344" i="5"/>
  <c r="E342" i="5"/>
  <c r="E340" i="5"/>
  <c r="E338" i="5"/>
  <c r="E332" i="5"/>
  <c r="E330" i="5"/>
  <c r="E328" i="5"/>
  <c r="E326" i="5"/>
  <c r="E324" i="5"/>
  <c r="E319" i="5"/>
  <c r="E315" i="5"/>
  <c r="E310" i="5"/>
  <c r="E304" i="5"/>
  <c r="E302" i="5"/>
  <c r="E276" i="5"/>
  <c r="E274" i="5"/>
  <c r="E270" i="5"/>
  <c r="E262" i="5"/>
  <c r="E246" i="5"/>
  <c r="E236" i="5"/>
  <c r="E226" i="5"/>
  <c r="E216" i="5"/>
  <c r="E211" i="5"/>
  <c r="E209" i="5"/>
  <c r="E204" i="5"/>
  <c r="E202" i="5"/>
  <c r="E195" i="5"/>
  <c r="E193" i="5"/>
  <c r="E191" i="5"/>
  <c r="E190" i="5"/>
  <c r="E187" i="5"/>
  <c r="E171" i="5"/>
  <c r="E166" i="5"/>
  <c r="E165" i="5"/>
  <c r="E163" i="5"/>
  <c r="E157" i="5"/>
  <c r="E151" i="5"/>
  <c r="D369" i="9"/>
  <c r="E353" i="5"/>
  <c r="E670" i="5"/>
  <c r="E671" i="5"/>
  <c r="E663" i="5"/>
  <c r="D276" i="36" l="1"/>
  <c r="N439" i="9"/>
  <c r="D212" i="36"/>
  <c r="D277" i="36"/>
  <c r="E357" i="5"/>
  <c r="E355" i="5"/>
  <c r="E795" i="5" l="1"/>
  <c r="E794" i="5"/>
  <c r="E796" i="5"/>
  <c r="E798" i="5"/>
  <c r="E120" i="5"/>
  <c r="E116" i="5"/>
  <c r="E112" i="5"/>
  <c r="E108" i="5"/>
  <c r="E104" i="5"/>
  <c r="E689" i="5"/>
  <c r="E716" i="5"/>
  <c r="E701" i="5"/>
  <c r="E697" i="5"/>
  <c r="E688" i="5"/>
  <c r="E702" i="5"/>
  <c r="E703" i="5"/>
  <c r="E696" i="5"/>
  <c r="E704" i="5"/>
  <c r="E698" i="5"/>
  <c r="E699" i="5"/>
  <c r="E700" i="5"/>
  <c r="E687" i="5" l="1"/>
  <c r="E711" i="5"/>
  <c r="E715" i="5" l="1"/>
  <c r="E709" i="5"/>
  <c r="E708" i="5"/>
  <c r="E714" i="5"/>
  <c r="E712" i="5"/>
  <c r="E710" i="5"/>
  <c r="E723" i="5"/>
  <c r="E724" i="5"/>
  <c r="E720" i="5"/>
  <c r="E721" i="5"/>
  <c r="E722" i="5"/>
  <c r="E713" i="5"/>
  <c r="E677"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tc={D81AC52E-057E-418A-8316-03D86EFA570E}</author>
  </authors>
  <commentList>
    <comment ref="D60" authorId="0" shapeId="0" xr:uid="{00000000-0006-0000-0A00-000001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
      </text>
    </comment>
  </commentList>
</comments>
</file>

<file path=xl/sharedStrings.xml><?xml version="1.0" encoding="utf-8"?>
<sst xmlns="http://schemas.openxmlformats.org/spreadsheetml/2006/main" count="11823" uniqueCount="5576">
  <si>
    <t>Symbol</t>
  </si>
  <si>
    <t>Name</t>
  </si>
  <si>
    <t>Unit</t>
  </si>
  <si>
    <t>Handling</t>
  </si>
  <si>
    <t xml:space="preserve">Equilibrium matrix </t>
  </si>
  <si>
    <t>Expression</t>
  </si>
  <si>
    <t>Elemental composition</t>
  </si>
  <si>
    <t>Chemical formula</t>
  </si>
  <si>
    <t>Charge</t>
  </si>
  <si>
    <t>Reaction</t>
  </si>
  <si>
    <t>The elemental composition matrix should have as many columns as the kinetic matrix (minus Rate and Reaction)</t>
  </si>
  <si>
    <t>pH</t>
  </si>
  <si>
    <t>Influent</t>
  </si>
  <si>
    <t>Initial concentration</t>
  </si>
  <si>
    <t>Phase</t>
  </si>
  <si>
    <t>IS</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</si>
  <si>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</si>
  <si>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</si>
  <si>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</si>
  <si>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</si>
  <si>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</si>
  <si>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</si>
  <si>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</si>
  <si>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</si>
  <si>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</si>
  <si>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</si>
  <si>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</si>
  <si>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</si>
  <si>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</si>
  <si>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</si>
  <si>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</si>
  <si>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</si>
  <si>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</si>
  <si>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</si>
  <si>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</si>
  <si>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</si>
  <si>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</si>
  <si>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</si>
  <si>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</si>
  <si>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</si>
  <si>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</si>
  <si>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</si>
  <si>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</si>
  <si>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</si>
  <si>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</si>
  <si>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</si>
  <si>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</si>
  <si>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</si>
  <si>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</si>
  <si>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</si>
  <si>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</si>
  <si>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</si>
  <si>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</si>
  <si>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</si>
  <si>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</si>
  <si>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</si>
  <si>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</si>
  <si>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</si>
  <si>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</si>
  <si>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</si>
  <si>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</si>
  <si>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</si>
  <si>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</si>
  <si>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</si>
  <si>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</si>
  <si>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</si>
  <si>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</si>
  <si>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</si>
  <si>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</si>
  <si>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</si>
  <si>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</si>
  <si>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</si>
  <si>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</si>
  <si>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</si>
  <si>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</si>
  <si>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</si>
  <si>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</si>
  <si>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</si>
  <si>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</si>
  <si>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</si>
  <si>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</si>
  <si>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</si>
  <si>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</si>
  <si>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</si>
  <si>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</si>
  <si>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</si>
  <si>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</si>
  <si>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</si>
  <si>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</si>
  <si>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</si>
  <si>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</si>
  <si>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</si>
  <si>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</si>
  <si>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</si>
  <si>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</si>
  <si>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</si>
  <si>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</si>
  <si>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</si>
  <si>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</si>
  <si>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</si>
  <si>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</si>
  <si>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</si>
  <si>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</si>
  <si>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</si>
  <si>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</si>
  <si>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</si>
  <si>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</si>
  <si>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</si>
  <si>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</si>
  <si>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</si>
  <si>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</si>
  <si>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</si>
  <si>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</si>
  <si>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</si>
  <si>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</si>
  <si>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</si>
  <si>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</si>
  <si>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</si>
  <si>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</si>
  <si>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</si>
  <si>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</si>
  <si>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</si>
  <si>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</si>
  <si>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</si>
  <si>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</si>
  <si>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</si>
  <si>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</si>
  <si>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</si>
  <si>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</si>
  <si>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</si>
  <si>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</si>
  <si>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</si>
  <si>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</si>
  <si>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</si>
  <si>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</si>
  <si>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</si>
  <si>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</si>
  <si>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</si>
  <si>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</si>
  <si>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</si>
  <si>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</si>
  <si>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</si>
  <si>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</si>
  <si>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</si>
  <si>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</si>
  <si>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</si>
  <si>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</si>
  <si>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</si>
  <si>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</si>
  <si>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</si>
  <si>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</si>
  <si>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</si>
  <si>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</si>
  <si>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</si>
  <si>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</si>
  <si>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</si>
  <si>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</si>
  <si>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</si>
  <si>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</si>
  <si>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</si>
  <si>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</si>
  <si>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</si>
  <si>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</si>
  <si>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</si>
  <si>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</si>
  <si>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</si>
  <si>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</si>
  <si>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</si>
  <si>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</si>
  <si>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</si>
  <si>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</si>
  <si>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</si>
  <si>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</si>
  <si>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</si>
  <si>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</si>
  <si>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</si>
  <si>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</si>
  <si>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</si>
  <si>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</si>
  <si>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</si>
  <si>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</si>
  <si>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</si>
  <si>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</si>
  <si>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</si>
  <si>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</si>
  <si>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</si>
  <si>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</si>
  <si>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</si>
  <si>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</si>
  <si>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</si>
  <si>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</si>
  <si>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</si>
  <si>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</si>
  <si>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</si>
  <si>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</si>
  <si>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</si>
  <si>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</si>
  <si>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</si>
  <si>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</si>
  <si>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</si>
  <si>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</si>
  <si>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</si>
  <si>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</si>
  <si>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</si>
  <si>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</si>
  <si>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</si>
  <si>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</si>
  <si>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</si>
  <si>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</si>
  <si>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</si>
  <si>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</si>
  <si>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</si>
  <si>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</si>
  <si>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</si>
  <si>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Colloidal biodegradable substrate</t>
  </si>
  <si>
    <t>Slowly biodegradable substrate</t>
  </si>
  <si>
    <t>Soluble unbiodegradable organics</t>
  </si>
  <si>
    <t>Colloidal unbiodegradable organics</t>
  </si>
  <si>
    <t>Particulate unbiodegradable organics</t>
  </si>
  <si>
    <t>Endogenous decay products</t>
  </si>
  <si>
    <t>Hydrolysis</t>
  </si>
  <si>
    <t>Fermentation</t>
  </si>
  <si>
    <t>Enhanced biological phosphorus removal (based on Barker-Dold approach)</t>
  </si>
  <si>
    <t>Anoxic methylotrophs</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</si>
  <si>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</si>
  <si>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</si>
  <si>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</si>
  <si>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</si>
  <si>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</si>
  <si>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</si>
  <si>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</si>
  <si>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</si>
  <si>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</si>
  <si>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</si>
  <si>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</si>
  <si>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</si>
  <si>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</si>
  <si>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</si>
  <si>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</si>
  <si>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</si>
  <si>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</si>
  <si>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</si>
  <si>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</si>
  <si>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</si>
  <si>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</si>
  <si>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</si>
  <si>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</si>
  <si>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</si>
  <si>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</si>
  <si>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</si>
  <si>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</si>
  <si>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</si>
  <si>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</si>
  <si>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r32</t>
  </si>
  <si>
    <t>r33</t>
  </si>
  <si>
    <t>N</t>
  </si>
  <si>
    <t>P</t>
  </si>
  <si>
    <t>L</t>
  </si>
  <si>
    <t>S</t>
  </si>
  <si>
    <t>C</t>
  </si>
  <si>
    <t>X</t>
  </si>
  <si>
    <t>Integrated</t>
  </si>
  <si>
    <t>Atomic mass of oxygen</t>
  </si>
  <si>
    <t>Atomic mass of nitrogen</t>
  </si>
  <si>
    <t>base is ammonia</t>
  </si>
  <si>
    <t>Atomic mass of iron</t>
  </si>
  <si>
    <t>Atomic mass of aluminium</t>
  </si>
  <si>
    <t>Atomic mass of phosphorus</t>
  </si>
  <si>
    <t>MRsat(s;x;k)</t>
  </si>
  <si>
    <t>Monod ratio saturation</t>
  </si>
  <si>
    <t>MRinh(s;x;k)</t>
  </si>
  <si>
    <t>Monod ratio inhibition</t>
  </si>
  <si>
    <t>Atomic mass of hydrogen</t>
  </si>
  <si>
    <t>TSS content of PP</t>
  </si>
  <si>
    <t>Particulate unbiodegradable organic N</t>
  </si>
  <si>
    <t>Maximum specific growth rate of OHOs</t>
  </si>
  <si>
    <t>Temperature dependency</t>
  </si>
  <si>
    <t>N content of biomasses</t>
  </si>
  <si>
    <t>P content of biomasses</t>
  </si>
  <si>
    <t>Atomic mass of carbon</t>
  </si>
  <si>
    <t>Temperature calculations</t>
  </si>
  <si>
    <t>Arrhenius base temperature</t>
  </si>
  <si>
    <t>COD of all biomasses</t>
  </si>
  <si>
    <t>-</t>
  </si>
  <si>
    <t>Temperature sensitvity</t>
  </si>
  <si>
    <t>T</t>
  </si>
  <si>
    <t>Chemical P removal (based on SCM approach)</t>
  </si>
  <si>
    <t>Anaerobic digestion</t>
  </si>
  <si>
    <t>Struvite precipitation</t>
  </si>
  <si>
    <t>OHO decay</t>
  </si>
  <si>
    <t>MEOLO decay</t>
  </si>
  <si>
    <t>Readily biodegradable substrate (non-VFA)</t>
  </si>
  <si>
    <t>r34</t>
  </si>
  <si>
    <t>Atomic mass of sodium</t>
  </si>
  <si>
    <t>Anaerobic methanol conversion</t>
  </si>
  <si>
    <t>HMETO decay</t>
  </si>
  <si>
    <t>AMETO decay</t>
  </si>
  <si>
    <t>2CH3OH -&gt; CH3COOH + 2H2</t>
  </si>
  <si>
    <t>r35</t>
  </si>
  <si>
    <r>
      <t>Total inorganic carbon (CO</t>
    </r>
    <r>
      <rPr>
        <vertAlign val="subscript"/>
        <sz val="11"/>
        <color rgb="FF000000"/>
        <rFont val="Calibri"/>
        <family val="2"/>
        <scheme val="minor"/>
      </rPr>
      <t>2</t>
    </r>
    <r>
      <rPr>
        <sz val="11"/>
        <color rgb="FF000000"/>
        <rFont val="Calibri"/>
        <family val="2"/>
        <charset val="238"/>
        <scheme val="minor"/>
      </rPr>
      <t>)</t>
    </r>
  </si>
  <si>
    <t>Decimals</t>
  </si>
  <si>
    <t>Type(Kinetic)</t>
  </si>
  <si>
    <t>Conversion kinetics</t>
  </si>
  <si>
    <t>Common switches</t>
  </si>
  <si>
    <t>AMETO growth</t>
  </si>
  <si>
    <t>HMETO growth</t>
  </si>
  <si>
    <t>Maximum specific growth rate of AMETO</t>
  </si>
  <si>
    <t>CO2+4H2 -&gt; CH4+2H2O</t>
  </si>
  <si>
    <t>Dissociation of water</t>
  </si>
  <si>
    <t>10^(-pH)</t>
  </si>
  <si>
    <t>Ionization of ammonia</t>
  </si>
  <si>
    <t>Nitrate fully dissociated</t>
  </si>
  <si>
    <t>Sodium fully dissociated</t>
  </si>
  <si>
    <t>Chloride fully dissociated</t>
  </si>
  <si>
    <t>Carbonate dissociation</t>
  </si>
  <si>
    <t>Phosphate dissociation</t>
  </si>
  <si>
    <t>VFA (HAc) dissociation</t>
  </si>
  <si>
    <t>Type(Stoichiometric)</t>
  </si>
  <si>
    <t>Charge balance</t>
  </si>
  <si>
    <t>Type(Equilibrium)</t>
  </si>
  <si>
    <t>Calculated variables</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</si>
  <si>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</si>
  <si>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</si>
  <si>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</si>
  <si>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</si>
  <si>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</si>
  <si>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</si>
  <si>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</si>
  <si>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Total chemical oxygen demand</t>
  </si>
  <si>
    <t>Uptake rates</t>
  </si>
  <si>
    <t>OUR</t>
  </si>
  <si>
    <t>Reactive</t>
  </si>
  <si>
    <t>Nitrate uptake rate (N3UR)</t>
  </si>
  <si>
    <t>AUR</t>
  </si>
  <si>
    <t>Ammonia uptake rate (AUR)</t>
  </si>
  <si>
    <t>Total Kjeldahl nitrogen (TKN)</t>
  </si>
  <si>
    <r>
      <t>g N.m</t>
    </r>
    <r>
      <rPr>
        <vertAlign val="superscript"/>
        <sz val="11"/>
        <rFont val="Calibri"/>
        <family val="2"/>
      </rPr>
      <t>-3</t>
    </r>
  </si>
  <si>
    <t>Total nitrogen</t>
  </si>
  <si>
    <t>Activity coefficients</t>
  </si>
  <si>
    <r>
      <t>f</t>
    </r>
    <r>
      <rPr>
        <vertAlign val="subscript"/>
        <sz val="11"/>
        <rFont val="Calibri"/>
        <family val="2"/>
        <scheme val="minor"/>
      </rPr>
      <t>mono</t>
    </r>
  </si>
  <si>
    <t>Monovalent activity coefficient</t>
  </si>
  <si>
    <r>
      <t>f</t>
    </r>
    <r>
      <rPr>
        <vertAlign val="subscript"/>
        <sz val="11"/>
        <rFont val="Calibri"/>
        <family val="2"/>
        <scheme val="minor"/>
      </rPr>
      <t>di</t>
    </r>
  </si>
  <si>
    <t>Divalent activity coefficient</t>
  </si>
  <si>
    <r>
      <t>f</t>
    </r>
    <r>
      <rPr>
        <vertAlign val="subscript"/>
        <sz val="11"/>
        <rFont val="Calibri"/>
        <family val="2"/>
        <scheme val="minor"/>
      </rPr>
      <t>tri</t>
    </r>
  </si>
  <si>
    <t>Trivalent activity coefficient</t>
  </si>
  <si>
    <r>
      <t>K</t>
    </r>
    <r>
      <rPr>
        <vertAlign val="subscript"/>
        <sz val="11"/>
        <rFont val="Calibri"/>
        <family val="2"/>
        <scheme val="minor"/>
      </rPr>
      <t>W</t>
    </r>
  </si>
  <si>
    <r>
      <t>K</t>
    </r>
    <r>
      <rPr>
        <vertAlign val="subscript"/>
        <sz val="11"/>
        <rFont val="Calibri"/>
        <family val="2"/>
        <scheme val="minor"/>
      </rPr>
      <t>C1</t>
    </r>
  </si>
  <si>
    <r>
      <t>K</t>
    </r>
    <r>
      <rPr>
        <vertAlign val="subscript"/>
        <sz val="11"/>
        <rFont val="Calibri"/>
        <family val="2"/>
        <scheme val="minor"/>
      </rPr>
      <t>C2</t>
    </r>
  </si>
  <si>
    <t>Yield on ultimate BOD</t>
  </si>
  <si>
    <t>Particulate biochemical oxygen demand (5 days)</t>
  </si>
  <si>
    <t>Total biochemical oxygen demand (5 days)</t>
  </si>
  <si>
    <r>
      <t>SC</t>
    </r>
    <r>
      <rPr>
        <vertAlign val="subscript"/>
        <sz val="11"/>
        <rFont val="Calibri"/>
        <family val="2"/>
        <scheme val="minor"/>
      </rPr>
      <t>COD</t>
    </r>
  </si>
  <si>
    <t>Filtered flocculated chemical oxygen demand</t>
  </si>
  <si>
    <r>
      <t>g O2.m</t>
    </r>
    <r>
      <rPr>
        <vertAlign val="superscript"/>
        <sz val="11"/>
        <rFont val="Calibri"/>
        <family val="2"/>
        <scheme val="minor"/>
      </rPr>
      <t>-3</t>
    </r>
    <r>
      <rPr>
        <sz val="11"/>
        <rFont val="Calibri"/>
        <family val="2"/>
        <scheme val="minor"/>
      </rPr>
      <t>.d</t>
    </r>
    <r>
      <rPr>
        <vertAlign val="superscript"/>
        <sz val="11"/>
        <rFont val="Calibri"/>
        <family val="2"/>
        <scheme val="minor"/>
      </rPr>
      <t>-1</t>
    </r>
  </si>
  <si>
    <t>Magnesium</t>
  </si>
  <si>
    <r>
      <t>X</t>
    </r>
    <r>
      <rPr>
        <b/>
        <vertAlign val="subscript"/>
        <sz val="12"/>
        <rFont val="Calibri"/>
        <family val="2"/>
        <scheme val="minor"/>
      </rPr>
      <t>STR</t>
    </r>
  </si>
  <si>
    <r>
      <t>K</t>
    </r>
    <r>
      <rPr>
        <vertAlign val="subscript"/>
        <sz val="11"/>
        <rFont val="Calibri"/>
        <family val="2"/>
        <scheme val="minor"/>
      </rPr>
      <t>P1</t>
    </r>
  </si>
  <si>
    <r>
      <t>K</t>
    </r>
    <r>
      <rPr>
        <vertAlign val="subscript"/>
        <sz val="11"/>
        <rFont val="Calibri"/>
        <family val="2"/>
        <scheme val="minor"/>
      </rPr>
      <t>P2</t>
    </r>
  </si>
  <si>
    <r>
      <t>K</t>
    </r>
    <r>
      <rPr>
        <vertAlign val="subscript"/>
        <sz val="11"/>
        <rFont val="Calibri"/>
        <family val="2"/>
        <scheme val="minor"/>
      </rPr>
      <t>P3</t>
    </r>
  </si>
  <si>
    <r>
      <t>g TSS.m</t>
    </r>
    <r>
      <rPr>
        <vertAlign val="superscript"/>
        <sz val="11"/>
        <rFont val="Calibri"/>
        <family val="2"/>
      </rPr>
      <t>-3</t>
    </r>
  </si>
  <si>
    <r>
      <t>AM</t>
    </r>
    <r>
      <rPr>
        <vertAlign val="subscript"/>
        <sz val="11"/>
        <rFont val="Calibri"/>
        <family val="2"/>
        <scheme val="minor"/>
      </rPr>
      <t>C</t>
    </r>
  </si>
  <si>
    <r>
      <t>g.mol</t>
    </r>
    <r>
      <rPr>
        <vertAlign val="superscript"/>
        <sz val="11"/>
        <rFont val="Calibri"/>
        <family val="2"/>
        <scheme val="minor"/>
      </rPr>
      <t>-1</t>
    </r>
  </si>
  <si>
    <r>
      <t>AM</t>
    </r>
    <r>
      <rPr>
        <vertAlign val="subscript"/>
        <sz val="11"/>
        <rFont val="Calibri"/>
        <family val="2"/>
        <scheme val="minor"/>
      </rPr>
      <t>P</t>
    </r>
  </si>
  <si>
    <r>
      <t>AM</t>
    </r>
    <r>
      <rPr>
        <vertAlign val="subscript"/>
        <sz val="11"/>
        <rFont val="Calibri"/>
        <family val="2"/>
        <scheme val="minor"/>
      </rPr>
      <t>N</t>
    </r>
  </si>
  <si>
    <r>
      <t>AM</t>
    </r>
    <r>
      <rPr>
        <vertAlign val="subscript"/>
        <sz val="11"/>
        <rFont val="Calibri"/>
        <family val="2"/>
        <scheme val="minor"/>
      </rPr>
      <t>O</t>
    </r>
  </si>
  <si>
    <r>
      <t>AM</t>
    </r>
    <r>
      <rPr>
        <vertAlign val="subscript"/>
        <sz val="11"/>
        <rFont val="Calibri"/>
        <family val="2"/>
        <scheme val="minor"/>
      </rPr>
      <t>Ca</t>
    </r>
  </si>
  <si>
    <t>Atomic mass of calcium</t>
  </si>
  <si>
    <r>
      <rPr>
        <sz val="11"/>
        <rFont val="Calibri"/>
        <family val="2"/>
        <scheme val="minor"/>
      </rPr>
      <t>AM</t>
    </r>
    <r>
      <rPr>
        <vertAlign val="subscript"/>
        <sz val="11"/>
        <rFont val="Calibri"/>
        <family val="2"/>
        <scheme val="minor"/>
      </rPr>
      <t>Fe</t>
    </r>
  </si>
  <si>
    <r>
      <t>AM</t>
    </r>
    <r>
      <rPr>
        <vertAlign val="subscript"/>
        <sz val="11"/>
        <rFont val="Calibri"/>
        <family val="2"/>
        <scheme val="minor"/>
      </rPr>
      <t>Al</t>
    </r>
  </si>
  <si>
    <r>
      <t>AM</t>
    </r>
    <r>
      <rPr>
        <vertAlign val="subscript"/>
        <sz val="11"/>
        <rFont val="Calibri"/>
        <family val="2"/>
        <scheme val="minor"/>
      </rPr>
      <t>H</t>
    </r>
  </si>
  <si>
    <r>
      <t>AM</t>
    </r>
    <r>
      <rPr>
        <vertAlign val="subscript"/>
        <sz val="11"/>
        <rFont val="Calibri"/>
        <family val="2"/>
        <scheme val="minor"/>
      </rPr>
      <t>Na</t>
    </r>
  </si>
  <si>
    <r>
      <t>AM</t>
    </r>
    <r>
      <rPr>
        <vertAlign val="subscript"/>
        <sz val="11"/>
        <rFont val="Calibri"/>
        <family val="2"/>
        <scheme val="minor"/>
      </rPr>
      <t>Cl</t>
    </r>
  </si>
  <si>
    <t>Atomic mass of chlorine</t>
  </si>
  <si>
    <t>Newton-Raphson</t>
  </si>
  <si>
    <t>Target</t>
  </si>
  <si>
    <t>Minimum</t>
  </si>
  <si>
    <t>Maximum</t>
  </si>
  <si>
    <t>chargebalanceerror</t>
  </si>
  <si>
    <t>pHunit</t>
  </si>
  <si>
    <t>Ionic strength (IS)</t>
  </si>
  <si>
    <t>ISerror</t>
  </si>
  <si>
    <t>ISunit</t>
  </si>
  <si>
    <t>Key cation component</t>
  </si>
  <si>
    <t>0</t>
  </si>
  <si>
    <r>
      <t>mol.L</t>
    </r>
    <r>
      <rPr>
        <vertAlign val="superscript"/>
        <sz val="11"/>
        <rFont val="Calibri"/>
        <family val="2"/>
        <scheme val="minor"/>
      </rPr>
      <t>-1</t>
    </r>
  </si>
  <si>
    <t>Fit ionic strength</t>
  </si>
  <si>
    <r>
      <t>S</t>
    </r>
    <r>
      <rPr>
        <vertAlign val="subscript"/>
        <sz val="11"/>
        <rFont val="Calibri"/>
        <family val="2"/>
        <scheme val="minor"/>
      </rPr>
      <t>CO2</t>
    </r>
  </si>
  <si>
    <t>Main buffer system component</t>
  </si>
  <si>
    <t>SCO2error</t>
  </si>
  <si>
    <t>chargebalance</t>
  </si>
  <si>
    <t>Ionic strength error</t>
  </si>
  <si>
    <t>Alkalinity error for CO2 calculation</t>
  </si>
  <si>
    <r>
      <t>S</t>
    </r>
    <r>
      <rPr>
        <vertAlign val="subscript"/>
        <sz val="11"/>
        <rFont val="Calibri"/>
        <family val="2"/>
        <scheme val="minor"/>
      </rPr>
      <t>ALK</t>
    </r>
    <r>
      <rPr>
        <sz val="11"/>
        <rFont val="Calibri"/>
        <family val="2"/>
        <scheme val="minor"/>
      </rPr>
      <t>-S</t>
    </r>
    <r>
      <rPr>
        <vertAlign val="subscript"/>
        <sz val="11"/>
        <rFont val="Calibri"/>
        <family val="2"/>
        <scheme val="minor"/>
      </rPr>
      <t>ALK,input</t>
    </r>
  </si>
  <si>
    <t>Charge balance and ionic strength</t>
  </si>
  <si>
    <t>Alkalinity (ALK)</t>
  </si>
  <si>
    <t>Equilibrium species</t>
  </si>
  <si>
    <r>
      <t>[H</t>
    </r>
    <r>
      <rPr>
        <b/>
        <vertAlign val="superscript"/>
        <sz val="11"/>
        <rFont val="Calibri"/>
        <family val="2"/>
      </rPr>
      <t>+</t>
    </r>
    <r>
      <rPr>
        <b/>
        <sz val="11"/>
        <rFont val="Calibri"/>
        <family val="2"/>
      </rPr>
      <t>]</t>
    </r>
  </si>
  <si>
    <t>Proton</t>
  </si>
  <si>
    <r>
      <t>[OH</t>
    </r>
    <r>
      <rPr>
        <b/>
        <vertAlign val="superscript"/>
        <sz val="11"/>
        <rFont val="Calibri"/>
        <family val="2"/>
      </rPr>
      <t>-</t>
    </r>
    <r>
      <rPr>
        <b/>
        <sz val="11"/>
        <rFont val="Calibri"/>
        <family val="2"/>
      </rPr>
      <t>]</t>
    </r>
  </si>
  <si>
    <t>Hydroxide ion</t>
  </si>
  <si>
    <r>
      <t>[NH</t>
    </r>
    <r>
      <rPr>
        <b/>
        <vertAlign val="subscript"/>
        <sz val="11"/>
        <rFont val="Calibri"/>
        <family val="2"/>
      </rPr>
      <t>3</t>
    </r>
    <r>
      <rPr>
        <b/>
        <sz val="11"/>
        <rFont val="Calibri"/>
        <family val="2"/>
      </rPr>
      <t>]</t>
    </r>
  </si>
  <si>
    <t>Free ammonia</t>
  </si>
  <si>
    <r>
      <t>[NH</t>
    </r>
    <r>
      <rPr>
        <b/>
        <vertAlign val="subscript"/>
        <sz val="11"/>
        <rFont val="Calibri"/>
        <family val="2"/>
      </rPr>
      <t>4</t>
    </r>
    <r>
      <rPr>
        <b/>
        <vertAlign val="superscript"/>
        <sz val="11"/>
        <rFont val="Calibri"/>
        <family val="2"/>
      </rPr>
      <t>+</t>
    </r>
    <r>
      <rPr>
        <b/>
        <sz val="11"/>
        <rFont val="Calibri"/>
        <family val="2"/>
      </rPr>
      <t>]</t>
    </r>
  </si>
  <si>
    <t>Ammonium</t>
  </si>
  <si>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</si>
  <si>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t>Carbonic acid</t>
  </si>
  <si>
    <r>
      <t>[HCO</t>
    </r>
    <r>
      <rPr>
        <b/>
        <vertAlign val="subscript"/>
        <sz val="11"/>
        <rFont val="Calibri"/>
        <family val="2"/>
      </rPr>
      <t>3</t>
    </r>
    <r>
      <rPr>
        <b/>
        <vertAlign val="superscript"/>
        <sz val="11"/>
        <rFont val="Calibri"/>
        <family val="2"/>
      </rPr>
      <t>-</t>
    </r>
    <r>
      <rPr>
        <b/>
        <sz val="11"/>
        <rFont val="Calibri"/>
        <family val="2"/>
      </rPr>
      <t>]</t>
    </r>
  </si>
  <si>
    <t>Bicarbonate ion</t>
  </si>
  <si>
    <r>
      <t>[CO</t>
    </r>
    <r>
      <rPr>
        <b/>
        <vertAlign val="subscript"/>
        <sz val="11"/>
        <rFont val="Calibri"/>
        <family val="2"/>
      </rPr>
      <t>3</t>
    </r>
    <r>
      <rPr>
        <b/>
        <vertAlign val="superscript"/>
        <sz val="11"/>
        <rFont val="Calibri"/>
        <family val="2"/>
      </rPr>
      <t>2-</t>
    </r>
    <r>
      <rPr>
        <b/>
        <sz val="11"/>
        <rFont val="Calibri"/>
        <family val="2"/>
      </rPr>
      <t>]</t>
    </r>
  </si>
  <si>
    <t>Carbonate ion</t>
  </si>
  <si>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</si>
  <si>
    <t>Phosphoric acid</t>
  </si>
  <si>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</si>
  <si>
    <t>Dihydrogen phosphate ion</t>
  </si>
  <si>
    <r>
      <t>[HPO</t>
    </r>
    <r>
      <rPr>
        <b/>
        <vertAlign val="subscript"/>
        <sz val="11"/>
        <rFont val="Calibri"/>
        <family val="2"/>
      </rPr>
      <t>4</t>
    </r>
    <r>
      <rPr>
        <b/>
        <vertAlign val="superscript"/>
        <sz val="11"/>
        <rFont val="Calibri"/>
        <family val="2"/>
      </rPr>
      <t>2-</t>
    </r>
    <r>
      <rPr>
        <b/>
        <sz val="11"/>
        <rFont val="Calibri"/>
        <family val="2"/>
      </rPr>
      <t>]</t>
    </r>
  </si>
  <si>
    <t>Hydrogen phosphate ion</t>
  </si>
  <si>
    <r>
      <t>[PO</t>
    </r>
    <r>
      <rPr>
        <b/>
        <vertAlign val="subscript"/>
        <sz val="11"/>
        <rFont val="Calibri"/>
        <family val="2"/>
      </rPr>
      <t>4</t>
    </r>
    <r>
      <rPr>
        <b/>
        <vertAlign val="superscript"/>
        <sz val="11"/>
        <rFont val="Calibri"/>
        <family val="2"/>
      </rPr>
      <t>3-</t>
    </r>
    <r>
      <rPr>
        <b/>
        <sz val="11"/>
        <rFont val="Calibri"/>
        <family val="2"/>
      </rPr>
      <t>]</t>
    </r>
  </si>
  <si>
    <t>Phosphate ion</t>
  </si>
  <si>
    <t>[HAc]</t>
  </si>
  <si>
    <t>Acetic acid</t>
  </si>
  <si>
    <r>
      <t>[Ac</t>
    </r>
    <r>
      <rPr>
        <b/>
        <vertAlign val="superscript"/>
        <sz val="11"/>
        <rFont val="Calibri"/>
        <family val="2"/>
      </rPr>
      <t>-</t>
    </r>
    <r>
      <rPr>
        <b/>
        <sz val="11"/>
        <rFont val="Calibri"/>
        <family val="2"/>
      </rPr>
      <t>]</t>
    </r>
  </si>
  <si>
    <t>Acetate ion</t>
  </si>
  <si>
    <t>Nitrate ion</t>
  </si>
  <si>
    <r>
      <t>[NO</t>
    </r>
    <r>
      <rPr>
        <b/>
        <vertAlign val="subscript"/>
        <sz val="11"/>
        <rFont val="Calibri"/>
        <family val="2"/>
      </rPr>
      <t>3</t>
    </r>
    <r>
      <rPr>
        <b/>
        <vertAlign val="superscript"/>
        <sz val="11"/>
        <rFont val="Calibri"/>
        <family val="2"/>
      </rPr>
      <t>-</t>
    </r>
    <r>
      <rPr>
        <b/>
        <sz val="11"/>
        <rFont val="Calibri"/>
        <family val="2"/>
      </rPr>
      <t>]</t>
    </r>
  </si>
  <si>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</si>
  <si>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</si>
  <si>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diss</t>
    </r>
    <r>
      <rPr>
        <vertAlign val="subscript"/>
        <sz val="11"/>
        <rFont val="Calibri"/>
        <family val="2"/>
      </rPr>
      <t>CO2</t>
    </r>
  </si>
  <si>
    <r>
      <t>diss</t>
    </r>
    <r>
      <rPr>
        <vertAlign val="subscript"/>
        <sz val="11"/>
        <rFont val="Calibri"/>
        <family val="2"/>
      </rPr>
      <t>PO4</t>
    </r>
  </si>
  <si>
    <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</si>
  <si>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]^2*K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t>
    </r>
  </si>
  <si>
    <r>
      <t>[H</t>
    </r>
    <r>
      <rPr>
        <vertAlign val="superscript"/>
        <sz val="11"/>
        <rFont val="Calibri"/>
        <family val="2"/>
      </rPr>
      <t>+</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</si>
  <si>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K</t>
    </r>
    <r>
      <rPr>
        <vertAlign val="subscript"/>
        <sz val="11"/>
        <rFont val="Calibri"/>
        <family val="2"/>
      </rPr>
      <t>P3</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]^3+[H</t>
    </r>
    <r>
      <rPr>
        <vertAlign val="superscript"/>
        <sz val="11"/>
        <rFont val="Calibri"/>
        <family val="2"/>
      </rPr>
      <t>+</t>
    </r>
    <r>
      <rPr>
        <sz val="11"/>
        <rFont val="Calibri"/>
        <family val="2"/>
      </rPr>
      <t>]^2*K</t>
    </r>
    <r>
      <rPr>
        <vertAlign val="subscript"/>
        <sz val="11"/>
        <rFont val="Calibri"/>
        <family val="2"/>
      </rPr>
      <t>P1</t>
    </r>
    <r>
      <rPr>
        <sz val="11"/>
        <rFont val="Calibri"/>
        <family val="2"/>
      </rPr>
      <t>+K</t>
    </r>
    <r>
      <rPr>
        <vertAlign val="subscript"/>
        <sz val="11"/>
        <rFont val="Calibri"/>
        <family val="2"/>
      </rPr>
      <t>P2</t>
    </r>
    <r>
      <rPr>
        <sz val="11"/>
        <rFont val="Calibri"/>
        <family val="2"/>
      </rPr>
      <t>*[H</t>
    </r>
    <r>
      <rPr>
        <vertAlign val="superscript"/>
        <sz val="11"/>
        <rFont val="Calibri"/>
        <family val="2"/>
      </rPr>
      <t>+</t>
    </r>
    <r>
      <rPr>
        <sz val="11"/>
        <rFont val="Calibri"/>
        <family val="2"/>
      </rPr>
      <t>]*K</t>
    </r>
    <r>
      <rPr>
        <vertAlign val="subscript"/>
        <sz val="11"/>
        <rFont val="Calibri"/>
        <family val="2"/>
      </rPr>
      <t>P1</t>
    </r>
    <r>
      <rPr>
        <sz val="11"/>
        <rFont val="Calibri"/>
        <family val="2"/>
      </rPr>
      <t>+K</t>
    </r>
    <r>
      <rPr>
        <vertAlign val="subscript"/>
        <sz val="11"/>
        <rFont val="Calibri"/>
        <family val="2"/>
      </rPr>
      <t>P2</t>
    </r>
    <r>
      <rPr>
        <sz val="11"/>
        <rFont val="Calibri"/>
        <family val="2"/>
      </rPr>
      <t>*K</t>
    </r>
    <r>
      <rPr>
        <vertAlign val="subscript"/>
        <sz val="11"/>
        <rFont val="Calibri"/>
        <family val="2"/>
      </rPr>
      <t>P1</t>
    </r>
    <r>
      <rPr>
        <sz val="11"/>
        <rFont val="Calibri"/>
        <family val="2"/>
      </rPr>
      <t>*K</t>
    </r>
    <r>
      <rPr>
        <vertAlign val="subscript"/>
        <sz val="11"/>
        <rFont val="Calibri"/>
        <family val="2"/>
      </rPr>
      <t>P3</t>
    </r>
    <r>
      <rPr>
        <sz val="11"/>
        <rFont val="Calibri"/>
        <family val="2"/>
      </rPr>
      <t>)*K</t>
    </r>
    <r>
      <rPr>
        <vertAlign val="subscript"/>
        <sz val="11"/>
        <rFont val="Calibri"/>
        <family val="2"/>
      </rPr>
      <t>P1</t>
    </r>
    <r>
      <rPr>
        <sz val="11"/>
        <rFont val="Calibri"/>
        <family val="2"/>
      </rPr>
      <t>*S</t>
    </r>
    <r>
      <rPr>
        <vertAlign val="subscript"/>
        <sz val="11"/>
        <rFont val="Calibri"/>
        <family val="2"/>
      </rPr>
      <t>PO4</t>
    </r>
    <r>
      <rPr>
        <sz val="11"/>
        <rFont val="Calibri"/>
        <family val="2"/>
      </rPr>
      <t>/(AM</t>
    </r>
    <r>
      <rPr>
        <vertAlign val="subscript"/>
        <sz val="11"/>
        <rFont val="Calibri"/>
        <family val="2"/>
      </rPr>
      <t>P</t>
    </r>
    <r>
      <rPr>
        <sz val="11"/>
        <rFont val="Calibri"/>
        <family val="2"/>
      </rPr>
      <t>*1000)</t>
    </r>
  </si>
  <si>
    <r>
      <t>diss</t>
    </r>
    <r>
      <rPr>
        <vertAlign val="subscript"/>
        <sz val="11"/>
        <rFont val="Calibri"/>
        <family val="2"/>
      </rPr>
      <t>VFA</t>
    </r>
  </si>
  <si>
    <r>
      <t>map</t>
    </r>
    <r>
      <rPr>
        <vertAlign val="subscript"/>
        <sz val="11"/>
        <rFont val="Calibri"/>
        <family val="2"/>
      </rPr>
      <t>Na</t>
    </r>
  </si>
  <si>
    <r>
      <t>map</t>
    </r>
    <r>
      <rPr>
        <vertAlign val="subscript"/>
        <sz val="11"/>
        <rFont val="Calibri"/>
        <family val="2"/>
      </rPr>
      <t>Cl</t>
    </r>
  </si>
  <si>
    <r>
      <t>G</t>
    </r>
    <r>
      <rPr>
        <b/>
        <vertAlign val="subscript"/>
        <sz val="11"/>
        <rFont val="Calibri"/>
        <family val="2"/>
        <charset val="238"/>
      </rPr>
      <t>CO2</t>
    </r>
  </si>
  <si>
    <t>G</t>
  </si>
  <si>
    <r>
      <t>G</t>
    </r>
    <r>
      <rPr>
        <b/>
        <vertAlign val="subscript"/>
        <sz val="11"/>
        <rFont val="Calibri"/>
        <family val="2"/>
        <charset val="238"/>
      </rPr>
      <t>CH4</t>
    </r>
  </si>
  <si>
    <r>
      <t>G</t>
    </r>
    <r>
      <rPr>
        <b/>
        <vertAlign val="subscript"/>
        <sz val="11"/>
        <rFont val="Calibri"/>
        <family val="2"/>
        <charset val="238"/>
      </rPr>
      <t>H2</t>
    </r>
  </si>
  <si>
    <r>
      <t>G</t>
    </r>
    <r>
      <rPr>
        <b/>
        <vertAlign val="subscript"/>
        <sz val="11"/>
        <rFont val="Calibri"/>
        <family val="2"/>
        <charset val="238"/>
      </rPr>
      <t>O2</t>
    </r>
  </si>
  <si>
    <r>
      <t>G</t>
    </r>
    <r>
      <rPr>
        <b/>
        <vertAlign val="subscript"/>
        <sz val="11"/>
        <rFont val="Calibri"/>
        <family val="2"/>
        <charset val="238"/>
      </rPr>
      <t>N2</t>
    </r>
  </si>
  <si>
    <t>r45</t>
  </si>
  <si>
    <t>r46</t>
  </si>
  <si>
    <t>Calculated gas transfer coefficients</t>
  </si>
  <si>
    <r>
      <t>d</t>
    </r>
    <r>
      <rPr>
        <vertAlign val="superscript"/>
        <sz val="11"/>
        <rFont val="Calibri"/>
        <family val="2"/>
        <scheme val="minor"/>
      </rPr>
      <t>-1</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</si>
  <si>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</si>
  <si>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 coefficient for CH</t>
    </r>
    <r>
      <rPr>
        <vertAlign val="subscript"/>
        <sz val="11"/>
        <rFont val="Calibri"/>
        <family val="2"/>
        <scheme val="minor"/>
      </rPr>
      <t xml:space="preserve">4 </t>
    </r>
    <r>
      <rPr>
        <sz val="11"/>
        <rFont val="Calibri"/>
        <family val="2"/>
        <scheme val="minor"/>
      </rPr>
      <t>@25°C</t>
    </r>
  </si>
  <si>
    <r>
      <t>MM</t>
    </r>
    <r>
      <rPr>
        <vertAlign val="subscript"/>
        <sz val="11"/>
        <rFont val="Calibri"/>
        <family val="2"/>
        <scheme val="minor"/>
      </rPr>
      <t>GO2</t>
    </r>
  </si>
  <si>
    <t>Molecular mass of oxygen</t>
  </si>
  <si>
    <r>
      <t>MM</t>
    </r>
    <r>
      <rPr>
        <vertAlign val="subscript"/>
        <sz val="11"/>
        <rFont val="Calibri"/>
        <family val="2"/>
        <scheme val="minor"/>
      </rPr>
      <t>O2</t>
    </r>
  </si>
  <si>
    <r>
      <t>MM</t>
    </r>
    <r>
      <rPr>
        <vertAlign val="subscript"/>
        <sz val="11"/>
        <rFont val="Calibri"/>
        <family val="2"/>
        <scheme val="minor"/>
      </rPr>
      <t>N2</t>
    </r>
  </si>
  <si>
    <t>Molecular mass of nitrogen</t>
  </si>
  <si>
    <r>
      <t>MM</t>
    </r>
    <r>
      <rPr>
        <vertAlign val="subscript"/>
        <sz val="11"/>
        <rFont val="Calibri"/>
        <family val="2"/>
        <scheme val="minor"/>
      </rPr>
      <t>GN2</t>
    </r>
  </si>
  <si>
    <t>Molecular mass of hydrogen</t>
  </si>
  <si>
    <t>Molecular mass of methane</t>
  </si>
  <si>
    <t>Diffusion coefficient of oxygen in water</t>
  </si>
  <si>
    <t>Diffusion coefficient of nitrogen in water</t>
  </si>
  <si>
    <t>Diffusion coefficient of carbon dioxide in water</t>
  </si>
  <si>
    <t>Diffusion coefficient of hydrogen in water @ 25°C</t>
  </si>
  <si>
    <t>Diffusion coefficient of methane in water @ 25°C</t>
  </si>
  <si>
    <r>
      <t>MM</t>
    </r>
    <r>
      <rPr>
        <vertAlign val="subscript"/>
        <sz val="11"/>
        <rFont val="Calibri"/>
        <family val="2"/>
        <scheme val="minor"/>
      </rPr>
      <t>GH2</t>
    </r>
  </si>
  <si>
    <r>
      <t>MM</t>
    </r>
    <r>
      <rPr>
        <vertAlign val="subscript"/>
        <sz val="11"/>
        <rFont val="Calibri"/>
        <family val="2"/>
        <scheme val="minor"/>
      </rPr>
      <t>GCH4</t>
    </r>
  </si>
  <si>
    <r>
      <t>X</t>
    </r>
    <r>
      <rPr>
        <b/>
        <vertAlign val="subscript"/>
        <sz val="11"/>
        <rFont val="Calibri"/>
        <family val="2"/>
        <charset val="238"/>
        <scheme val="minor"/>
      </rPr>
      <t>HFO,L,P</t>
    </r>
  </si>
  <si>
    <r>
      <t>X</t>
    </r>
    <r>
      <rPr>
        <b/>
        <vertAlign val="subscript"/>
        <sz val="11"/>
        <rFont val="Calibri"/>
        <family val="2"/>
        <charset val="238"/>
        <scheme val="minor"/>
      </rPr>
      <t>HFO,H,P</t>
    </r>
  </si>
  <si>
    <r>
      <t>X</t>
    </r>
    <r>
      <rPr>
        <b/>
        <vertAlign val="subscript"/>
        <sz val="11"/>
        <rFont val="Calibri"/>
        <family val="2"/>
        <charset val="238"/>
        <scheme val="minor"/>
      </rPr>
      <t>HFO,old</t>
    </r>
  </si>
  <si>
    <t>r47</t>
  </si>
  <si>
    <t>r48</t>
  </si>
  <si>
    <t>r49</t>
  </si>
  <si>
    <t>Total HFOs</t>
  </si>
  <si>
    <r>
      <t>g Fe.m</t>
    </r>
    <r>
      <rPr>
        <vertAlign val="superscript"/>
        <sz val="8"/>
        <rFont val="Arial"/>
        <family val="2"/>
      </rPr>
      <t>-3</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</si>
  <si>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</si>
  <si>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</si>
  <si>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</si>
  <si>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</si>
  <si>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</si>
  <si>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</si>
  <si>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</si>
  <si>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</si>
  <si>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</si>
  <si>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</si>
  <si>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</si>
  <si>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</si>
  <si>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</si>
  <si>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</si>
  <si>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</si>
  <si>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Temperature dependency factor for CH</t>
    </r>
    <r>
      <rPr>
        <vertAlign val="subscript"/>
        <sz val="11"/>
        <rFont val="Calibri"/>
        <family val="2"/>
        <scheme val="minor"/>
      </rPr>
      <t>4</t>
    </r>
    <r>
      <rPr>
        <sz val="11"/>
        <rFont val="Calibri"/>
        <family val="2"/>
        <scheme val="minor"/>
      </rPr>
      <t xml:space="preserve"> Henry coefficient</t>
    </r>
  </si>
  <si>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</si>
  <si>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m</t>
    </r>
    <r>
      <rPr>
        <vertAlign val="superscript"/>
        <sz val="11"/>
        <rFont val="Calibri"/>
        <family val="2"/>
      </rPr>
      <t>2</t>
    </r>
    <r>
      <rPr>
        <sz val="11"/>
        <rFont val="Calibri"/>
        <family val="2"/>
      </rPr>
      <t>.d</t>
    </r>
    <r>
      <rPr>
        <vertAlign val="superscript"/>
        <sz val="11"/>
        <rFont val="Calibri"/>
        <family val="2"/>
      </rPr>
      <t>-1</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</si>
  <si>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</si>
  <si>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</si>
  <si>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</si>
  <si>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</si>
  <si>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</si>
  <si>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</si>
  <si>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</si>
  <si>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</si>
  <si>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</si>
  <si>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</si>
  <si>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</si>
  <si>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</si>
  <si>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</si>
  <si>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</si>
  <si>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</si>
  <si>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</si>
  <si>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</si>
  <si>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</si>
  <si>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</si>
  <si>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</si>
  <si>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</si>
  <si>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</si>
  <si>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</si>
  <si>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</si>
  <si>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</si>
  <si>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</si>
  <si>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</si>
  <si>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</si>
  <si>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</si>
  <si>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</si>
  <si>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</si>
  <si>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</si>
  <si>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</si>
  <si>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</si>
  <si>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</si>
  <si>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</si>
  <si>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</si>
  <si>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</si>
  <si>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</si>
  <si>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</si>
  <si>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</si>
  <si>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</si>
  <si>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</si>
  <si>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</si>
  <si>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Mg</t>
    </r>
  </si>
  <si>
    <t>Atomic mass of magnesium</t>
  </si>
  <si>
    <r>
      <t>AM</t>
    </r>
    <r>
      <rPr>
        <vertAlign val="subscript"/>
        <sz val="11"/>
        <rFont val="Calibri"/>
        <family val="2"/>
        <scheme val="minor"/>
      </rPr>
      <t>Si</t>
    </r>
  </si>
  <si>
    <t>Atomic mass of silicon</t>
  </si>
  <si>
    <r>
      <t>AM</t>
    </r>
    <r>
      <rPr>
        <vertAlign val="subscript"/>
        <sz val="11"/>
        <rFont val="Calibri"/>
        <family val="2"/>
        <scheme val="minor"/>
      </rPr>
      <t>S</t>
    </r>
  </si>
  <si>
    <t>Atomic mass of sulphur</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</si>
  <si>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</si>
  <si>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</si>
  <si>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</si>
  <si>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</si>
  <si>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</si>
  <si>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</si>
  <si>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</si>
  <si>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</si>
  <si>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</si>
  <si>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</si>
  <si>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</si>
  <si>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</si>
  <si>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</si>
  <si>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</si>
  <si>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</si>
  <si>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</si>
  <si>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</si>
  <si>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</si>
  <si>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</si>
  <si>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</si>
  <si>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</si>
  <si>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</si>
  <si>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</si>
  <si>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</si>
  <si>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</si>
  <si>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</si>
  <si>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</si>
  <si>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</si>
  <si>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</si>
  <si>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</si>
  <si>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</si>
  <si>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</si>
  <si>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</si>
  <si>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</si>
  <si>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</si>
  <si>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</si>
  <si>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</si>
  <si>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</si>
  <si>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</si>
  <si>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</si>
  <si>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</si>
  <si>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</si>
  <si>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</si>
  <si>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</si>
  <si>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</si>
  <si>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</si>
  <si>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</si>
  <si>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</si>
  <si>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</si>
  <si>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</si>
  <si>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</si>
  <si>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</si>
  <si>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</si>
  <si>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</si>
  <si>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</si>
  <si>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</si>
  <si>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</si>
  <si>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</si>
  <si>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</si>
  <si>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</si>
  <si>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</si>
  <si>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</si>
  <si>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</si>
  <si>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</si>
  <si>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</si>
  <si>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</si>
  <si>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</si>
  <si>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</si>
  <si>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</si>
  <si>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</si>
  <si>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</si>
  <si>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</si>
  <si>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</si>
  <si>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</si>
  <si>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</si>
  <si>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</si>
  <si>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</si>
  <si>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</si>
  <si>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</si>
  <si>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</si>
  <si>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</si>
  <si>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</si>
  <si>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</si>
  <si>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</si>
  <si>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</si>
  <si>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</si>
  <si>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</si>
  <si>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</si>
  <si>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</si>
  <si>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</si>
  <si>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</si>
  <si>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</si>
  <si>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</si>
  <si>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</si>
  <si>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</si>
  <si>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</si>
  <si>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</si>
  <si>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</si>
  <si>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</si>
  <si>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</si>
  <si>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</si>
  <si>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</si>
  <si>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</si>
  <si>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</si>
  <si>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</si>
  <si>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</si>
  <si>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</si>
  <si>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</si>
  <si>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</si>
  <si>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</si>
  <si>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</si>
  <si>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</si>
  <si>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</si>
  <si>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</si>
  <si>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</si>
  <si>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</si>
  <si>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</si>
  <si>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</si>
  <si>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</si>
  <si>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</si>
  <si>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</si>
  <si>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</si>
  <si>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</si>
  <si>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</si>
  <si>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</si>
  <si>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</si>
  <si>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</si>
  <si>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</si>
  <si>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</si>
  <si>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</si>
  <si>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</si>
  <si>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</si>
  <si>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</si>
  <si>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</si>
  <si>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</si>
  <si>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</si>
  <si>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</si>
  <si>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</si>
  <si>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</si>
  <si>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</si>
  <si>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</si>
  <si>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</si>
  <si>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</si>
  <si>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</si>
  <si>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</si>
  <si>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</si>
  <si>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</si>
  <si>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</si>
  <si>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</si>
  <si>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</si>
  <si>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</si>
  <si>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</si>
  <si>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</si>
  <si>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</si>
  <si>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</si>
  <si>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</si>
  <si>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</si>
  <si>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</si>
  <si>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</si>
  <si>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</si>
  <si>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</si>
  <si>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</si>
  <si>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</si>
  <si>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</si>
  <si>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</si>
  <si>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</si>
  <si>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</si>
  <si>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</si>
  <si>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</si>
  <si>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</si>
  <si>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</si>
  <si>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</si>
  <si>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</si>
  <si>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</si>
  <si>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</si>
  <si>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</si>
  <si>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</si>
  <si>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</si>
  <si>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</si>
  <si>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</si>
  <si>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</si>
  <si>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</si>
  <si>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</si>
  <si>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</si>
  <si>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</si>
  <si>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</si>
  <si>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</si>
  <si>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</si>
  <si>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</si>
  <si>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</si>
  <si>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</si>
  <si>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</si>
  <si>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</si>
  <si>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</si>
  <si>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</si>
  <si>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</si>
  <si>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</si>
  <si>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</si>
  <si>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</si>
  <si>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GCO2</t>
    </r>
  </si>
  <si>
    <t>Molecular mass of carbon dioxide</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</si>
  <si>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</si>
  <si>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</si>
  <si>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</si>
  <si>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</si>
  <si>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</si>
  <si>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</si>
  <si>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</si>
  <si>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</si>
  <si>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</si>
  <si>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</si>
  <si>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</si>
  <si>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</si>
  <si>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</si>
  <si>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</si>
  <si>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</si>
  <si>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</si>
  <si>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</si>
  <si>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</si>
  <si>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</si>
  <si>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Nitrite dissociation</t>
  </si>
  <si>
    <t>Electron equivalences</t>
  </si>
  <si>
    <r>
      <t>EEQ</t>
    </r>
    <r>
      <rPr>
        <vertAlign val="subscript"/>
        <sz val="11"/>
        <rFont val="Calibri"/>
        <family val="2"/>
      </rPr>
      <t>N2</t>
    </r>
  </si>
  <si>
    <r>
      <t>Electron equivalence of N</t>
    </r>
    <r>
      <rPr>
        <vertAlign val="subscript"/>
        <sz val="11"/>
        <rFont val="Calibri"/>
        <family val="2"/>
      </rPr>
      <t>2</t>
    </r>
  </si>
  <si>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</si>
  <si>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</si>
  <si>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</si>
  <si>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</si>
  <si>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</si>
  <si>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</si>
  <si>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</si>
  <si>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</si>
  <si>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</si>
  <si>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</si>
  <si>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</si>
  <si>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</si>
  <si>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</si>
  <si>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(s/x)/(s/x+k)</t>
  </si>
  <si>
    <t>Sign(x)</t>
  </si>
  <si>
    <t>Sign</t>
  </si>
  <si>
    <t>Temperature dependent Henry coefficient for NO</t>
  </si>
  <si>
    <t>Max(lolim;Min(hilim;var))</t>
  </si>
  <si>
    <t>If(x&gt;0;1;If(x&lt;0;-1;0))</t>
  </si>
  <si>
    <t>SUMO functions</t>
  </si>
  <si>
    <t>this can be used in Excel from FuncEngine 1.5.2</t>
  </si>
  <si>
    <t>Diffusion coefficient of NO in water @ 25°C</t>
  </si>
  <si>
    <r>
      <t>g.m</t>
    </r>
    <r>
      <rPr>
        <vertAlign val="superscript"/>
        <sz val="11"/>
        <rFont val="Calibri"/>
        <family val="2"/>
        <scheme val="minor"/>
      </rPr>
      <t>-3</t>
    </r>
  </si>
  <si>
    <t>Pa</t>
  </si>
  <si>
    <t>Other parameters</t>
  </si>
  <si>
    <t>pH effects on/not on from systemcode</t>
  </si>
  <si>
    <t>Boolean</t>
  </si>
  <si>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</si>
  <si>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Total phosphorus</t>
  </si>
  <si>
    <r>
      <t>g P.m</t>
    </r>
    <r>
      <rPr>
        <vertAlign val="superscript"/>
        <sz val="11"/>
        <rFont val="Calibri"/>
        <family val="2"/>
      </rPr>
      <t>-3</t>
    </r>
  </si>
  <si>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</si>
  <si>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</si>
  <si>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</si>
  <si>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</si>
  <si>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</si>
  <si>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</si>
  <si>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</si>
  <si>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</si>
  <si>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General stoichiometry</t>
  </si>
  <si>
    <t>Set</t>
  </si>
  <si>
    <t>input alkalinity - in feed PU</t>
  </si>
  <si>
    <r>
      <t>S</t>
    </r>
    <r>
      <rPr>
        <vertAlign val="subscript"/>
        <sz val="11"/>
        <rFont val="Calibri"/>
        <family val="2"/>
        <charset val="238"/>
      </rPr>
      <t>ALK,input</t>
    </r>
  </si>
  <si>
    <r>
      <t>S</t>
    </r>
    <r>
      <rPr>
        <b/>
        <vertAlign val="subscript"/>
        <sz val="11"/>
        <rFont val="Calibri"/>
        <family val="2"/>
        <scheme val="minor"/>
      </rPr>
      <t>VFA</t>
    </r>
  </si>
  <si>
    <r>
      <t>S</t>
    </r>
    <r>
      <rPr>
        <b/>
        <vertAlign val="subscript"/>
        <sz val="11"/>
        <rFont val="Calibri"/>
        <family val="2"/>
        <scheme val="minor"/>
      </rPr>
      <t>B</t>
    </r>
  </si>
  <si>
    <r>
      <t>S</t>
    </r>
    <r>
      <rPr>
        <b/>
        <vertAlign val="subscript"/>
        <sz val="11"/>
        <rFont val="Calibri"/>
        <family val="2"/>
        <scheme val="minor"/>
      </rPr>
      <t>MEOL</t>
    </r>
  </si>
  <si>
    <r>
      <t>C</t>
    </r>
    <r>
      <rPr>
        <b/>
        <vertAlign val="subscript"/>
        <sz val="11"/>
        <rFont val="Calibri"/>
        <family val="2"/>
        <scheme val="minor"/>
      </rPr>
      <t>B</t>
    </r>
  </si>
  <si>
    <r>
      <t>X</t>
    </r>
    <r>
      <rPr>
        <b/>
        <vertAlign val="subscript"/>
        <sz val="11"/>
        <rFont val="Calibri"/>
        <family val="2"/>
        <scheme val="minor"/>
      </rPr>
      <t>B</t>
    </r>
  </si>
  <si>
    <r>
      <t>S</t>
    </r>
    <r>
      <rPr>
        <b/>
        <vertAlign val="subscript"/>
        <sz val="11"/>
        <rFont val="Calibri"/>
        <family val="2"/>
        <scheme val="minor"/>
      </rPr>
      <t>U</t>
    </r>
  </si>
  <si>
    <r>
      <t>C</t>
    </r>
    <r>
      <rPr>
        <b/>
        <vertAlign val="subscript"/>
        <sz val="11"/>
        <rFont val="Calibri"/>
        <family val="2"/>
        <scheme val="minor"/>
      </rPr>
      <t>U</t>
    </r>
  </si>
  <si>
    <r>
      <t>X</t>
    </r>
    <r>
      <rPr>
        <b/>
        <vertAlign val="subscript"/>
        <sz val="11"/>
        <rFont val="Calibri"/>
        <family val="2"/>
        <scheme val="minor"/>
      </rPr>
      <t>U</t>
    </r>
  </si>
  <si>
    <r>
      <t>X</t>
    </r>
    <r>
      <rPr>
        <b/>
        <vertAlign val="subscript"/>
        <sz val="11"/>
        <rFont val="Calibri"/>
        <family val="2"/>
        <scheme val="minor"/>
      </rPr>
      <t>E</t>
    </r>
  </si>
  <si>
    <r>
      <t>X</t>
    </r>
    <r>
      <rPr>
        <b/>
        <vertAlign val="subscript"/>
        <sz val="11"/>
        <rFont val="Calibri"/>
        <family val="2"/>
        <scheme val="minor"/>
      </rPr>
      <t>OHO</t>
    </r>
  </si>
  <si>
    <r>
      <t>X</t>
    </r>
    <r>
      <rPr>
        <b/>
        <vertAlign val="subscript"/>
        <sz val="11"/>
        <rFont val="Calibri"/>
        <family val="2"/>
        <scheme val="minor"/>
      </rPr>
      <t>MEOLO</t>
    </r>
  </si>
  <si>
    <r>
      <t>X</t>
    </r>
    <r>
      <rPr>
        <b/>
        <vertAlign val="subscript"/>
        <sz val="11"/>
        <rFont val="Calibri"/>
        <family val="2"/>
        <scheme val="minor"/>
      </rPr>
      <t>AMETO</t>
    </r>
  </si>
  <si>
    <r>
      <t>X</t>
    </r>
    <r>
      <rPr>
        <b/>
        <vertAlign val="subscript"/>
        <sz val="11"/>
        <rFont val="Calibri"/>
        <family val="2"/>
        <scheme val="minor"/>
      </rPr>
      <t>HMETO</t>
    </r>
  </si>
  <si>
    <r>
      <t>S</t>
    </r>
    <r>
      <rPr>
        <b/>
        <vertAlign val="subscript"/>
        <sz val="11"/>
        <rFont val="Calibri"/>
        <family val="2"/>
        <scheme val="minor"/>
      </rPr>
      <t>NHx</t>
    </r>
  </si>
  <si>
    <r>
      <t>S</t>
    </r>
    <r>
      <rPr>
        <b/>
        <vertAlign val="subscript"/>
        <sz val="11"/>
        <rFont val="Calibri"/>
        <family val="2"/>
        <scheme val="minor"/>
      </rPr>
      <t>N2</t>
    </r>
  </si>
  <si>
    <r>
      <t>S</t>
    </r>
    <r>
      <rPr>
        <b/>
        <vertAlign val="subscript"/>
        <sz val="11"/>
        <rFont val="Calibri"/>
        <family val="2"/>
        <scheme val="minor"/>
      </rPr>
      <t>N,B</t>
    </r>
  </si>
  <si>
    <t>Soluble biodegradable organic N (from SB)</t>
  </si>
  <si>
    <r>
      <t>X</t>
    </r>
    <r>
      <rPr>
        <b/>
        <vertAlign val="subscript"/>
        <sz val="11"/>
        <rFont val="Calibri"/>
        <family val="2"/>
        <scheme val="minor"/>
      </rPr>
      <t>N,B</t>
    </r>
  </si>
  <si>
    <r>
      <t>X</t>
    </r>
    <r>
      <rPr>
        <b/>
        <vertAlign val="subscript"/>
        <sz val="11"/>
        <rFont val="Calibri"/>
        <family val="2"/>
        <scheme val="minor"/>
      </rPr>
      <t>N,U</t>
    </r>
  </si>
  <si>
    <r>
      <t>S</t>
    </r>
    <r>
      <rPr>
        <b/>
        <vertAlign val="subscript"/>
        <sz val="11"/>
        <rFont val="Calibri"/>
        <family val="2"/>
        <scheme val="minor"/>
      </rPr>
      <t>PO4</t>
    </r>
  </si>
  <si>
    <r>
      <t>S</t>
    </r>
    <r>
      <rPr>
        <b/>
        <vertAlign val="subscript"/>
        <sz val="11"/>
        <rFont val="Calibri"/>
        <family val="2"/>
        <scheme val="minor"/>
      </rPr>
      <t>P,B</t>
    </r>
  </si>
  <si>
    <r>
      <t>X</t>
    </r>
    <r>
      <rPr>
        <b/>
        <vertAlign val="subscript"/>
        <sz val="11"/>
        <rFont val="Calibri"/>
        <family val="2"/>
        <scheme val="minor"/>
      </rPr>
      <t>P,B</t>
    </r>
  </si>
  <si>
    <r>
      <t>X</t>
    </r>
    <r>
      <rPr>
        <b/>
        <vertAlign val="subscript"/>
        <sz val="11"/>
        <rFont val="Calibri"/>
        <family val="2"/>
        <scheme val="minor"/>
      </rPr>
      <t>P,U</t>
    </r>
  </si>
  <si>
    <r>
      <t>S</t>
    </r>
    <r>
      <rPr>
        <b/>
        <vertAlign val="subscript"/>
        <sz val="11"/>
        <rFont val="Calibri"/>
        <family val="2"/>
        <scheme val="minor"/>
      </rPr>
      <t>O2</t>
    </r>
  </si>
  <si>
    <r>
      <t>g O</t>
    </r>
    <r>
      <rPr>
        <vertAlign val="subscript"/>
        <sz val="11"/>
        <rFont val="Calibri"/>
        <family val="2"/>
      </rPr>
      <t>2</t>
    </r>
    <r>
      <rPr>
        <sz val="11"/>
        <rFont val="Calibri"/>
        <family val="2"/>
      </rPr>
      <t>.m</t>
    </r>
    <r>
      <rPr>
        <vertAlign val="superscript"/>
        <sz val="11"/>
        <rFont val="Calibri"/>
        <family val="2"/>
      </rPr>
      <t>-3</t>
    </r>
  </si>
  <si>
    <r>
      <t>S</t>
    </r>
    <r>
      <rPr>
        <b/>
        <vertAlign val="subscript"/>
        <sz val="11"/>
        <rFont val="Calibri"/>
        <family val="2"/>
        <scheme val="minor"/>
      </rPr>
      <t>CH4</t>
    </r>
  </si>
  <si>
    <r>
      <t>S</t>
    </r>
    <r>
      <rPr>
        <b/>
        <vertAlign val="subscript"/>
        <sz val="11"/>
        <rFont val="Calibri"/>
        <family val="2"/>
        <scheme val="minor"/>
      </rPr>
      <t>H2</t>
    </r>
  </si>
  <si>
    <r>
      <t>S</t>
    </r>
    <r>
      <rPr>
        <b/>
        <vertAlign val="subscript"/>
        <sz val="11"/>
        <rFont val="Calibri"/>
        <family val="2"/>
        <scheme val="minor"/>
      </rPr>
      <t>CO2</t>
    </r>
  </si>
  <si>
    <r>
      <t>X</t>
    </r>
    <r>
      <rPr>
        <b/>
        <vertAlign val="subscript"/>
        <sz val="11"/>
        <rFont val="Calibri"/>
        <family val="2"/>
        <scheme val="minor"/>
      </rPr>
      <t>INORG</t>
    </r>
  </si>
  <si>
    <r>
      <t>S</t>
    </r>
    <r>
      <rPr>
        <b/>
        <vertAlign val="subscript"/>
        <sz val="11"/>
        <rFont val="Calibri"/>
        <family val="2"/>
      </rPr>
      <t>Mg</t>
    </r>
  </si>
  <si>
    <r>
      <t>g Mg.m</t>
    </r>
    <r>
      <rPr>
        <vertAlign val="superscript"/>
        <sz val="11"/>
        <rFont val="Calibri"/>
        <family val="2"/>
      </rPr>
      <t>-3</t>
    </r>
  </si>
  <si>
    <r>
      <t>g.m</t>
    </r>
    <r>
      <rPr>
        <vertAlign val="superscript"/>
        <sz val="11"/>
        <rFont val="Calibri"/>
        <family val="2"/>
      </rPr>
      <t>-3</t>
    </r>
  </si>
  <si>
    <r>
      <t>g Fe.m</t>
    </r>
    <r>
      <rPr>
        <vertAlign val="superscript"/>
        <sz val="11"/>
        <rFont val="Calibri"/>
        <family val="2"/>
      </rPr>
      <t>-3</t>
    </r>
  </si>
  <si>
    <r>
      <t>X</t>
    </r>
    <r>
      <rPr>
        <b/>
        <vertAlign val="subscript"/>
        <sz val="11"/>
        <rFont val="Calibri"/>
        <family val="2"/>
        <charset val="238"/>
        <scheme val="minor"/>
      </rPr>
      <t>HFO,L</t>
    </r>
  </si>
  <si>
    <r>
      <t>X</t>
    </r>
    <r>
      <rPr>
        <b/>
        <vertAlign val="subscript"/>
        <sz val="11"/>
        <rFont val="Calibri"/>
        <family val="2"/>
        <charset val="238"/>
        <scheme val="minor"/>
      </rPr>
      <t>HFO,H</t>
    </r>
  </si>
  <si>
    <t>Components</t>
  </si>
  <si>
    <t>Default</t>
  </si>
  <si>
    <t>Particle size</t>
  </si>
  <si>
    <r>
      <t>mol.L</t>
    </r>
    <r>
      <rPr>
        <vertAlign val="superscript"/>
        <sz val="11"/>
        <rFont val="Calibri"/>
        <family val="2"/>
      </rPr>
      <t>-1</t>
    </r>
  </si>
  <si>
    <r>
      <t>mol.L</t>
    </r>
    <r>
      <rPr>
        <vertAlign val="superscript"/>
        <sz val="11"/>
        <rFont val="Calibri"/>
        <family val="2"/>
      </rPr>
      <t>-1</t>
    </r>
    <r>
      <rPr>
        <sz val="11"/>
        <color theme="1"/>
        <rFont val="Calibri"/>
        <family val="2"/>
        <scheme val="minor"/>
      </rPr>
      <t/>
    </r>
  </si>
  <si>
    <r>
      <t>IS</t>
    </r>
    <r>
      <rPr>
        <vertAlign val="subscript"/>
        <sz val="11"/>
        <rFont val="Calibri"/>
        <family val="2"/>
        <charset val="238"/>
      </rPr>
      <t>calc</t>
    </r>
  </si>
  <si>
    <r>
      <t>X</t>
    </r>
    <r>
      <rPr>
        <b/>
        <vertAlign val="subscript"/>
        <sz val="11"/>
        <rFont val="Calibri"/>
        <family val="2"/>
        <charset val="238"/>
      </rPr>
      <t>HFO,H,P,old</t>
    </r>
  </si>
  <si>
    <r>
      <t>X</t>
    </r>
    <r>
      <rPr>
        <b/>
        <vertAlign val="subscript"/>
        <sz val="11"/>
        <rFont val="Calibri"/>
        <family val="2"/>
        <charset val="238"/>
      </rPr>
      <t>HFO,L,P,old</t>
    </r>
  </si>
  <si>
    <r>
      <t>d</t>
    </r>
    <r>
      <rPr>
        <vertAlign val="superscript"/>
        <sz val="11"/>
        <color indexed="8"/>
        <rFont val="Calibri"/>
        <family val="2"/>
        <scheme val="minor"/>
      </rPr>
      <t>-1</t>
    </r>
  </si>
  <si>
    <r>
      <t>g COD.m</t>
    </r>
    <r>
      <rPr>
        <vertAlign val="superscript"/>
        <sz val="11"/>
        <color indexed="8"/>
        <rFont val="Calibri"/>
        <family val="2"/>
        <scheme val="minor"/>
      </rPr>
      <t>-3</t>
    </r>
  </si>
  <si>
    <r>
      <t>g O</t>
    </r>
    <r>
      <rPr>
        <vertAlign val="subscript"/>
        <sz val="11"/>
        <color indexed="8"/>
        <rFont val="Calibri"/>
        <family val="2"/>
        <scheme val="minor"/>
      </rPr>
      <t>2</t>
    </r>
    <r>
      <rPr>
        <sz val="11"/>
        <color indexed="8"/>
        <rFont val="Calibri"/>
        <family val="2"/>
        <scheme val="minor"/>
      </rPr>
      <t>.m</t>
    </r>
    <r>
      <rPr>
        <vertAlign val="superscript"/>
        <sz val="11"/>
        <color indexed="8"/>
        <rFont val="Calibri"/>
        <family val="2"/>
        <scheme val="minor"/>
      </rPr>
      <t>-3</t>
    </r>
  </si>
  <si>
    <r>
      <t>g N.m</t>
    </r>
    <r>
      <rPr>
        <vertAlign val="superscript"/>
        <sz val="11"/>
        <color indexed="8"/>
        <rFont val="Calibri"/>
        <family val="2"/>
        <scheme val="minor"/>
      </rPr>
      <t>-3</t>
    </r>
  </si>
  <si>
    <r>
      <t>µ</t>
    </r>
    <r>
      <rPr>
        <vertAlign val="subscript"/>
        <sz val="11"/>
        <color indexed="8"/>
        <rFont val="Calibri"/>
        <family val="2"/>
        <scheme val="minor"/>
      </rPr>
      <t>HMETO</t>
    </r>
  </si>
  <si>
    <r>
      <t>b</t>
    </r>
    <r>
      <rPr>
        <vertAlign val="subscript"/>
        <sz val="11"/>
        <color indexed="8"/>
        <rFont val="Calibri"/>
        <family val="2"/>
        <scheme val="minor"/>
      </rPr>
      <t>HMETO</t>
    </r>
    <r>
      <rPr>
        <sz val="11"/>
        <color indexed="8"/>
        <rFont val="Calibri"/>
        <family val="2"/>
      </rPr>
      <t/>
    </r>
  </si>
  <si>
    <r>
      <t>q</t>
    </r>
    <r>
      <rPr>
        <vertAlign val="subscript"/>
        <sz val="11"/>
        <color indexed="8"/>
        <rFont val="Calibri"/>
        <family val="2"/>
        <scheme val="minor"/>
      </rPr>
      <t>FLOC</t>
    </r>
  </si>
  <si>
    <r>
      <t>q</t>
    </r>
    <r>
      <rPr>
        <vertAlign val="subscript"/>
        <sz val="11"/>
        <color indexed="8"/>
        <rFont val="Calibri"/>
        <family val="2"/>
        <scheme val="minor"/>
      </rPr>
      <t>AMMON</t>
    </r>
  </si>
  <si>
    <r>
      <t>q</t>
    </r>
    <r>
      <rPr>
        <vertAlign val="subscript"/>
        <sz val="11"/>
        <color indexed="8"/>
        <rFont val="Calibri"/>
        <family val="2"/>
        <scheme val="minor"/>
      </rPr>
      <t>ASSIM</t>
    </r>
  </si>
  <si>
    <r>
      <rPr>
        <sz val="11"/>
        <color indexed="8"/>
        <rFont val="Calibri"/>
        <family val="2"/>
        <scheme val="minor"/>
      </rPr>
      <t>θ</t>
    </r>
    <r>
      <rPr>
        <vertAlign val="subscript"/>
        <sz val="11"/>
        <color indexed="8"/>
        <rFont val="Calibri"/>
        <family val="2"/>
        <scheme val="minor"/>
      </rPr>
      <t>µ,OHO</t>
    </r>
  </si>
  <si>
    <r>
      <t>θ</t>
    </r>
    <r>
      <rPr>
        <vertAlign val="subscript"/>
        <sz val="11"/>
        <color indexed="8"/>
        <rFont val="Calibri"/>
        <family val="2"/>
        <scheme val="minor"/>
      </rPr>
      <t>FERM,OHO</t>
    </r>
  </si>
  <si>
    <r>
      <t>θ</t>
    </r>
    <r>
      <rPr>
        <vertAlign val="subscript"/>
        <sz val="11"/>
        <color indexed="8"/>
        <rFont val="Calibri"/>
        <family val="2"/>
        <scheme val="minor"/>
      </rPr>
      <t>b,OHO</t>
    </r>
  </si>
  <si>
    <r>
      <t>θ</t>
    </r>
    <r>
      <rPr>
        <vertAlign val="subscript"/>
        <sz val="11"/>
        <color indexed="8"/>
        <rFont val="Calibri"/>
        <family val="2"/>
        <scheme val="minor"/>
      </rPr>
      <t>µ,MEOLO</t>
    </r>
  </si>
  <si>
    <r>
      <t>θ</t>
    </r>
    <r>
      <rPr>
        <vertAlign val="subscript"/>
        <sz val="11"/>
        <color indexed="8"/>
        <rFont val="Calibri"/>
        <family val="2"/>
        <scheme val="minor"/>
      </rPr>
      <t>b,MEOLO</t>
    </r>
  </si>
  <si>
    <r>
      <t>θ</t>
    </r>
    <r>
      <rPr>
        <vertAlign val="subscript"/>
        <sz val="11"/>
        <color indexed="8"/>
        <rFont val="Calibri"/>
        <family val="2"/>
        <scheme val="minor"/>
      </rPr>
      <t>q,PAO,PHA</t>
    </r>
  </si>
  <si>
    <r>
      <t>θ</t>
    </r>
    <r>
      <rPr>
        <vertAlign val="subscript"/>
        <sz val="11"/>
        <color indexed="8"/>
        <rFont val="Calibri"/>
        <family val="2"/>
        <scheme val="minor"/>
      </rPr>
      <t>µ,AMETO</t>
    </r>
  </si>
  <si>
    <r>
      <t>θ</t>
    </r>
    <r>
      <rPr>
        <vertAlign val="subscript"/>
        <sz val="11"/>
        <color indexed="8"/>
        <rFont val="Calibri"/>
        <family val="2"/>
        <scheme val="minor"/>
      </rPr>
      <t>b,AMETO</t>
    </r>
  </si>
  <si>
    <r>
      <t>θ</t>
    </r>
    <r>
      <rPr>
        <vertAlign val="subscript"/>
        <sz val="11"/>
        <color indexed="8"/>
        <rFont val="Calibri"/>
        <family val="2"/>
        <scheme val="minor"/>
      </rPr>
      <t>µ,HMETO</t>
    </r>
  </si>
  <si>
    <r>
      <t>θ</t>
    </r>
    <r>
      <rPr>
        <vertAlign val="subscript"/>
        <sz val="11"/>
        <color indexed="8"/>
        <rFont val="Calibri"/>
        <family val="2"/>
        <scheme val="minor"/>
      </rPr>
      <t>b,HMETO</t>
    </r>
  </si>
  <si>
    <r>
      <t>θ</t>
    </r>
    <r>
      <rPr>
        <vertAlign val="subscript"/>
        <sz val="11"/>
        <color indexed="8"/>
        <rFont val="Calibri"/>
        <family val="2"/>
        <scheme val="minor"/>
      </rPr>
      <t>q,FLOC</t>
    </r>
  </si>
  <si>
    <r>
      <t>θ</t>
    </r>
    <r>
      <rPr>
        <vertAlign val="subscript"/>
        <sz val="11"/>
        <color indexed="8"/>
        <rFont val="Calibri"/>
        <family val="2"/>
        <scheme val="minor"/>
      </rPr>
      <t>q,HYD</t>
    </r>
  </si>
  <si>
    <r>
      <t>θ</t>
    </r>
    <r>
      <rPr>
        <vertAlign val="subscript"/>
        <sz val="11"/>
        <color indexed="8"/>
        <rFont val="Calibri"/>
        <family val="2"/>
        <scheme val="minor"/>
      </rPr>
      <t>q,AMMON</t>
    </r>
  </si>
  <si>
    <r>
      <t>θ</t>
    </r>
    <r>
      <rPr>
        <vertAlign val="subscript"/>
        <sz val="11"/>
        <color indexed="8"/>
        <rFont val="Calibri"/>
        <family val="2"/>
        <scheme val="minor"/>
      </rPr>
      <t>q,ASSIM</t>
    </r>
  </si>
  <si>
    <r>
      <t>Y</t>
    </r>
    <r>
      <rPr>
        <vertAlign val="subscript"/>
        <sz val="11"/>
        <rFont val="Calibri"/>
        <family val="2"/>
        <scheme val="minor"/>
      </rPr>
      <t>MEOLO</t>
    </r>
  </si>
  <si>
    <r>
      <t>Y</t>
    </r>
    <r>
      <rPr>
        <vertAlign val="subscript"/>
        <sz val="11"/>
        <rFont val="Calibri"/>
        <family val="2"/>
        <scheme val="minor"/>
      </rPr>
      <t>HMETO</t>
    </r>
  </si>
  <si>
    <r>
      <t>Y</t>
    </r>
    <r>
      <rPr>
        <vertAlign val="subscript"/>
        <sz val="11"/>
        <rFont val="Calibri"/>
        <family val="2"/>
        <scheme val="minor"/>
      </rPr>
      <t>AMETO</t>
    </r>
  </si>
  <si>
    <r>
      <t>f</t>
    </r>
    <r>
      <rPr>
        <vertAlign val="subscript"/>
        <sz val="11"/>
        <rFont val="Calibri"/>
        <family val="2"/>
        <scheme val="minor"/>
      </rPr>
      <t>E</t>
    </r>
  </si>
  <si>
    <r>
      <t>i</t>
    </r>
    <r>
      <rPr>
        <vertAlign val="subscript"/>
        <sz val="11"/>
        <rFont val="Calibri"/>
        <family val="2"/>
        <scheme val="minor"/>
      </rPr>
      <t>N,BIO</t>
    </r>
  </si>
  <si>
    <r>
      <t>i</t>
    </r>
    <r>
      <rPr>
        <vertAlign val="subscript"/>
        <sz val="11"/>
        <rFont val="Calibri"/>
        <family val="2"/>
        <scheme val="minor"/>
      </rPr>
      <t>P,BIO</t>
    </r>
  </si>
  <si>
    <r>
      <t>i</t>
    </r>
    <r>
      <rPr>
        <vertAlign val="subscript"/>
        <sz val="11"/>
        <rFont val="Calibri"/>
        <family val="2"/>
        <scheme val="minor"/>
      </rPr>
      <t>CV,BIO</t>
    </r>
  </si>
  <si>
    <r>
      <t>i</t>
    </r>
    <r>
      <rPr>
        <vertAlign val="subscript"/>
        <sz val="11"/>
        <rFont val="Calibri"/>
        <family val="2"/>
        <scheme val="minor"/>
      </rPr>
      <t>CV,PHA</t>
    </r>
  </si>
  <si>
    <r>
      <t>i</t>
    </r>
    <r>
      <rPr>
        <vertAlign val="subscript"/>
        <sz val="11"/>
        <rFont val="Calibri"/>
        <family val="2"/>
        <scheme val="minor"/>
      </rPr>
      <t>P,XSTR</t>
    </r>
  </si>
  <si>
    <r>
      <t>f</t>
    </r>
    <r>
      <rPr>
        <vertAlign val="subscript"/>
        <sz val="11"/>
        <rFont val="Calibri"/>
        <family val="2"/>
        <scheme val="minor"/>
      </rPr>
      <t>P,VFA</t>
    </r>
  </si>
  <si>
    <r>
      <t>i</t>
    </r>
    <r>
      <rPr>
        <vertAlign val="subscript"/>
        <sz val="11"/>
        <rFont val="Calibri"/>
        <family val="2"/>
        <scheme val="minor"/>
      </rPr>
      <t>TSS,PP</t>
    </r>
  </si>
  <si>
    <t>Active site factor for HFO,H</t>
  </si>
  <si>
    <t>Active site factor for HFO,L</t>
  </si>
  <si>
    <r>
      <t>K</t>
    </r>
    <r>
      <rPr>
        <vertAlign val="subscript"/>
        <sz val="11"/>
        <rFont val="Calibri"/>
        <family val="2"/>
        <scheme val="minor"/>
      </rPr>
      <t>NHx,BIO</t>
    </r>
  </si>
  <si>
    <r>
      <t>g N.m</t>
    </r>
    <r>
      <rPr>
        <vertAlign val="superscript"/>
        <sz val="11"/>
        <rFont val="Calibri"/>
        <family val="2"/>
        <scheme val="minor"/>
      </rPr>
      <t>-3</t>
    </r>
  </si>
  <si>
    <r>
      <t>K</t>
    </r>
    <r>
      <rPr>
        <vertAlign val="subscript"/>
        <sz val="11"/>
        <rFont val="Calibri"/>
        <family val="2"/>
        <scheme val="minor"/>
      </rPr>
      <t>PO4,BIO</t>
    </r>
  </si>
  <si>
    <r>
      <t>g P.m</t>
    </r>
    <r>
      <rPr>
        <vertAlign val="superscript"/>
        <sz val="11"/>
        <rFont val="Calibri"/>
        <family val="2"/>
        <scheme val="minor"/>
      </rPr>
      <t>-3</t>
    </r>
  </si>
  <si>
    <r>
      <t>K</t>
    </r>
    <r>
      <rPr>
        <vertAlign val="subscript"/>
        <sz val="11"/>
        <rFont val="Calibri"/>
        <family val="2"/>
        <scheme val="minor"/>
      </rPr>
      <t>CAT</t>
    </r>
  </si>
  <si>
    <r>
      <t>K</t>
    </r>
    <r>
      <rPr>
        <vertAlign val="subscript"/>
        <sz val="11"/>
        <rFont val="Calibri"/>
        <family val="2"/>
        <scheme val="minor"/>
      </rPr>
      <t>AN</t>
    </r>
  </si>
  <si>
    <r>
      <t>C</t>
    </r>
    <r>
      <rPr>
        <vertAlign val="superscript"/>
        <sz val="11"/>
        <rFont val="Calibri"/>
        <family val="2"/>
        <scheme val="minor"/>
      </rPr>
      <t>o</t>
    </r>
  </si>
  <si>
    <r>
      <t>T</t>
    </r>
    <r>
      <rPr>
        <vertAlign val="subscript"/>
        <sz val="11"/>
        <rFont val="Calibri"/>
        <family val="2"/>
        <scheme val="minor"/>
      </rPr>
      <t>base</t>
    </r>
  </si>
  <si>
    <t>Saturation/inhibition terms</t>
  </si>
  <si>
    <r>
      <t>Msat</t>
    </r>
    <r>
      <rPr>
        <vertAlign val="subscript"/>
        <sz val="11"/>
        <rFont val="Calibri"/>
        <family val="2"/>
        <scheme val="minor"/>
      </rPr>
      <t>SVFA,KVFA</t>
    </r>
  </si>
  <si>
    <r>
      <t>Msat(S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</si>
  <si>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</si>
  <si>
    <t>Hydrogen phosphate molar concentration in equivalence point</t>
  </si>
  <si>
    <r>
      <t>[H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</si>
  <si>
    <t>Dihydrogen phosphate molar concentration in equivalence point</t>
  </si>
  <si>
    <r>
      <t>[Ac</t>
    </r>
    <r>
      <rPr>
        <vertAlign val="superscript"/>
        <sz val="11"/>
        <rFont val="Calibri"/>
        <family val="2"/>
        <scheme val="minor"/>
      </rPr>
      <t>-</t>
    </r>
    <r>
      <rPr>
        <sz val="11"/>
        <rFont val="Calibri"/>
        <family val="2"/>
        <scheme val="minor"/>
      </rPr>
      <t>]</t>
    </r>
    <r>
      <rPr>
        <vertAlign val="subscript"/>
        <sz val="11"/>
        <rFont val="Calibri"/>
        <family val="2"/>
        <scheme val="minor"/>
      </rPr>
      <t>eq</t>
    </r>
  </si>
  <si>
    <t>Acetate molar concentration in equivalence point</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</si>
  <si>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</si>
  <si>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</si>
  <si>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</si>
  <si>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t>CH3COOH -&gt; CH4+CO2</t>
  </si>
  <si>
    <t>Davies correction coefficient</t>
  </si>
  <si>
    <t>1-(T-3.9863)^2*(T+288.9414)/(508929.2*(T+68.12963))+0.011445*Exp(-374.3/T)</t>
  </si>
  <si>
    <t>ε</t>
  </si>
  <si>
    <r>
      <t>A</t>
    </r>
    <r>
      <rPr>
        <vertAlign val="subscript"/>
        <sz val="11"/>
        <rFont val="Calibri"/>
        <family val="2"/>
        <scheme val="minor"/>
      </rPr>
      <t>Davies</t>
    </r>
  </si>
  <si>
    <t>ρ</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</si>
  <si>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</si>
  <si>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</si>
  <si>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</si>
  <si>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</si>
  <si>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</si>
  <si>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</si>
  <si>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</si>
  <si>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</si>
  <si>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</si>
  <si>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</si>
  <si>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</si>
  <si>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</si>
  <si>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</si>
  <si>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</si>
  <si>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</si>
  <si>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</si>
  <si>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</si>
  <si>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</si>
  <si>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</si>
  <si>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</si>
  <si>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</si>
  <si>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</si>
  <si>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</si>
  <si>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</si>
  <si>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</si>
  <si>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</si>
  <si>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</si>
  <si>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</si>
  <si>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</si>
  <si>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</si>
  <si>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</si>
  <si>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L,m3</t>
    </r>
  </si>
  <si>
    <r>
      <t>2727.586+0.6224107*T</t>
    </r>
    <r>
      <rPr>
        <vertAlign val="subscript"/>
        <sz val="11"/>
        <rFont val="Calibri"/>
        <family val="2"/>
        <scheme val="minor"/>
      </rPr>
      <t>K</t>
    </r>
    <r>
      <rPr>
        <sz val="11"/>
        <rFont val="Calibri"/>
        <family val="2"/>
        <scheme val="minor"/>
      </rPr>
      <t>-466.9151*Ln( T</t>
    </r>
    <r>
      <rPr>
        <vertAlign val="subscript"/>
        <sz val="11"/>
        <rFont val="Calibri"/>
        <family val="2"/>
        <scheme val="minor"/>
      </rPr>
      <t xml:space="preserve">K </t>
    </r>
    <r>
      <rPr>
        <sz val="11"/>
        <rFont val="Calibri"/>
        <family val="2"/>
        <scheme val="minor"/>
      </rPr>
      <t>)-(52000.87/T</t>
    </r>
    <r>
      <rPr>
        <vertAlign val="subscript"/>
        <sz val="11"/>
        <rFont val="Calibri"/>
        <family val="2"/>
        <scheme val="minor"/>
      </rPr>
      <t>K</t>
    </r>
    <r>
      <rPr>
        <sz val="11"/>
        <rFont val="Calibri"/>
        <family val="2"/>
        <scheme val="minor"/>
      </rPr>
      <t>)</t>
    </r>
  </si>
  <si>
    <r>
      <t>S</t>
    </r>
    <r>
      <rPr>
        <vertAlign val="subscript"/>
        <sz val="11"/>
        <rFont val="Calibri"/>
        <family val="2"/>
        <scheme val="minor"/>
      </rPr>
      <t>COD</t>
    </r>
    <r>
      <rPr>
        <sz val="11"/>
        <rFont val="Calibri"/>
        <family val="2"/>
        <scheme val="minor"/>
      </rPr>
      <t xml:space="preserve"> + C</t>
    </r>
    <r>
      <rPr>
        <vertAlign val="subscript"/>
        <sz val="11"/>
        <rFont val="Calibri"/>
        <family val="2"/>
        <scheme val="minor"/>
      </rPr>
      <t xml:space="preserve">B </t>
    </r>
    <r>
      <rPr>
        <sz val="11"/>
        <rFont val="Calibri"/>
        <family val="2"/>
        <scheme val="minor"/>
      </rPr>
      <t>+C</t>
    </r>
    <r>
      <rPr>
        <vertAlign val="subscript"/>
        <sz val="11"/>
        <rFont val="Calibri"/>
        <family val="2"/>
        <scheme val="minor"/>
      </rPr>
      <t>U</t>
    </r>
  </si>
  <si>
    <t>Dissociation constants - temperature corrected</t>
  </si>
  <si>
    <r>
      <t>K</t>
    </r>
    <r>
      <rPr>
        <vertAlign val="subscript"/>
        <sz val="11"/>
        <rFont val="Calibri"/>
        <family val="2"/>
        <scheme val="minor"/>
      </rPr>
      <t>W,T</t>
    </r>
  </si>
  <si>
    <r>
      <t>K</t>
    </r>
    <r>
      <rPr>
        <vertAlign val="subscript"/>
        <sz val="11"/>
        <rFont val="Calibri"/>
        <family val="2"/>
        <scheme val="minor"/>
      </rPr>
      <t>C1,T</t>
    </r>
  </si>
  <si>
    <r>
      <t>K</t>
    </r>
    <r>
      <rPr>
        <vertAlign val="subscript"/>
        <sz val="11"/>
        <rFont val="Calibri"/>
        <family val="2"/>
        <scheme val="minor"/>
      </rPr>
      <t>C2,T</t>
    </r>
  </si>
  <si>
    <r>
      <t>K</t>
    </r>
    <r>
      <rPr>
        <vertAlign val="subscript"/>
        <sz val="11"/>
        <rFont val="Calibri"/>
        <family val="2"/>
        <scheme val="minor"/>
      </rPr>
      <t>P1,T</t>
    </r>
  </si>
  <si>
    <r>
      <t>K</t>
    </r>
    <r>
      <rPr>
        <vertAlign val="subscript"/>
        <sz val="11"/>
        <rFont val="Calibri"/>
        <family val="2"/>
        <scheme val="minor"/>
      </rPr>
      <t>P2,T</t>
    </r>
  </si>
  <si>
    <r>
      <t>K</t>
    </r>
    <r>
      <rPr>
        <vertAlign val="subscript"/>
        <sz val="11"/>
        <rFont val="Calibri"/>
        <family val="2"/>
        <scheme val="minor"/>
      </rPr>
      <t>P3,T</t>
    </r>
  </si>
  <si>
    <r>
      <t>K</t>
    </r>
    <r>
      <rPr>
        <vertAlign val="subscript"/>
        <sz val="11"/>
        <rFont val="Calibri"/>
        <family val="2"/>
        <scheme val="minor"/>
      </rPr>
      <t>W,T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</si>
  <si>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</si>
  <si>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t>
    </r>
  </si>
  <si>
    <r>
      <t>K</t>
    </r>
    <r>
      <rPr>
        <vertAlign val="subscript"/>
        <sz val="11"/>
        <rFont val="Calibri"/>
        <family val="2"/>
        <scheme val="minor"/>
      </rPr>
      <t>P1,T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</si>
  <si>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t>
    </r>
  </si>
  <si>
    <r>
      <t>K</t>
    </r>
    <r>
      <rPr>
        <vertAlign val="subscript"/>
        <sz val="11"/>
        <rFont val="Calibri"/>
        <family val="2"/>
        <scheme val="minor"/>
      </rPr>
      <t>P3,T</t>
    </r>
    <r>
      <rPr>
        <sz val="11"/>
        <rFont val="Calibri"/>
        <family val="2"/>
        <scheme val="minor"/>
      </rPr>
      <t>/(f</t>
    </r>
    <r>
      <rPr>
        <vertAlign val="subscript"/>
        <sz val="11"/>
        <rFont val="Calibri"/>
        <family val="2"/>
        <scheme val="minor"/>
      </rPr>
      <t>mono</t>
    </r>
    <r>
      <rPr>
        <sz val="11"/>
        <rFont val="Calibri"/>
        <family val="2"/>
        <scheme val="minor"/>
      </rPr>
      <t>*f</t>
    </r>
    <r>
      <rPr>
        <vertAlign val="subscript"/>
        <sz val="11"/>
        <rFont val="Calibri"/>
        <family val="2"/>
        <scheme val="minor"/>
      </rPr>
      <t>tri</t>
    </r>
    <r>
      <rPr>
        <sz val="11"/>
        <rFont val="Calibri"/>
        <family val="2"/>
        <scheme val="minor"/>
      </rPr>
      <t>)*f</t>
    </r>
    <r>
      <rPr>
        <vertAlign val="subscript"/>
        <sz val="11"/>
        <rFont val="Calibri"/>
        <family val="2"/>
        <scheme val="minor"/>
      </rPr>
      <t>di</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</si>
  <si>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</si>
  <si>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</si>
  <si>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</si>
  <si>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</si>
  <si>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</si>
  <si>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</si>
  <si>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</si>
  <si>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</si>
  <si>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</si>
  <si>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</si>
  <si>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</si>
  <si>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</si>
  <si>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</si>
  <si>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</si>
  <si>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</si>
  <si>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</si>
  <si>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</si>
  <si>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</si>
  <si>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</si>
  <si>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</si>
  <si>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</si>
  <si>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</si>
  <si>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</si>
  <si>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</si>
  <si>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</si>
  <si>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Dissociation constants - activity corrected</t>
  </si>
  <si>
    <t>Stoichiometric yields</t>
  </si>
  <si>
    <t>Calcium</t>
  </si>
  <si>
    <r>
      <t>g Ca.m</t>
    </r>
    <r>
      <rPr>
        <vertAlign val="superscript"/>
        <sz val="11"/>
        <rFont val="Calibri"/>
        <family val="2"/>
      </rPr>
      <t>-3</t>
    </r>
  </si>
  <si>
    <t>Ca</t>
  </si>
  <si>
    <t>Mg</t>
  </si>
  <si>
    <r>
      <t>map</t>
    </r>
    <r>
      <rPr>
        <vertAlign val="subscript"/>
        <sz val="11"/>
        <rFont val="Calibri"/>
        <family val="2"/>
      </rPr>
      <t>Ca</t>
    </r>
  </si>
  <si>
    <r>
      <t>map</t>
    </r>
    <r>
      <rPr>
        <vertAlign val="subscript"/>
        <sz val="11"/>
        <rFont val="Calibri"/>
        <family val="2"/>
      </rPr>
      <t>Mg</t>
    </r>
  </si>
  <si>
    <t>Calcium fully dissociated</t>
  </si>
  <si>
    <t>Magnesium fully dissociated</t>
  </si>
  <si>
    <r>
      <t>S</t>
    </r>
    <r>
      <rPr>
        <vertAlign val="subscript"/>
        <sz val="11"/>
        <rFont val="Calibri"/>
        <family val="2"/>
      </rPr>
      <t>Ca</t>
    </r>
    <r>
      <rPr>
        <sz val="11"/>
        <rFont val="Calibri"/>
        <family val="2"/>
      </rPr>
      <t>/(AM</t>
    </r>
    <r>
      <rPr>
        <vertAlign val="subscript"/>
        <sz val="11"/>
        <rFont val="Calibri"/>
        <family val="2"/>
      </rPr>
      <t>Ca</t>
    </r>
    <r>
      <rPr>
        <sz val="11"/>
        <rFont val="Calibri"/>
        <family val="2"/>
      </rPr>
      <t>*1000)</t>
    </r>
  </si>
  <si>
    <r>
      <t>S</t>
    </r>
    <r>
      <rPr>
        <vertAlign val="subscript"/>
        <sz val="11"/>
        <rFont val="Calibri"/>
        <family val="2"/>
      </rPr>
      <t>Mg</t>
    </r>
    <r>
      <rPr>
        <sz val="11"/>
        <rFont val="Calibri"/>
        <family val="2"/>
      </rPr>
      <t>/(AM</t>
    </r>
    <r>
      <rPr>
        <vertAlign val="subscript"/>
        <sz val="11"/>
        <rFont val="Calibri"/>
        <family val="2"/>
      </rPr>
      <t>Mg</t>
    </r>
    <r>
      <rPr>
        <sz val="11"/>
        <rFont val="Calibri"/>
        <family val="2"/>
      </rPr>
      <t>*1000)</t>
    </r>
  </si>
  <si>
    <r>
      <t>[Ca</t>
    </r>
    <r>
      <rPr>
        <b/>
        <vertAlign val="superscript"/>
        <sz val="11"/>
        <rFont val="Calibri"/>
        <family val="2"/>
      </rPr>
      <t>2+</t>
    </r>
    <r>
      <rPr>
        <b/>
        <sz val="11"/>
        <rFont val="Calibri"/>
        <family val="2"/>
      </rPr>
      <t>]</t>
    </r>
  </si>
  <si>
    <r>
      <t>[Mg</t>
    </r>
    <r>
      <rPr>
        <b/>
        <vertAlign val="superscript"/>
        <sz val="11"/>
        <rFont val="Calibri"/>
        <family val="2"/>
      </rPr>
      <t>2+</t>
    </r>
    <r>
      <rPr>
        <b/>
        <sz val="11"/>
        <rFont val="Calibri"/>
        <family val="2"/>
      </rPr>
      <t>]</t>
    </r>
  </si>
  <si>
    <t>Calcium ion</t>
  </si>
  <si>
    <t>Magnesium ion</t>
  </si>
  <si>
    <r>
      <t>S</t>
    </r>
    <r>
      <rPr>
        <b/>
        <vertAlign val="subscript"/>
        <sz val="11"/>
        <rFont val="Calibri"/>
        <family val="2"/>
        <scheme val="minor"/>
      </rPr>
      <t>Ca</t>
    </r>
  </si>
  <si>
    <r>
      <t>X</t>
    </r>
    <r>
      <rPr>
        <b/>
        <vertAlign val="subscript"/>
        <sz val="11"/>
        <rFont val="Calibri"/>
        <family val="2"/>
        <scheme val="minor"/>
      </rPr>
      <t>CaCO3</t>
    </r>
  </si>
  <si>
    <r>
      <t>X</t>
    </r>
    <r>
      <rPr>
        <b/>
        <vertAlign val="subscript"/>
        <sz val="12"/>
        <rFont val="Calibri"/>
        <family val="2"/>
        <scheme val="minor"/>
      </rPr>
      <t>CaCO3</t>
    </r>
  </si>
  <si>
    <r>
      <t>i</t>
    </r>
    <r>
      <rPr>
        <vertAlign val="subscript"/>
        <sz val="11"/>
        <rFont val="Calibri"/>
        <family val="2"/>
        <scheme val="minor"/>
      </rPr>
      <t>Ca,PP</t>
    </r>
  </si>
  <si>
    <r>
      <t>i</t>
    </r>
    <r>
      <rPr>
        <vertAlign val="subscript"/>
        <sz val="11"/>
        <rFont val="Calibri"/>
        <family val="2"/>
        <scheme val="minor"/>
      </rPr>
      <t>Mg,PP</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</si>
  <si>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</si>
  <si>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</si>
  <si>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</si>
  <si>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</si>
  <si>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</si>
  <si>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</si>
  <si>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</si>
  <si>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</si>
  <si>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</si>
  <si>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</si>
  <si>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</si>
  <si>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</si>
  <si>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</si>
  <si>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</si>
  <si>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</si>
  <si>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</si>
  <si>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</si>
  <si>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</si>
  <si>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</si>
  <si>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</si>
  <si>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</si>
  <si>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</si>
  <si>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</si>
  <si>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</si>
  <si>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</si>
  <si>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</si>
  <si>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t>Molecular mass of calcium carbonate</t>
  </si>
  <si>
    <t>Molecular mass of struvite</t>
  </si>
  <si>
    <r>
      <t>MM</t>
    </r>
    <r>
      <rPr>
        <vertAlign val="subscript"/>
        <sz val="11"/>
        <rFont val="Calibri"/>
        <family val="2"/>
        <scheme val="minor"/>
      </rPr>
      <t>SiO2</t>
    </r>
  </si>
  <si>
    <t>Molecular mass of silica</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</si>
  <si>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</si>
  <si>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</si>
  <si>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</si>
  <si>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</si>
  <si>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</si>
  <si>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c</t>
    </r>
    <r>
      <rPr>
        <vertAlign val="subscript"/>
        <sz val="11"/>
        <rFont val="Calibri"/>
        <family val="2"/>
        <scheme val="minor"/>
      </rPr>
      <t>g,kg</t>
    </r>
  </si>
  <si>
    <t>Conversion coefficient between grams and kilograms</t>
  </si>
  <si>
    <r>
      <t>c</t>
    </r>
    <r>
      <rPr>
        <vertAlign val="subscript"/>
        <sz val="11"/>
        <rFont val="Calibri"/>
        <family val="2"/>
        <scheme val="minor"/>
      </rPr>
      <t>Pa,Hgmm</t>
    </r>
  </si>
  <si>
    <r>
      <t>c</t>
    </r>
    <r>
      <rPr>
        <vertAlign val="subscript"/>
        <sz val="11"/>
        <rFont val="Calibri"/>
        <family val="2"/>
        <scheme val="minor"/>
      </rPr>
      <t>Pa,bar</t>
    </r>
  </si>
  <si>
    <r>
      <t>c</t>
    </r>
    <r>
      <rPr>
        <vertAlign val="subscript"/>
        <sz val="11"/>
        <rFont val="Calibri"/>
        <family val="2"/>
        <scheme val="minor"/>
      </rPr>
      <t>cm2,m2</t>
    </r>
  </si>
  <si>
    <t>Maximum specific growth rate of HMETO</t>
  </si>
  <si>
    <r>
      <t>S</t>
    </r>
    <r>
      <rPr>
        <b/>
        <vertAlign val="subscript"/>
        <sz val="11"/>
        <rFont val="Calibri"/>
        <family val="2"/>
      </rPr>
      <t>K</t>
    </r>
  </si>
  <si>
    <t>Potassium</t>
  </si>
  <si>
    <r>
      <t>g Na.m</t>
    </r>
    <r>
      <rPr>
        <vertAlign val="superscript"/>
        <sz val="11"/>
        <rFont val="Calibri"/>
        <family val="2"/>
      </rPr>
      <t>-3</t>
    </r>
  </si>
  <si>
    <r>
      <t>g K.m</t>
    </r>
    <r>
      <rPr>
        <vertAlign val="superscript"/>
        <sz val="11"/>
        <rFont val="Calibri"/>
        <family val="2"/>
      </rPr>
      <t>-3</t>
    </r>
  </si>
  <si>
    <r>
      <t>g Cl.m</t>
    </r>
    <r>
      <rPr>
        <vertAlign val="superscript"/>
        <sz val="11"/>
        <rFont val="Calibri"/>
        <family val="2"/>
      </rPr>
      <t>-3</t>
    </r>
  </si>
  <si>
    <r>
      <t>G</t>
    </r>
    <r>
      <rPr>
        <b/>
        <vertAlign val="subscript"/>
        <sz val="11"/>
        <rFont val="Calibri"/>
        <family val="2"/>
        <charset val="238"/>
      </rPr>
      <t>NH3</t>
    </r>
  </si>
  <si>
    <t>Ferrous ion</t>
  </si>
  <si>
    <r>
      <t>G</t>
    </r>
    <r>
      <rPr>
        <b/>
        <vertAlign val="subscript"/>
        <sz val="11"/>
        <rFont val="Calibri"/>
        <family val="2"/>
      </rPr>
      <t>NH3</t>
    </r>
  </si>
  <si>
    <t>Sodium (strong cations)</t>
  </si>
  <si>
    <r>
      <t>[K</t>
    </r>
    <r>
      <rPr>
        <b/>
        <vertAlign val="superscript"/>
        <sz val="11"/>
        <rFont val="Calibri"/>
        <family val="2"/>
      </rPr>
      <t>+</t>
    </r>
    <r>
      <rPr>
        <b/>
        <sz val="11"/>
        <rFont val="Calibri"/>
        <family val="2"/>
      </rPr>
      <t>]</t>
    </r>
  </si>
  <si>
    <t>Chloride (strong anions)</t>
  </si>
  <si>
    <r>
      <t>[Fe</t>
    </r>
    <r>
      <rPr>
        <b/>
        <vertAlign val="superscript"/>
        <sz val="11"/>
        <rFont val="Calibri"/>
        <family val="2"/>
      </rPr>
      <t>2+</t>
    </r>
    <r>
      <rPr>
        <b/>
        <sz val="11"/>
        <rFont val="Calibri"/>
        <family val="2"/>
      </rPr>
      <t>]</t>
    </r>
  </si>
  <si>
    <r>
      <t>10^(-(2835.8/T</t>
    </r>
    <r>
      <rPr>
        <vertAlign val="subscript"/>
        <sz val="11"/>
        <rFont val="Calibri"/>
        <family val="2"/>
        <scheme val="minor"/>
      </rPr>
      <t>K</t>
    </r>
    <r>
      <rPr>
        <sz val="11"/>
        <rFont val="Calibri"/>
        <family val="2"/>
        <scheme val="minor"/>
      </rPr>
      <t xml:space="preserve"> - 0.6322 + 0.00123*T</t>
    </r>
    <r>
      <rPr>
        <vertAlign val="subscript"/>
        <sz val="11"/>
        <rFont val="Calibri"/>
        <family val="2"/>
        <scheme val="minor"/>
      </rPr>
      <t>K</t>
    </r>
    <r>
      <rPr>
        <sz val="11"/>
        <rFont val="Calibri"/>
        <family val="2"/>
        <scheme val="minor"/>
      </rPr>
      <t>))</t>
    </r>
  </si>
  <si>
    <r>
      <t>i</t>
    </r>
    <r>
      <rPr>
        <vertAlign val="subscript"/>
        <sz val="11"/>
        <rFont val="Calibri"/>
        <family val="2"/>
        <scheme val="minor"/>
      </rPr>
      <t>N,CU</t>
    </r>
  </si>
  <si>
    <r>
      <t>i</t>
    </r>
    <r>
      <rPr>
        <vertAlign val="subscript"/>
        <sz val="11"/>
        <rFont val="Calibri"/>
        <family val="2"/>
        <scheme val="minor"/>
      </rPr>
      <t>P,CB</t>
    </r>
  </si>
  <si>
    <r>
      <t>i</t>
    </r>
    <r>
      <rPr>
        <vertAlign val="subscript"/>
        <sz val="11"/>
        <rFont val="Calibri"/>
        <family val="2"/>
        <scheme val="minor"/>
      </rPr>
      <t>P,CU</t>
    </r>
  </si>
  <si>
    <r>
      <t>i</t>
    </r>
    <r>
      <rPr>
        <vertAlign val="subscript"/>
        <sz val="11"/>
        <rFont val="Calibri"/>
        <family val="2"/>
        <scheme val="minor"/>
      </rPr>
      <t>P,SU</t>
    </r>
  </si>
  <si>
    <t>15% of VSS - Ekama</t>
  </si>
  <si>
    <t>and other cations</t>
  </si>
  <si>
    <t>and other anions</t>
  </si>
  <si>
    <t>Diffusion coefficient of ammonia in water</t>
  </si>
  <si>
    <r>
      <t>MM</t>
    </r>
    <r>
      <rPr>
        <vertAlign val="subscript"/>
        <sz val="11"/>
        <rFont val="Calibri"/>
        <family val="2"/>
        <scheme val="minor"/>
      </rPr>
      <t>SO4</t>
    </r>
  </si>
  <si>
    <r>
      <t>MM</t>
    </r>
    <r>
      <rPr>
        <vertAlign val="subscript"/>
        <sz val="11"/>
        <rFont val="Calibri"/>
        <family val="2"/>
        <scheme val="minor"/>
      </rPr>
      <t>HSO4</t>
    </r>
  </si>
  <si>
    <r>
      <t>MM</t>
    </r>
    <r>
      <rPr>
        <vertAlign val="subscript"/>
        <sz val="11"/>
        <rFont val="Calibri"/>
        <family val="2"/>
        <scheme val="minor"/>
      </rPr>
      <t>H2SO4</t>
    </r>
  </si>
  <si>
    <t>N content in GN2</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</si>
  <si>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</si>
  <si>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</si>
  <si>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</si>
  <si>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</si>
  <si>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</si>
  <si>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</si>
  <si>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</si>
  <si>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</si>
  <si>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</si>
  <si>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</si>
  <si>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</si>
  <si>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</si>
  <si>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</si>
  <si>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</si>
  <si>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</si>
  <si>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</si>
  <si>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</si>
  <si>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</si>
  <si>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</si>
  <si>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</si>
  <si>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</si>
  <si>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</si>
  <si>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</si>
  <si>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</si>
  <si>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</si>
  <si>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</si>
  <si>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</si>
  <si>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</si>
  <si>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</si>
  <si>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</si>
  <si>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</si>
  <si>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</si>
  <si>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</si>
  <si>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r>
      <t>S</t>
    </r>
    <r>
      <rPr>
        <vertAlign val="subscript"/>
        <sz val="11"/>
        <rFont val="Calibri"/>
        <family val="2"/>
      </rPr>
      <t>K</t>
    </r>
    <r>
      <rPr>
        <sz val="11"/>
        <rFont val="Calibri"/>
        <family val="2"/>
      </rPr>
      <t>/(AM</t>
    </r>
    <r>
      <rPr>
        <vertAlign val="subscript"/>
        <sz val="11"/>
        <rFont val="Calibri"/>
        <family val="2"/>
      </rPr>
      <t>K</t>
    </r>
    <r>
      <rPr>
        <sz val="11"/>
        <rFont val="Calibri"/>
        <family val="2"/>
      </rPr>
      <t>*1000)</t>
    </r>
  </si>
  <si>
    <r>
      <t>map</t>
    </r>
    <r>
      <rPr>
        <vertAlign val="subscript"/>
        <sz val="11"/>
        <rFont val="Calibri"/>
        <family val="2"/>
      </rPr>
      <t>K</t>
    </r>
  </si>
  <si>
    <r>
      <t>map</t>
    </r>
    <r>
      <rPr>
        <vertAlign val="subscript"/>
        <sz val="11"/>
        <rFont val="Calibri"/>
        <family val="2"/>
      </rPr>
      <t>NO3</t>
    </r>
  </si>
  <si>
    <t>Potassium fully dissociated</t>
  </si>
  <si>
    <r>
      <t>map</t>
    </r>
    <r>
      <rPr>
        <vertAlign val="subscript"/>
        <sz val="11"/>
        <rFont val="Calibri"/>
        <family val="2"/>
      </rPr>
      <t>SFerrous</t>
    </r>
  </si>
  <si>
    <t>Molecular mass of hydrogen chloride</t>
  </si>
  <si>
    <t>Molecular mass of hydrogen sulfate</t>
  </si>
  <si>
    <r>
      <t>MM</t>
    </r>
    <r>
      <rPr>
        <vertAlign val="subscript"/>
        <sz val="11"/>
        <rFont val="Calibri"/>
        <family val="2"/>
        <scheme val="minor"/>
      </rPr>
      <t>GNH3</t>
    </r>
  </si>
  <si>
    <t>Molecular mass of sulfate</t>
  </si>
  <si>
    <r>
      <t>MM</t>
    </r>
    <r>
      <rPr>
        <vertAlign val="subscript"/>
        <sz val="11"/>
        <rFont val="Calibri"/>
        <family val="2"/>
        <scheme val="minor"/>
      </rPr>
      <t>H2S</t>
    </r>
  </si>
  <si>
    <t>N content in GNH3</t>
  </si>
  <si>
    <t>Na</t>
  </si>
  <si>
    <r>
      <t>X</t>
    </r>
    <r>
      <rPr>
        <b/>
        <vertAlign val="subscript"/>
        <sz val="11"/>
        <rFont val="Calibri"/>
        <family val="2"/>
        <scheme val="minor"/>
      </rPr>
      <t>Vivi</t>
    </r>
  </si>
  <si>
    <t>Molecular mass of vivianite</t>
  </si>
  <si>
    <t>Molecular mass of iron sulfide</t>
  </si>
  <si>
    <r>
      <t>MM</t>
    </r>
    <r>
      <rPr>
        <vertAlign val="subscript"/>
        <sz val="11"/>
        <rFont val="Calibri"/>
        <family val="2"/>
        <scheme val="minor"/>
      </rPr>
      <t>H2O</t>
    </r>
  </si>
  <si>
    <t>Molecular mass of water</t>
  </si>
  <si>
    <r>
      <t>MM</t>
    </r>
    <r>
      <rPr>
        <vertAlign val="subscript"/>
        <sz val="11"/>
        <rFont val="Calibri"/>
        <family val="2"/>
        <scheme val="minor"/>
      </rPr>
      <t>Vivi</t>
    </r>
  </si>
  <si>
    <r>
      <t>MM</t>
    </r>
    <r>
      <rPr>
        <vertAlign val="subscript"/>
        <sz val="11"/>
        <rFont val="Calibri"/>
        <family val="2"/>
        <scheme val="minor"/>
      </rPr>
      <t>FeS</t>
    </r>
  </si>
  <si>
    <t xml:space="preserve">                                                      </t>
  </si>
  <si>
    <r>
      <t>i</t>
    </r>
    <r>
      <rPr>
        <vertAlign val="subscript"/>
        <sz val="11"/>
        <rFont val="Calibri"/>
        <family val="2"/>
        <scheme val="minor"/>
      </rPr>
      <t>N,CB</t>
    </r>
  </si>
  <si>
    <r>
      <t>i</t>
    </r>
    <r>
      <rPr>
        <vertAlign val="subscript"/>
        <sz val="11"/>
        <rFont val="Calibri"/>
        <family val="2"/>
        <scheme val="minor"/>
      </rPr>
      <t>N,SU</t>
    </r>
  </si>
  <si>
    <t>Vivianite precipitation</t>
  </si>
  <si>
    <r>
      <t>MgNH</t>
    </r>
    <r>
      <rPr>
        <vertAlign val="subscript"/>
        <sz val="11"/>
        <color indexed="8"/>
        <rFont val="Calibri"/>
        <family val="2"/>
        <scheme val="minor"/>
      </rPr>
      <t>4</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6H</t>
    </r>
    <r>
      <rPr>
        <vertAlign val="subscript"/>
        <sz val="11"/>
        <color indexed="8"/>
        <rFont val="Calibri"/>
        <family val="2"/>
        <scheme val="minor"/>
      </rPr>
      <t>2</t>
    </r>
    <r>
      <rPr>
        <sz val="11"/>
        <color indexed="8"/>
        <rFont val="Calibri"/>
        <family val="2"/>
        <scheme val="minor"/>
      </rPr>
      <t>O</t>
    </r>
  </si>
  <si>
    <t>Amorphous calcium phosphate precipitation</t>
  </si>
  <si>
    <t>Calcium carbonate precipitation</t>
  </si>
  <si>
    <r>
      <t>CaCO</t>
    </r>
    <r>
      <rPr>
        <vertAlign val="subscript"/>
        <sz val="11"/>
        <color indexed="8"/>
        <rFont val="Calibri"/>
        <family val="2"/>
        <scheme val="minor"/>
      </rPr>
      <t>3</t>
    </r>
  </si>
  <si>
    <r>
      <t>Ca</t>
    </r>
    <r>
      <rPr>
        <vertAlign val="subscript"/>
        <sz val="11"/>
        <color indexed="8"/>
        <rFont val="Calibri"/>
        <family val="2"/>
      </rPr>
      <t>3</t>
    </r>
    <r>
      <rPr>
        <sz val="11"/>
        <color indexed="8"/>
        <rFont val="Calibri"/>
        <family val="2"/>
      </rPr>
      <t>(</t>
    </r>
    <r>
      <rPr>
        <sz val="11"/>
        <color indexed="8"/>
        <rFont val="Calibri"/>
        <family val="2"/>
        <scheme val="minor"/>
      </rPr>
      <t>PO</t>
    </r>
    <r>
      <rPr>
        <vertAlign val="subscript"/>
        <sz val="11"/>
        <color indexed="8"/>
        <rFont val="Calibri"/>
        <family val="2"/>
        <scheme val="minor"/>
      </rPr>
      <t>4</t>
    </r>
    <r>
      <rPr>
        <sz val="11"/>
        <color indexed="8"/>
        <rFont val="Calibri"/>
        <family val="2"/>
        <scheme val="minor"/>
      </rPr>
      <t>)</t>
    </r>
    <r>
      <rPr>
        <vertAlign val="subscript"/>
        <sz val="11"/>
        <color indexed="8"/>
        <rFont val="Calibri"/>
        <family val="2"/>
        <scheme val="minor"/>
      </rPr>
      <t>2</t>
    </r>
    <r>
      <rPr>
        <sz val="11"/>
        <color indexed="8"/>
        <rFont val="Calibri"/>
        <family val="2"/>
        <scheme val="minor"/>
      </rPr>
      <t xml:space="preserve"> * 4H</t>
    </r>
    <r>
      <rPr>
        <vertAlign val="subscript"/>
        <sz val="11"/>
        <color indexed="8"/>
        <rFont val="Calibri"/>
        <family val="2"/>
        <scheme val="minor"/>
      </rPr>
      <t>2</t>
    </r>
    <r>
      <rPr>
        <sz val="11"/>
        <color indexed="8"/>
        <rFont val="Calibri"/>
        <family val="2"/>
        <scheme val="minor"/>
      </rPr>
      <t>O</t>
    </r>
  </si>
  <si>
    <r>
      <t>Fe</t>
    </r>
    <r>
      <rPr>
        <vertAlign val="subscript"/>
        <sz val="11"/>
        <color indexed="8"/>
        <rFont val="Calibri"/>
        <family val="2"/>
      </rPr>
      <t>3</t>
    </r>
    <r>
      <rPr>
        <sz val="11"/>
        <color indexed="8"/>
        <rFont val="Calibri"/>
        <family val="2"/>
      </rPr>
      <t>(PO</t>
    </r>
    <r>
      <rPr>
        <vertAlign val="subscript"/>
        <sz val="11"/>
        <color indexed="8"/>
        <rFont val="Calibri"/>
        <family val="2"/>
      </rPr>
      <t>4</t>
    </r>
    <r>
      <rPr>
        <sz val="11"/>
        <color indexed="8"/>
        <rFont val="Calibri"/>
        <family val="2"/>
      </rPr>
      <t>)</t>
    </r>
    <r>
      <rPr>
        <vertAlign val="subscript"/>
        <sz val="11"/>
        <color indexed="8"/>
        <rFont val="Calibri"/>
        <family val="2"/>
      </rPr>
      <t xml:space="preserve">2 </t>
    </r>
    <r>
      <rPr>
        <sz val="11"/>
        <color indexed="8"/>
        <rFont val="Calibri"/>
        <family val="2"/>
      </rPr>
      <t>* 8H</t>
    </r>
    <r>
      <rPr>
        <vertAlign val="subscript"/>
        <sz val="11"/>
        <color indexed="8"/>
        <rFont val="Calibri"/>
        <family val="2"/>
      </rPr>
      <t>2</t>
    </r>
    <r>
      <rPr>
        <sz val="11"/>
        <color indexed="8"/>
        <rFont val="Calibri"/>
        <family val="2"/>
      </rPr>
      <t>O</t>
    </r>
  </si>
  <si>
    <t>Molecular mass of amorphous calcium phosphate</t>
  </si>
  <si>
    <r>
      <t>X</t>
    </r>
    <r>
      <rPr>
        <b/>
        <vertAlign val="subscript"/>
        <sz val="12"/>
        <rFont val="Calibri"/>
        <family val="2"/>
        <scheme val="minor"/>
      </rPr>
      <t>ACP</t>
    </r>
  </si>
  <si>
    <r>
      <t>X</t>
    </r>
    <r>
      <rPr>
        <b/>
        <vertAlign val="subscript"/>
        <sz val="11"/>
        <rFont val="Calibri"/>
        <family val="2"/>
        <scheme val="minor"/>
      </rPr>
      <t>ACP</t>
    </r>
  </si>
  <si>
    <r>
      <t>g TIC.m</t>
    </r>
    <r>
      <rPr>
        <vertAlign val="superscript"/>
        <sz val="11"/>
        <rFont val="Calibri"/>
        <family val="2"/>
      </rPr>
      <t>-3</t>
    </r>
  </si>
  <si>
    <t>Anaerobic endogenous decay products</t>
  </si>
  <si>
    <t>1 / (1 + Exp((halfval - var) * slope))</t>
  </si>
  <si>
    <t>1 / (1 + Exp((var - halfval) * slope))</t>
  </si>
  <si>
    <t>Haldane equation</t>
  </si>
  <si>
    <t>Noncompinh(var; halfinh)</t>
  </si>
  <si>
    <t>Non-competetive inhibition</t>
  </si>
  <si>
    <t>1 / (1 + (var / halfinh))</t>
  </si>
  <si>
    <r>
      <t>i</t>
    </r>
    <r>
      <rPr>
        <vertAlign val="subscript"/>
        <sz val="11"/>
        <rFont val="Calibri"/>
        <family val="2"/>
        <scheme val="minor"/>
      </rPr>
      <t>CV,VFA</t>
    </r>
  </si>
  <si>
    <r>
      <t>i</t>
    </r>
    <r>
      <rPr>
        <vertAlign val="subscript"/>
        <sz val="11"/>
        <rFont val="Calibri"/>
        <family val="2"/>
        <scheme val="minor"/>
      </rPr>
      <t>CV,SB</t>
    </r>
  </si>
  <si>
    <r>
      <t>i</t>
    </r>
    <r>
      <rPr>
        <vertAlign val="subscript"/>
        <sz val="11"/>
        <rFont val="Calibri"/>
        <family val="2"/>
        <scheme val="minor"/>
      </rPr>
      <t>CV,SU</t>
    </r>
  </si>
  <si>
    <r>
      <t>i</t>
    </r>
    <r>
      <rPr>
        <vertAlign val="subscript"/>
        <sz val="11"/>
        <rFont val="Calibri"/>
        <family val="2"/>
        <scheme val="minor"/>
      </rPr>
      <t>CV,CB</t>
    </r>
  </si>
  <si>
    <r>
      <t>i</t>
    </r>
    <r>
      <rPr>
        <vertAlign val="subscript"/>
        <sz val="11"/>
        <rFont val="Calibri"/>
        <family val="2"/>
        <scheme val="minor"/>
      </rPr>
      <t>CV,CU</t>
    </r>
  </si>
  <si>
    <r>
      <t>EEQ</t>
    </r>
    <r>
      <rPr>
        <vertAlign val="subscript"/>
        <sz val="11"/>
        <rFont val="Calibri"/>
        <family val="2"/>
        <scheme val="minor"/>
      </rPr>
      <t>H2S</t>
    </r>
  </si>
  <si>
    <t>-1</t>
  </si>
  <si>
    <r>
      <t>MM</t>
    </r>
    <r>
      <rPr>
        <vertAlign val="subscript"/>
        <sz val="11"/>
        <rFont val="Calibri"/>
        <family val="2"/>
        <scheme val="minor"/>
      </rPr>
      <t>EQ,GH2S</t>
    </r>
  </si>
  <si>
    <t>Molecular mass of GH2S</t>
  </si>
  <si>
    <t>Non-pH</t>
  </si>
  <si>
    <r>
      <t>Henry</t>
    </r>
    <r>
      <rPr>
        <vertAlign val="subscript"/>
        <sz val="11"/>
        <rFont val="Calibri"/>
        <family val="2"/>
        <scheme val="minor"/>
      </rPr>
      <t>GH2S,25</t>
    </r>
  </si>
  <si>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</si>
  <si>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</si>
  <si>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MM</t>
    </r>
    <r>
      <rPr>
        <vertAlign val="subscript"/>
        <sz val="11"/>
        <rFont val="Calibri"/>
        <family val="2"/>
        <scheme val="minor"/>
      </rPr>
      <t>GH2S</t>
    </r>
  </si>
  <si>
    <r>
      <t>f</t>
    </r>
    <r>
      <rPr>
        <vertAlign val="subscript"/>
        <sz val="11"/>
        <rFont val="Calibri"/>
        <family val="2"/>
        <scheme val="minor"/>
      </rPr>
      <t>Na</t>
    </r>
  </si>
  <si>
    <t>To clean up any remaining methanol in digesters without having to ferment mechanistically</t>
  </si>
  <si>
    <r>
      <t>S</t>
    </r>
    <r>
      <rPr>
        <b/>
        <vertAlign val="subscript"/>
        <sz val="11"/>
        <rFont val="Calibri"/>
        <family val="2"/>
      </rPr>
      <t>CAT</t>
    </r>
  </si>
  <si>
    <r>
      <t>S</t>
    </r>
    <r>
      <rPr>
        <b/>
        <vertAlign val="subscript"/>
        <sz val="11"/>
        <rFont val="Calibri"/>
        <family val="2"/>
      </rPr>
      <t>AN</t>
    </r>
  </si>
  <si>
    <r>
      <t>S</t>
    </r>
    <r>
      <rPr>
        <vertAlign val="subscript"/>
        <sz val="11"/>
        <rFont val="Calibri"/>
        <family val="2"/>
        <scheme val="minor"/>
      </rPr>
      <t>CAT</t>
    </r>
  </si>
  <si>
    <r>
      <t>S</t>
    </r>
    <r>
      <rPr>
        <vertAlign val="subscript"/>
        <sz val="11"/>
        <rFont val="Calibri"/>
        <family val="2"/>
      </rPr>
      <t>CAT</t>
    </r>
    <r>
      <rPr>
        <sz val="11"/>
        <rFont val="Calibri"/>
        <family val="2"/>
      </rPr>
      <t>/(AM</t>
    </r>
    <r>
      <rPr>
        <vertAlign val="subscript"/>
        <sz val="11"/>
        <rFont val="Calibri"/>
        <family val="2"/>
      </rPr>
      <t>Na</t>
    </r>
    <r>
      <rPr>
        <sz val="11"/>
        <rFont val="Calibri"/>
        <family val="2"/>
      </rPr>
      <t>*1000)</t>
    </r>
  </si>
  <si>
    <r>
      <t>S</t>
    </r>
    <r>
      <rPr>
        <vertAlign val="subscript"/>
        <sz val="11"/>
        <rFont val="Calibri"/>
        <family val="2"/>
      </rPr>
      <t>AN</t>
    </r>
    <r>
      <rPr>
        <sz val="11"/>
        <rFont val="Calibri"/>
        <family val="2"/>
      </rPr>
      <t>/(AM</t>
    </r>
    <r>
      <rPr>
        <vertAlign val="subscript"/>
        <sz val="11"/>
        <rFont val="Calibri"/>
        <family val="2"/>
      </rPr>
      <t>Cl</t>
    </r>
    <r>
      <rPr>
        <sz val="11"/>
        <rFont val="Calibri"/>
        <family val="2"/>
      </rPr>
      <t>*1000)</t>
    </r>
  </si>
  <si>
    <t>Charge balance error for SCAT calculation</t>
  </si>
  <si>
    <r>
      <t>pH</t>
    </r>
    <r>
      <rPr>
        <vertAlign val="subscript"/>
        <sz val="11"/>
        <rFont val="Calibri"/>
        <family val="2"/>
        <scheme val="minor"/>
      </rPr>
      <t>low</t>
    </r>
  </si>
  <si>
    <r>
      <t>pH</t>
    </r>
    <r>
      <rPr>
        <vertAlign val="subscript"/>
        <sz val="11"/>
        <rFont val="Calibri"/>
        <family val="2"/>
        <scheme val="minor"/>
      </rPr>
      <t>high</t>
    </r>
  </si>
  <si>
    <t>www.dynamita.com</t>
  </si>
  <si>
    <r>
      <t>f(G</t>
    </r>
    <r>
      <rPr>
        <vertAlign val="subscript"/>
        <sz val="11"/>
        <rFont val="Calibri"/>
        <family val="2"/>
      </rPr>
      <t>O2</t>
    </r>
    <r>
      <rPr>
        <sz val="11"/>
        <rFont val="Calibri"/>
        <family val="2"/>
      </rPr>
      <t>)</t>
    </r>
  </si>
  <si>
    <r>
      <t>f(G</t>
    </r>
    <r>
      <rPr>
        <vertAlign val="subscript"/>
        <sz val="11"/>
        <rFont val="Calibri"/>
        <family val="2"/>
      </rPr>
      <t>CO2</t>
    </r>
    <r>
      <rPr>
        <sz val="11"/>
        <rFont val="Calibri"/>
        <family val="2"/>
      </rPr>
      <t>)</t>
    </r>
  </si>
  <si>
    <r>
      <t>f(G</t>
    </r>
    <r>
      <rPr>
        <vertAlign val="subscript"/>
        <sz val="11"/>
        <rFont val="Calibri"/>
        <family val="2"/>
      </rPr>
      <t>CH4</t>
    </r>
    <r>
      <rPr>
        <sz val="11"/>
        <rFont val="Calibri"/>
        <family val="2"/>
      </rPr>
      <t>)</t>
    </r>
  </si>
  <si>
    <r>
      <t>f(G</t>
    </r>
    <r>
      <rPr>
        <vertAlign val="subscript"/>
        <sz val="11"/>
        <rFont val="Calibri"/>
        <family val="2"/>
      </rPr>
      <t>H2</t>
    </r>
    <r>
      <rPr>
        <sz val="11"/>
        <rFont val="Calibri"/>
        <family val="2"/>
      </rPr>
      <t>)</t>
    </r>
  </si>
  <si>
    <r>
      <t>f(G</t>
    </r>
    <r>
      <rPr>
        <vertAlign val="subscript"/>
        <sz val="11"/>
        <rFont val="Calibri"/>
        <family val="2"/>
      </rPr>
      <t>N2</t>
    </r>
    <r>
      <rPr>
        <sz val="11"/>
        <rFont val="Calibri"/>
        <family val="2"/>
      </rPr>
      <t>)</t>
    </r>
  </si>
  <si>
    <t>Other system parameters</t>
  </si>
  <si>
    <t>NoName</t>
  </si>
  <si>
    <t>Testing Attributes</t>
  </si>
  <si>
    <t>Biofilm</t>
  </si>
  <si>
    <t>TestAttribute</t>
  </si>
  <si>
    <r>
      <t>f(G</t>
    </r>
    <r>
      <rPr>
        <vertAlign val="subscript"/>
        <sz val="11"/>
        <rFont val="Calibri"/>
        <family val="2"/>
      </rPr>
      <t>H2S</t>
    </r>
    <r>
      <rPr>
        <sz val="11"/>
        <rFont val="Calibri"/>
        <family val="2"/>
      </rPr>
      <t>)</t>
    </r>
  </si>
  <si>
    <r>
      <t>f(G</t>
    </r>
    <r>
      <rPr>
        <vertAlign val="subscript"/>
        <sz val="11"/>
        <rFont val="Calibri"/>
        <family val="2"/>
      </rPr>
      <t>NH3</t>
    </r>
    <r>
      <rPr>
        <sz val="11"/>
        <rFont val="Calibri"/>
        <family val="2"/>
      </rPr>
      <t>)</t>
    </r>
  </si>
  <si>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</si>
  <si>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r>
      <t>g COD.m</t>
    </r>
    <r>
      <rPr>
        <vertAlign val="superscript"/>
        <sz val="11"/>
        <rFont val="Calibri"/>
        <family val="2"/>
        <scheme val="minor"/>
      </rPr>
      <t>-3</t>
    </r>
  </si>
  <si>
    <r>
      <t>K</t>
    </r>
    <r>
      <rPr>
        <vertAlign val="subscript"/>
        <sz val="11"/>
        <rFont val="Calibri"/>
        <family val="2"/>
        <scheme val="minor"/>
      </rPr>
      <t>PO4,PAO</t>
    </r>
  </si>
  <si>
    <r>
      <t>K</t>
    </r>
    <r>
      <rPr>
        <vertAlign val="subscript"/>
        <sz val="11"/>
        <rFont val="Calibri"/>
        <family val="2"/>
        <scheme val="minor"/>
      </rPr>
      <t>PP,lim</t>
    </r>
  </si>
  <si>
    <r>
      <t>K</t>
    </r>
    <r>
      <rPr>
        <vertAlign val="subscript"/>
        <sz val="11"/>
        <rFont val="Calibri"/>
        <family val="2"/>
        <scheme val="minor"/>
      </rPr>
      <t>HYD</t>
    </r>
  </si>
  <si>
    <r>
      <t>µ</t>
    </r>
    <r>
      <rPr>
        <vertAlign val="subscript"/>
        <sz val="11"/>
        <rFont val="Calibri"/>
        <family val="2"/>
        <scheme val="minor"/>
      </rPr>
      <t>OHO</t>
    </r>
  </si>
  <si>
    <r>
      <t>b</t>
    </r>
    <r>
      <rPr>
        <vertAlign val="subscript"/>
        <sz val="11"/>
        <rFont val="Calibri"/>
        <family val="2"/>
        <scheme val="minor"/>
      </rPr>
      <t>OHO</t>
    </r>
  </si>
  <si>
    <r>
      <t>µ</t>
    </r>
    <r>
      <rPr>
        <vertAlign val="subscript"/>
        <sz val="11"/>
        <rFont val="Calibri"/>
        <family val="2"/>
        <scheme val="minor"/>
      </rPr>
      <t>FERM,OHO</t>
    </r>
  </si>
  <si>
    <r>
      <t>µ</t>
    </r>
    <r>
      <rPr>
        <vertAlign val="subscript"/>
        <sz val="11"/>
        <rFont val="Calibri"/>
        <family val="2"/>
        <scheme val="minor"/>
      </rPr>
      <t>MEOLO</t>
    </r>
  </si>
  <si>
    <r>
      <t>b</t>
    </r>
    <r>
      <rPr>
        <vertAlign val="subscript"/>
        <sz val="11"/>
        <rFont val="Calibri"/>
        <family val="2"/>
        <scheme val="minor"/>
      </rPr>
      <t>MEOLO</t>
    </r>
  </si>
  <si>
    <r>
      <t>q</t>
    </r>
    <r>
      <rPr>
        <vertAlign val="subscript"/>
        <sz val="11"/>
        <rFont val="Calibri"/>
        <family val="2"/>
        <scheme val="minor"/>
      </rPr>
      <t>MEOL</t>
    </r>
  </si>
  <si>
    <r>
      <t>µ</t>
    </r>
    <r>
      <rPr>
        <vertAlign val="subscript"/>
        <sz val="11"/>
        <rFont val="Calibri"/>
        <family val="2"/>
        <scheme val="minor"/>
      </rPr>
      <t>AMETO</t>
    </r>
  </si>
  <si>
    <r>
      <t>b</t>
    </r>
    <r>
      <rPr>
        <vertAlign val="subscript"/>
        <sz val="11"/>
        <rFont val="Calibri"/>
        <family val="2"/>
        <scheme val="minor"/>
      </rPr>
      <t>AMETO</t>
    </r>
    <r>
      <rPr>
        <sz val="11"/>
        <color indexed="8"/>
        <rFont val="Calibri"/>
        <family val="2"/>
      </rPr>
      <t/>
    </r>
  </si>
  <si>
    <t>Parameters for half saturation coefficients in biofilms</t>
  </si>
  <si>
    <r>
      <rPr>
        <sz val="11"/>
        <rFont val="Calibri"/>
        <family val="2"/>
        <scheme val="minor"/>
      </rPr>
      <t>f</t>
    </r>
    <r>
      <rPr>
        <vertAlign val="subscript"/>
        <sz val="11"/>
        <rFont val="Calibri"/>
        <family val="2"/>
        <scheme val="minor"/>
      </rPr>
      <t>KS,biofilm</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</si>
  <si>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</si>
  <si>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</si>
  <si>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</si>
  <si>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</si>
  <si>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</si>
  <si>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</si>
  <si>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</si>
  <si>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</si>
  <si>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</si>
  <si>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t>Diffusion coefficient of hydrogen sulfide in water @ 25°C</t>
  </si>
  <si>
    <t>Enthalpy of water at 0°C</t>
  </si>
  <si>
    <t>Molecular mass of hydrogen sulphide</t>
  </si>
  <si>
    <r>
      <t>MM</t>
    </r>
    <r>
      <rPr>
        <vertAlign val="subscript"/>
        <sz val="11"/>
        <rFont val="Calibri"/>
        <family val="2"/>
        <scheme val="minor"/>
      </rPr>
      <t>ACP</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</si>
  <si>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</si>
  <si>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Precipitation/redissolution rates</t>
  </si>
  <si>
    <t>Digester</t>
  </si>
  <si>
    <t>NonDetect</t>
  </si>
  <si>
    <r>
      <t>g TIC.m</t>
    </r>
    <r>
      <rPr>
        <vertAlign val="superscript"/>
        <sz val="11"/>
        <rFont val="Calibri"/>
        <family val="2"/>
        <scheme val="minor"/>
      </rPr>
      <t>-3</t>
    </r>
  </si>
  <si>
    <t>Type(Energy)</t>
  </si>
  <si>
    <t>Temperature [K]</t>
  </si>
  <si>
    <t>Temperature [°C]</t>
  </si>
  <si>
    <t>°C</t>
  </si>
  <si>
    <t>Zero</t>
  </si>
  <si>
    <t xml:space="preserve">  </t>
  </si>
  <si>
    <t>Type(Chargebalance)</t>
  </si>
  <si>
    <t>Rate</t>
  </si>
  <si>
    <r>
      <t>f(S</t>
    </r>
    <r>
      <rPr>
        <vertAlign val="subscript"/>
        <sz val="11"/>
        <rFont val="Calibri"/>
        <family val="2"/>
        <scheme val="minor"/>
      </rPr>
      <t>CO2</t>
    </r>
    <r>
      <rPr>
        <sz val="11"/>
        <rFont val="Calibri"/>
        <family val="2"/>
        <scheme val="minor"/>
      </rPr>
      <t>); pH</t>
    </r>
  </si>
  <si>
    <r>
      <t>f(S</t>
    </r>
    <r>
      <rPr>
        <vertAlign val="subscript"/>
        <sz val="11"/>
        <rFont val="Calibri"/>
        <family val="2"/>
        <scheme val="minor"/>
      </rPr>
      <t>PO4</t>
    </r>
    <r>
      <rPr>
        <sz val="11"/>
        <rFont val="Calibri"/>
        <family val="2"/>
        <scheme val="minor"/>
      </rPr>
      <t>);pH</t>
    </r>
  </si>
  <si>
    <r>
      <t>f(S</t>
    </r>
    <r>
      <rPr>
        <vertAlign val="subscript"/>
        <sz val="11"/>
        <rFont val="Calibri"/>
        <family val="2"/>
        <scheme val="minor"/>
      </rPr>
      <t>Ca</t>
    </r>
    <r>
      <rPr>
        <sz val="11"/>
        <rFont val="Calibri"/>
        <family val="2"/>
        <scheme val="minor"/>
      </rPr>
      <t>); pH</t>
    </r>
  </si>
  <si>
    <r>
      <t>f(S</t>
    </r>
    <r>
      <rPr>
        <vertAlign val="subscript"/>
        <sz val="11"/>
        <rFont val="Calibri"/>
        <family val="2"/>
      </rPr>
      <t>Mg</t>
    </r>
    <r>
      <rPr>
        <sz val="11"/>
        <rFont val="Calibri"/>
        <family val="2"/>
      </rPr>
      <t>); pH</t>
    </r>
  </si>
  <si>
    <r>
      <t>f(S</t>
    </r>
    <r>
      <rPr>
        <vertAlign val="subscript"/>
        <sz val="11"/>
        <rFont val="Calibri"/>
        <family val="2"/>
      </rPr>
      <t>CAT</t>
    </r>
    <r>
      <rPr>
        <sz val="11"/>
        <rFont val="Calibri"/>
        <family val="2"/>
      </rPr>
      <t>); pH</t>
    </r>
  </si>
  <si>
    <r>
      <t>f(S</t>
    </r>
    <r>
      <rPr>
        <vertAlign val="subscript"/>
        <sz val="11"/>
        <rFont val="Calibri"/>
        <family val="2"/>
      </rPr>
      <t>K</t>
    </r>
    <r>
      <rPr>
        <sz val="11"/>
        <rFont val="Calibri"/>
        <family val="2"/>
      </rPr>
      <t>); pH</t>
    </r>
  </si>
  <si>
    <r>
      <t>f(S</t>
    </r>
    <r>
      <rPr>
        <vertAlign val="subscript"/>
        <sz val="11"/>
        <rFont val="Calibri"/>
        <family val="2"/>
      </rPr>
      <t>AN</t>
    </r>
    <r>
      <rPr>
        <sz val="11"/>
        <rFont val="Calibri"/>
        <family val="2"/>
      </rPr>
      <t>); pH</t>
    </r>
  </si>
  <si>
    <t>Hsat(var; halfval; halfinh)</t>
  </si>
  <si>
    <t>var / (halfval + var + (var^2/halfinh))</t>
  </si>
  <si>
    <t>Arrhenius coefficient for fermentation (OHO)</t>
  </si>
  <si>
    <t>Arrhenius coefficient for flocculation</t>
  </si>
  <si>
    <t>Arrhenius coefficient for hydrolysis</t>
  </si>
  <si>
    <t>Arrhenius coefficient for ammonification</t>
  </si>
  <si>
    <t>Arrhenius coefficient for PO4 conversion</t>
  </si>
  <si>
    <t>Arrhenius coefficient endogenous residual conversion</t>
  </si>
  <si>
    <t>Arrhenius coefficient assimilative kinetics</t>
  </si>
  <si>
    <t>Arrhenius coefficient for OHO growth</t>
  </si>
  <si>
    <t>Arrhenius coefficient for OHO decay</t>
  </si>
  <si>
    <t>Arrhenius coefficient for MEOLO growth</t>
  </si>
  <si>
    <t>Arrhenius coefficient for MEOLO decay</t>
  </si>
  <si>
    <t>Arrhenius coefficient for PAO growth (P limited)</t>
  </si>
  <si>
    <t>Arrhenius coefficient for PHA storage</t>
  </si>
  <si>
    <t>Arrhenius coefficient for anaerobic PP storage</t>
  </si>
  <si>
    <t>Arrhenius coefficient for AMETO growth</t>
  </si>
  <si>
    <t>Arrhenius coefficient for AMETO decay</t>
  </si>
  <si>
    <t>Arrhenius coefficient for HMETO growth</t>
  </si>
  <si>
    <t>Arrhenius coefficient for HMETO decay</t>
  </si>
  <si>
    <r>
      <t>f(S</t>
    </r>
    <r>
      <rPr>
        <vertAlign val="subscript"/>
        <sz val="11"/>
        <rFont val="Calibri"/>
        <family val="2"/>
        <scheme val="minor"/>
      </rPr>
      <t>NHx</t>
    </r>
    <r>
      <rPr>
        <sz val="11"/>
        <rFont val="Calibri"/>
        <family val="2"/>
        <scheme val="minor"/>
      </rPr>
      <t>); pH</t>
    </r>
  </si>
  <si>
    <t>Non-Biofilm</t>
  </si>
  <si>
    <t>Non-pHSet; pH</t>
  </si>
  <si>
    <r>
      <t>[AN</t>
    </r>
    <r>
      <rPr>
        <b/>
        <vertAlign val="superscript"/>
        <sz val="11"/>
        <rFont val="Calibri"/>
        <family val="2"/>
      </rPr>
      <t>-</t>
    </r>
    <r>
      <rPr>
        <b/>
        <sz val="11"/>
        <rFont val="Calibri"/>
        <family val="2"/>
      </rPr>
      <t>]</t>
    </r>
  </si>
  <si>
    <r>
      <t>[CAT</t>
    </r>
    <r>
      <rPr>
        <b/>
        <vertAlign val="superscript"/>
        <sz val="11"/>
        <rFont val="Calibri"/>
        <family val="2"/>
      </rPr>
      <t>+</t>
    </r>
    <r>
      <rPr>
        <b/>
        <sz val="11"/>
        <rFont val="Calibri"/>
        <family val="2"/>
      </rPr>
      <t>]</t>
    </r>
  </si>
  <si>
    <t>Parameters for gas transfer</t>
  </si>
  <si>
    <t>BigNumber</t>
  </si>
  <si>
    <t>pHSet</t>
  </si>
  <si>
    <r>
      <t>Diffusion coefficient of N</t>
    </r>
    <r>
      <rPr>
        <vertAlign val="subscript"/>
        <sz val="11"/>
        <rFont val="Calibri"/>
        <family val="2"/>
      </rPr>
      <t>2</t>
    </r>
    <r>
      <rPr>
        <sz val="11"/>
        <rFont val="Calibri"/>
        <family val="2"/>
      </rPr>
      <t>O in water @ 25°C</t>
    </r>
  </si>
  <si>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</si>
  <si>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</si>
  <si>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</si>
  <si>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</si>
  <si>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</si>
  <si>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</si>
  <si>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scheme val="minor"/>
      </rPr>
      <t>EQ,GN2</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</si>
  <si>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</si>
  <si>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</si>
  <si>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</si>
  <si>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</si>
  <si>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</si>
  <si>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</si>
  <si>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t>Hvitved-Jacobsen 2013</t>
  </si>
  <si>
    <t>base is sulphate</t>
  </si>
  <si>
    <t>pH = 4.1929</t>
  </si>
  <si>
    <t>Standard enthalpy of hydrogen sulfide (aq)</t>
  </si>
  <si>
    <t>Standard enthalpy of bisulfide ion</t>
  </si>
  <si>
    <t xml:space="preserve">Minteq V4 H+ + HS- = H2S  (log_k 7.02/ delta_h -22 kJ)and  HS- = S-2 + H+ ( log_k -17.3/delta_h 49.4 kJ)
</t>
  </si>
  <si>
    <t>Standard enthalpy of sulfide ion</t>
  </si>
  <si>
    <t>Standard enthalpy of sulfuric acid</t>
  </si>
  <si>
    <t>Standard enthalpy of hydrosulfate ion</t>
  </si>
  <si>
    <t>Minteq V4 H+ + SO42- = HSO4- (log_k 1.99/ delta_h 22 kJ) and http://bluedevilchem.com/honorshome/hch10/hch10docs/files/heatsformation.pdf</t>
  </si>
  <si>
    <t>Standard enthalpy of sulfate ion</t>
  </si>
  <si>
    <r>
      <t>S</t>
    </r>
    <r>
      <rPr>
        <vertAlign val="subscript"/>
        <sz val="11"/>
        <rFont val="Calibri"/>
        <family val="2"/>
        <scheme val="minor"/>
      </rPr>
      <t>ALK</t>
    </r>
  </si>
  <si>
    <r>
      <t>f</t>
    </r>
    <r>
      <rPr>
        <vertAlign val="subscript"/>
        <sz val="11"/>
        <rFont val="Calibri"/>
        <family val="2"/>
      </rPr>
      <t>mono,IS,cat</t>
    </r>
  </si>
  <si>
    <r>
      <t>f</t>
    </r>
    <r>
      <rPr>
        <vertAlign val="subscript"/>
        <sz val="11"/>
        <rFont val="Calibri"/>
        <family val="2"/>
      </rPr>
      <t>mono,IS,an</t>
    </r>
  </si>
  <si>
    <r>
      <t>f</t>
    </r>
    <r>
      <rPr>
        <vertAlign val="subscript"/>
        <sz val="11"/>
        <rFont val="Calibri"/>
        <family val="2"/>
      </rPr>
      <t>di,IS,an</t>
    </r>
  </si>
  <si>
    <r>
      <t>f</t>
    </r>
    <r>
      <rPr>
        <vertAlign val="subscript"/>
        <sz val="11"/>
        <rFont val="Calibri"/>
        <family val="2"/>
      </rPr>
      <t>tri,IS,an</t>
    </r>
  </si>
  <si>
    <r>
      <t>f</t>
    </r>
    <r>
      <rPr>
        <vertAlign val="subscript"/>
        <sz val="11"/>
        <rFont val="Calibri"/>
        <family val="2"/>
      </rPr>
      <t>di,IS,cat</t>
    </r>
  </si>
  <si>
    <t>Enthalpy</t>
  </si>
  <si>
    <t>Water with 0°C is considered to have zero enthalpy. Initial values are calculated for 20°C</t>
  </si>
  <si>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</si>
  <si>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</si>
  <si>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</si>
  <si>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</si>
  <si>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</si>
  <si>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</si>
  <si>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</si>
  <si>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</si>
  <si>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</si>
  <si>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r>
      <t>MM</t>
    </r>
    <r>
      <rPr>
        <vertAlign val="subscript"/>
        <sz val="11"/>
        <rFont val="Calibri"/>
        <family val="2"/>
        <scheme val="minor"/>
      </rPr>
      <t>CaPO4</t>
    </r>
  </si>
  <si>
    <r>
      <t>MM</t>
    </r>
    <r>
      <rPr>
        <vertAlign val="subscript"/>
        <sz val="11"/>
        <rFont val="Calibri"/>
        <family val="2"/>
        <scheme val="minor"/>
      </rPr>
      <t>CaHPO4</t>
    </r>
  </si>
  <si>
    <r>
      <t>MM</t>
    </r>
    <r>
      <rPr>
        <vertAlign val="subscript"/>
        <sz val="11"/>
        <rFont val="Calibri"/>
        <family val="2"/>
        <scheme val="minor"/>
      </rPr>
      <t>CaH2PO4</t>
    </r>
  </si>
  <si>
    <r>
      <t>MM</t>
    </r>
    <r>
      <rPr>
        <vertAlign val="subscript"/>
        <sz val="11"/>
        <rFont val="Calibri"/>
        <family val="2"/>
        <scheme val="minor"/>
      </rPr>
      <t>MgOH</t>
    </r>
  </si>
  <si>
    <r>
      <t>MM</t>
    </r>
    <r>
      <rPr>
        <vertAlign val="subscript"/>
        <sz val="11"/>
        <rFont val="Calibri"/>
        <family val="2"/>
        <scheme val="minor"/>
      </rPr>
      <t>MgCO3</t>
    </r>
  </si>
  <si>
    <r>
      <t>MM</t>
    </r>
    <r>
      <rPr>
        <vertAlign val="subscript"/>
        <sz val="11"/>
        <rFont val="Calibri"/>
        <family val="2"/>
        <scheme val="minor"/>
      </rPr>
      <t>MgHCO3</t>
    </r>
  </si>
  <si>
    <r>
      <t>MM</t>
    </r>
    <r>
      <rPr>
        <vertAlign val="subscript"/>
        <sz val="11"/>
        <rFont val="Calibri"/>
        <family val="2"/>
        <scheme val="minor"/>
      </rPr>
      <t>MgHPO4</t>
    </r>
  </si>
  <si>
    <r>
      <t>MM</t>
    </r>
    <r>
      <rPr>
        <vertAlign val="subscript"/>
        <sz val="11"/>
        <rFont val="Calibri"/>
        <family val="2"/>
        <scheme val="minor"/>
      </rPr>
      <t>MgPO4</t>
    </r>
  </si>
  <si>
    <r>
      <t>MM</t>
    </r>
    <r>
      <rPr>
        <vertAlign val="subscript"/>
        <sz val="11"/>
        <rFont val="Calibri"/>
        <family val="2"/>
        <scheme val="minor"/>
      </rPr>
      <t>MgH2PO4</t>
    </r>
  </si>
  <si>
    <r>
      <t>MM</t>
    </r>
    <r>
      <rPr>
        <vertAlign val="subscript"/>
        <sz val="11"/>
        <rFont val="Calibri"/>
        <family val="2"/>
        <scheme val="minor"/>
      </rPr>
      <t>NaHPO4</t>
    </r>
  </si>
  <si>
    <t>Precipitation constants</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</si>
  <si>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</si>
  <si>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</si>
  <si>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</si>
  <si>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</si>
  <si>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</si>
  <si>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r>
      <t>g.m</t>
    </r>
    <r>
      <rPr>
        <vertAlign val="superscript"/>
        <sz val="11"/>
        <rFont val="Calibri"/>
        <family val="2"/>
        <scheme val="minor"/>
      </rPr>
      <t>-3</t>
    </r>
    <r>
      <rPr>
        <sz val="11"/>
        <rFont val="Calibri"/>
        <family val="2"/>
        <scheme val="minor"/>
      </rPr>
      <t>.d</t>
    </r>
    <r>
      <rPr>
        <vertAlign val="superscript"/>
        <sz val="11"/>
        <rFont val="Calibri"/>
        <family val="2"/>
        <scheme val="minor"/>
      </rPr>
      <t>-1</t>
    </r>
  </si>
  <si>
    <t>d-1</t>
  </si>
  <si>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</si>
  <si>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t>Precipitation constants - activity corrected</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</si>
  <si>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</si>
  <si>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</si>
  <si>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sp,Vivi,param</t>
    </r>
  </si>
  <si>
    <r>
      <t>K</t>
    </r>
    <r>
      <rPr>
        <vertAlign val="subscript"/>
        <sz val="11"/>
        <rFont val="Calibri"/>
        <family val="2"/>
        <scheme val="minor"/>
      </rPr>
      <t>sp,HDP,param</t>
    </r>
  </si>
  <si>
    <r>
      <t>K</t>
    </r>
    <r>
      <rPr>
        <vertAlign val="subscript"/>
        <sz val="11"/>
        <rFont val="Calibri"/>
        <family val="2"/>
        <scheme val="minor"/>
      </rPr>
      <t>sp,MKP,param</t>
    </r>
  </si>
  <si>
    <r>
      <t>K</t>
    </r>
    <r>
      <rPr>
        <vertAlign val="subscript"/>
        <sz val="11"/>
        <rFont val="Calibri"/>
        <family val="2"/>
        <scheme val="minor"/>
      </rPr>
      <t>sp,ACP,param</t>
    </r>
  </si>
  <si>
    <r>
      <t>K</t>
    </r>
    <r>
      <rPr>
        <vertAlign val="subscript"/>
        <sz val="11"/>
        <rFont val="Calibri"/>
        <family val="2"/>
        <scheme val="minor"/>
      </rPr>
      <t>sp,STR</t>
    </r>
  </si>
  <si>
    <r>
      <t>K</t>
    </r>
    <r>
      <rPr>
        <vertAlign val="subscript"/>
        <sz val="11"/>
        <rFont val="Calibri"/>
        <family val="2"/>
        <scheme val="minor"/>
      </rPr>
      <t>sp,Vivi</t>
    </r>
  </si>
  <si>
    <r>
      <t>K</t>
    </r>
    <r>
      <rPr>
        <vertAlign val="subscript"/>
        <sz val="11"/>
        <rFont val="Calibri"/>
        <family val="2"/>
        <scheme val="minor"/>
      </rPr>
      <t>sp,ACP</t>
    </r>
  </si>
  <si>
    <r>
      <t>K</t>
    </r>
    <r>
      <rPr>
        <vertAlign val="subscript"/>
        <sz val="11"/>
        <rFont val="Calibri"/>
        <family val="2"/>
        <scheme val="minor"/>
      </rPr>
      <t>sp,CaCO3</t>
    </r>
  </si>
  <si>
    <r>
      <t>EEQ</t>
    </r>
    <r>
      <rPr>
        <vertAlign val="subscript"/>
        <sz val="11"/>
        <rFont val="Calibri"/>
        <family val="2"/>
        <scheme val="minor"/>
      </rPr>
      <t>S</t>
    </r>
  </si>
  <si>
    <t>Molecular mass of CaHCO3+</t>
  </si>
  <si>
    <t>Molecular mass of CaPO4-</t>
  </si>
  <si>
    <t>Molecular mass of CaHPO4</t>
  </si>
  <si>
    <t>Molecular mass of CaH2PO4+</t>
  </si>
  <si>
    <t>Molecular mass of MgOH+</t>
  </si>
  <si>
    <t>Molecular mass of MgCO3</t>
  </si>
  <si>
    <t>Molecular mass of MgHCO3+</t>
  </si>
  <si>
    <t>Molecular mass of MgHPO4</t>
  </si>
  <si>
    <t>Molecular mass of MgPO4-</t>
  </si>
  <si>
    <t>Molecular mass of MgH2PO4+</t>
  </si>
  <si>
    <t>Molecular mass of NaHPO4-</t>
  </si>
  <si>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</si>
  <si>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</si>
  <si>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</si>
  <si>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r>
      <t>K</t>
    </r>
    <r>
      <rPr>
        <vertAlign val="subscript"/>
        <sz val="11"/>
        <rFont val="Calibri"/>
        <family val="2"/>
        <scheme val="minor"/>
      </rPr>
      <t>SO42,param</t>
    </r>
  </si>
  <si>
    <r>
      <t>K</t>
    </r>
    <r>
      <rPr>
        <vertAlign val="subscript"/>
        <sz val="11"/>
        <rFont val="Calibri"/>
        <family val="2"/>
        <scheme val="minor"/>
      </rPr>
      <t>sp,FeS,param</t>
    </r>
  </si>
  <si>
    <r>
      <t>EEQ</t>
    </r>
    <r>
      <rPr>
        <vertAlign val="subscript"/>
        <sz val="11"/>
        <rFont val="Calibri"/>
        <family val="2"/>
        <scheme val="minor"/>
      </rPr>
      <t>Fe2</t>
    </r>
  </si>
  <si>
    <r>
      <t>Electron equivalence of Fe</t>
    </r>
    <r>
      <rPr>
        <vertAlign val="superscript"/>
        <sz val="11"/>
        <rFont val="Calibri"/>
        <family val="2"/>
        <scheme val="minor"/>
      </rPr>
      <t>2+</t>
    </r>
  </si>
  <si>
    <r>
      <t>H</t>
    </r>
    <r>
      <rPr>
        <vertAlign val="subscript"/>
        <sz val="11"/>
        <rFont val="Calibri"/>
        <family val="2"/>
        <scheme val="minor"/>
      </rPr>
      <t>H2S</t>
    </r>
  </si>
  <si>
    <r>
      <t>H</t>
    </r>
    <r>
      <rPr>
        <vertAlign val="subscript"/>
        <sz val="11"/>
        <rFont val="Calibri"/>
        <family val="2"/>
        <scheme val="minor"/>
      </rPr>
      <t>HSm</t>
    </r>
  </si>
  <si>
    <r>
      <t>H</t>
    </r>
    <r>
      <rPr>
        <vertAlign val="subscript"/>
        <sz val="11"/>
        <rFont val="Calibri"/>
        <family val="2"/>
        <scheme val="minor"/>
      </rPr>
      <t>S2m</t>
    </r>
  </si>
  <si>
    <r>
      <t>H</t>
    </r>
    <r>
      <rPr>
        <vertAlign val="subscript"/>
        <sz val="11"/>
        <rFont val="Calibri"/>
        <family val="2"/>
        <scheme val="minor"/>
      </rPr>
      <t>H2SO4</t>
    </r>
  </si>
  <si>
    <r>
      <t>H</t>
    </r>
    <r>
      <rPr>
        <vertAlign val="subscript"/>
        <sz val="11"/>
        <rFont val="Calibri"/>
        <family val="2"/>
        <scheme val="minor"/>
      </rPr>
      <t>HSO4m</t>
    </r>
  </si>
  <si>
    <r>
      <t>H</t>
    </r>
    <r>
      <rPr>
        <vertAlign val="subscript"/>
        <sz val="11"/>
        <rFont val="Calibri"/>
        <family val="2"/>
        <scheme val="minor"/>
      </rPr>
      <t>SO42m</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</si>
  <si>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</si>
  <si>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</si>
  <si>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</si>
  <si>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</si>
  <si>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</si>
  <si>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HFO,H,P</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</si>
  <si>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</si>
  <si>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X</t>
    </r>
    <r>
      <rPr>
        <vertAlign val="subscript"/>
        <sz val="11"/>
        <rFont val="Calibri"/>
        <family val="2"/>
      </rPr>
      <t>HFO,L,P</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</si>
  <si>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t>r30</t>
  </si>
  <si>
    <t>r31</t>
  </si>
  <si>
    <t>Precipitation kinetics</t>
  </si>
  <si>
    <t>Arrhenius coefficient for ferrous iron oxidation kinetics</t>
  </si>
  <si>
    <t>Arrhenius coefficient for ferric iron reduction kinetics</t>
  </si>
  <si>
    <r>
      <t>i</t>
    </r>
    <r>
      <rPr>
        <vertAlign val="subscript"/>
        <sz val="11"/>
        <rFont val="Calibri"/>
        <family val="2"/>
        <scheme val="minor"/>
      </rPr>
      <t>N,XSTR</t>
    </r>
  </si>
  <si>
    <r>
      <t>i</t>
    </r>
    <r>
      <rPr>
        <vertAlign val="subscript"/>
        <sz val="11"/>
        <rFont val="Calibri"/>
        <family val="2"/>
        <scheme val="minor"/>
      </rPr>
      <t>P,XACP</t>
    </r>
  </si>
  <si>
    <r>
      <t>q</t>
    </r>
    <r>
      <rPr>
        <vertAlign val="subscript"/>
        <sz val="11"/>
        <color theme="1"/>
        <rFont val="Calibri"/>
        <family val="2"/>
        <scheme val="minor"/>
      </rPr>
      <t>STR</t>
    </r>
  </si>
  <si>
    <r>
      <t>q</t>
    </r>
    <r>
      <rPr>
        <vertAlign val="subscript"/>
        <sz val="11"/>
        <color theme="1"/>
        <rFont val="Calibri"/>
        <family val="2"/>
        <scheme val="minor"/>
      </rPr>
      <t>ACP</t>
    </r>
  </si>
  <si>
    <r>
      <t>q</t>
    </r>
    <r>
      <rPr>
        <vertAlign val="subscript"/>
        <sz val="11"/>
        <color theme="1"/>
        <rFont val="Calibri"/>
        <family val="2"/>
        <scheme val="minor"/>
      </rPr>
      <t>CaCO3</t>
    </r>
  </si>
  <si>
    <r>
      <t>q</t>
    </r>
    <r>
      <rPr>
        <vertAlign val="subscript"/>
        <sz val="11"/>
        <color theme="1"/>
        <rFont val="Calibri"/>
        <family val="2"/>
        <scheme val="minor"/>
      </rPr>
      <t>Vivi</t>
    </r>
  </si>
  <si>
    <r>
      <t>i</t>
    </r>
    <r>
      <rPr>
        <vertAlign val="subscript"/>
        <sz val="11"/>
        <rFont val="Calibri"/>
        <family val="2"/>
        <scheme val="minor"/>
      </rPr>
      <t>P,XVivi</t>
    </r>
  </si>
  <si>
    <t>2/3</t>
  </si>
  <si>
    <t>1/3</t>
  </si>
  <si>
    <r>
      <t>i</t>
    </r>
    <r>
      <rPr>
        <vertAlign val="subscript"/>
        <sz val="11"/>
        <rFont val="Calibri"/>
        <family val="2"/>
        <scheme val="minor"/>
      </rPr>
      <t>K,PP</t>
    </r>
  </si>
  <si>
    <t>(k)/(s/x+k)</t>
  </si>
  <si>
    <t>Logsat(var; halfval; slope)</t>
  </si>
  <si>
    <t>Loginh(var; halfval; slope)</t>
  </si>
  <si>
    <t>Dmp(dx; x)</t>
  </si>
  <si>
    <t xml:space="preserve">Derivative damping </t>
  </si>
  <si>
    <r>
      <t>Henry</t>
    </r>
    <r>
      <rPr>
        <vertAlign val="subscript"/>
        <sz val="11"/>
        <rFont val="Calibri"/>
        <family val="2"/>
        <scheme val="minor"/>
      </rPr>
      <t>GO2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</si>
  <si>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</si>
  <si>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</si>
  <si>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</si>
  <si>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</si>
  <si>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</si>
  <si>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</si>
  <si>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</si>
  <si>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</si>
  <si>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</si>
  <si>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</si>
  <si>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</si>
  <si>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</si>
  <si>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</si>
  <si>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</si>
  <si>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</si>
  <si>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</si>
  <si>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</si>
  <si>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Temperature dependent Henry coefficient for CH</t>
    </r>
    <r>
      <rPr>
        <vertAlign val="subscript"/>
        <sz val="11"/>
        <rFont val="Calibri"/>
        <family val="2"/>
        <scheme val="minor"/>
      </rPr>
      <t>4</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</si>
  <si>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</si>
  <si>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C++ functions</t>
  </si>
  <si>
    <t>New functions to be used only in C++ (must follow C++ syntax)</t>
  </si>
  <si>
    <t>SignedAbs(x1; x2)</t>
  </si>
  <si>
    <t>Abs value with sign of x2</t>
  </si>
  <si>
    <t>Sign(x2) * abs(x1)</t>
  </si>
  <si>
    <t>Damp(x)</t>
  </si>
  <si>
    <t xml:space="preserve">Logarithmic damping </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</si>
  <si>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</si>
  <si>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</si>
  <si>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</si>
  <si>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</si>
  <si>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</si>
  <si>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</si>
  <si>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</si>
  <si>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</si>
  <si>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</si>
  <si>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</si>
  <si>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</si>
  <si>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</si>
  <si>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</si>
  <si>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</si>
  <si>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</si>
  <si>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</si>
  <si>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</si>
  <si>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If(BOOL a;b;c)</t>
  </si>
  <si>
    <t>if (a is true) then b else c</t>
  </si>
  <si>
    <t>return a ? b : c;</t>
  </si>
  <si>
    <t>Average([] x)</t>
  </si>
  <si>
    <t>Average of array elements</t>
  </si>
  <si>
    <t>Max([] x)</t>
  </si>
  <si>
    <t>Maximum of array elements</t>
  </si>
  <si>
    <t>Min([] x)</t>
  </si>
  <si>
    <t>Minimum of array elements</t>
  </si>
  <si>
    <t>Sum([] x)</t>
  </si>
  <si>
    <t>Sum of array elements</t>
  </si>
  <si>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</si>
  <si>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</si>
  <si>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</si>
  <si>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</si>
  <si>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</si>
  <si>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</si>
  <si>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</si>
  <si>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</si>
  <si>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</si>
  <si>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</si>
  <si>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</si>
  <si>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</si>
  <si>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</si>
  <si>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</si>
  <si>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</si>
  <si>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</si>
  <si>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</si>
  <si>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</si>
  <si>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</si>
  <si>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</si>
  <si>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</si>
  <si>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</si>
  <si>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</si>
  <si>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</si>
  <si>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</si>
  <si>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</si>
  <si>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</si>
  <si>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</si>
  <si>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</si>
  <si>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</si>
  <si>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SUMO to C++ mapping</t>
  </si>
  <si>
    <t>Straight mapping from Excel to C++. Will work in both</t>
  </si>
  <si>
    <t>Min(a;b)</t>
  </si>
  <si>
    <t>min(a,b)</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</si>
  <si>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</si>
  <si>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</si>
  <si>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</si>
  <si>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</si>
  <si>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</si>
  <si>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</si>
  <si>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</si>
  <si>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</si>
  <si>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</si>
  <si>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</si>
  <si>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</si>
  <si>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</si>
  <si>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</si>
  <si>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</si>
  <si>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</si>
  <si>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</si>
  <si>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</si>
  <si>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</si>
  <si>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t>Max(a;b;c;d;e;f;g;h;i;j;k;l)</t>
  </si>
  <si>
    <t>max(Max(a;b;c;d;e;f;g;h;i;j;k);l)</t>
  </si>
  <si>
    <t>Max(a;b;c;d;e;f;g;h;i;j;k;l;m)</t>
  </si>
  <si>
    <t>max(Max(a;b;c;d;e;f;g;h;i;j;k;l);m)</t>
  </si>
  <si>
    <t>Max(a;b;c;d;e;f;g;h;i;j;k;l;m;n)</t>
  </si>
  <si>
    <t>max(Max(a;b;c;d;e;f;g;h;i;j;k;l;m);n)</t>
  </si>
  <si>
    <t>Max(a;b;c;d;e;f;g;h;i;j;k;l;m;n;o)</t>
  </si>
  <si>
    <t>max(Max(a;b;c;d;e;f;g;h;i;j;k;l;m;n);o)</t>
  </si>
  <si>
    <t>Max(a;b;c;d;e;f;g;h;i;j;k;l;m;n;o;p)</t>
  </si>
  <si>
    <t>max(Max(a;b;c;d;e;f;g;h;i;j;k;l;m;n;o);p)</t>
  </si>
  <si>
    <t>Max(a;b;c;d;e;f;g;h;i;j;k;l;m;n;o;p;q)</t>
  </si>
  <si>
    <t>max(Max(a;b;c;d;e;f;g;h;i;j;k;l;m;n;o;p);q)</t>
  </si>
  <si>
    <t>Max(a;b;c;d;e;f;g;h;i;j;k;l;m;n;o;p;q;r)</t>
  </si>
  <si>
    <t>max(Max(a;b;c;d;e;f;g;h;i;j;k;l;m;n;o;p;q);r)</t>
  </si>
  <si>
    <t>Max(a;b;c;d;e;f;g;h;i;j;k;l;m;n;o;p;q;r;s)</t>
  </si>
  <si>
    <t>max(Max(a;b;c;d;e;f;g;h;i;j;k;l;m;n;o;p;q;r);s)</t>
  </si>
  <si>
    <t>Max(a;b;c;d;e;f;g;h;i;j;k;l;m;n;o;p;q;r;s;t)</t>
  </si>
  <si>
    <t>max(Max(a;b;c;d;e;f;g;h;i;j;k;l;m;n;o;p;q;r;s);t)</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</si>
  <si>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</si>
  <si>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</si>
  <si>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</si>
  <si>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</si>
  <si>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</si>
  <si>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</si>
  <si>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</si>
  <si>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</si>
  <si>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</si>
  <si>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</si>
  <si>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</si>
  <si>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</si>
  <si>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</si>
  <si>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</si>
  <si>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</si>
  <si>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</si>
  <si>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Pure</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</si>
  <si>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</si>
  <si>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</si>
  <si>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</si>
  <si>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</si>
  <si>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</si>
  <si>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</si>
  <si>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</si>
  <si>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</si>
  <si>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</si>
  <si>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</si>
  <si>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</si>
  <si>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</si>
  <si>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</si>
  <si>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</si>
  <si>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</si>
  <si>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</si>
  <si>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</si>
  <si>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</si>
  <si>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</si>
  <si>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</si>
  <si>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</si>
  <si>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</si>
  <si>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</si>
  <si>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</si>
  <si>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</si>
  <si>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</si>
  <si>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</si>
  <si>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</si>
  <si>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</si>
  <si>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</si>
  <si>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</si>
  <si>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</si>
  <si>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</si>
  <si>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</si>
  <si>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</si>
  <si>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</si>
  <si>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</si>
  <si>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</si>
  <si>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</si>
  <si>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round</t>
  </si>
  <si>
    <t>Round value to next integer</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</si>
  <si>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</si>
  <si>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</si>
  <si>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</si>
  <si>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</si>
  <si>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</si>
  <si>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</si>
  <si>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</si>
  <si>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</si>
  <si>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</si>
  <si>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</si>
  <si>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</si>
  <si>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</si>
  <si>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</si>
  <si>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int</t>
  </si>
  <si>
    <t>converts to integer</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</si>
  <si>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</si>
  <si>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</si>
  <si>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</si>
  <si>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</si>
  <si>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</si>
  <si>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</si>
  <si>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</si>
  <si>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</si>
  <si>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</si>
  <si>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</si>
  <si>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</si>
  <si>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</si>
  <si>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</si>
  <si>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</si>
  <si>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</si>
  <si>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</si>
  <si>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</si>
  <si>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</si>
  <si>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</si>
  <si>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S</t>
    </r>
    <r>
      <rPr>
        <b/>
        <vertAlign val="subscript"/>
        <sz val="11"/>
        <rFont val="Calibri"/>
        <family val="2"/>
        <scheme val="minor"/>
      </rPr>
      <t>Fe2</t>
    </r>
  </si>
  <si>
    <r>
      <t>S</t>
    </r>
    <r>
      <rPr>
        <vertAlign val="subscript"/>
        <sz val="11"/>
        <rFont val="Calibri"/>
        <family val="2"/>
      </rPr>
      <t>Fe2</t>
    </r>
    <r>
      <rPr>
        <sz val="11"/>
        <rFont val="Calibri"/>
        <family val="2"/>
      </rPr>
      <t>/(AM</t>
    </r>
    <r>
      <rPr>
        <vertAlign val="subscript"/>
        <sz val="11"/>
        <rFont val="Calibri"/>
        <family val="2"/>
      </rPr>
      <t>Fe</t>
    </r>
    <r>
      <rPr>
        <sz val="11"/>
        <rFont val="Calibri"/>
        <family val="2"/>
      </rPr>
      <t>*1000)</t>
    </r>
  </si>
  <si>
    <t>Total iron</t>
  </si>
  <si>
    <r>
      <t>PrecipDrivingForce</t>
    </r>
    <r>
      <rPr>
        <vertAlign val="subscript"/>
        <sz val="11"/>
        <color theme="1"/>
        <rFont val="Calibri"/>
        <family val="2"/>
        <scheme val="minor"/>
      </rPr>
      <t>ACP</t>
    </r>
  </si>
  <si>
    <r>
      <t>PrecipDrivingForce</t>
    </r>
    <r>
      <rPr>
        <vertAlign val="subscript"/>
        <sz val="11"/>
        <color theme="1"/>
        <rFont val="Calibri"/>
        <family val="2"/>
        <scheme val="minor"/>
      </rPr>
      <t>CaCO3</t>
    </r>
  </si>
  <si>
    <t>Sidestream</t>
  </si>
  <si>
    <r>
      <t>g TIC.m</t>
    </r>
    <r>
      <rPr>
        <vertAlign val="superscript"/>
        <sz val="11"/>
        <color indexed="8"/>
        <rFont val="Calibri"/>
        <family val="2"/>
        <scheme val="minor"/>
      </rPr>
      <t>-3</t>
    </r>
  </si>
  <si>
    <r>
      <t>f(S</t>
    </r>
    <r>
      <rPr>
        <vertAlign val="subscript"/>
        <sz val="11"/>
        <rFont val="Calibri"/>
        <family val="2"/>
      </rPr>
      <t>VFA</t>
    </r>
    <r>
      <rPr>
        <sz val="11"/>
        <rFont val="Calibri"/>
        <family val="2"/>
      </rPr>
      <t>)pH</t>
    </r>
  </si>
  <si>
    <t>Non-Biofilm; Non-Sidestream</t>
  </si>
  <si>
    <t>Biofilm; Non-Sidestream</t>
  </si>
  <si>
    <r>
      <t>g Mg.m</t>
    </r>
    <r>
      <rPr>
        <vertAlign val="superscript"/>
        <sz val="11"/>
        <rFont val="Calibri"/>
        <family val="2"/>
        <scheme val="minor"/>
      </rPr>
      <t>-3</t>
    </r>
  </si>
  <si>
    <r>
      <t>g K.m</t>
    </r>
    <r>
      <rPr>
        <vertAlign val="superscript"/>
        <sz val="11"/>
        <rFont val="Calibri"/>
        <family val="2"/>
        <scheme val="minor"/>
      </rPr>
      <t>-3</t>
    </r>
  </si>
  <si>
    <r>
      <t>g Ca.m</t>
    </r>
    <r>
      <rPr>
        <vertAlign val="superscript"/>
        <sz val="11"/>
        <rFont val="Calibri"/>
        <family val="2"/>
        <scheme val="minor"/>
      </rPr>
      <t>-3</t>
    </r>
  </si>
  <si>
    <r>
      <t>K</t>
    </r>
    <r>
      <rPr>
        <vertAlign val="subscript"/>
        <sz val="11"/>
        <rFont val="Calibri"/>
        <family val="2"/>
        <scheme val="minor"/>
      </rPr>
      <t>Mg,PAO</t>
    </r>
  </si>
  <si>
    <r>
      <t>K</t>
    </r>
    <r>
      <rPr>
        <vertAlign val="subscript"/>
        <sz val="11"/>
        <rFont val="Calibri"/>
        <family val="2"/>
        <scheme val="minor"/>
      </rPr>
      <t>K,PAO</t>
    </r>
  </si>
  <si>
    <r>
      <t>K</t>
    </r>
    <r>
      <rPr>
        <vertAlign val="subscript"/>
        <sz val="11"/>
        <rFont val="Calibri"/>
        <family val="2"/>
        <scheme val="minor"/>
      </rPr>
      <t>Ca,PAO</t>
    </r>
  </si>
  <si>
    <t>Precipitation</t>
  </si>
  <si>
    <r>
      <t>f(S</t>
    </r>
    <r>
      <rPr>
        <vertAlign val="subscript"/>
        <sz val="11"/>
        <rFont val="Calibri"/>
        <family val="2"/>
      </rPr>
      <t>Fe2</t>
    </r>
    <r>
      <rPr>
        <sz val="11"/>
        <rFont val="Calibri"/>
        <family val="2"/>
      </rPr>
      <t>); pH</t>
    </r>
  </si>
  <si>
    <r>
      <t>f(X</t>
    </r>
    <r>
      <rPr>
        <vertAlign val="subscript"/>
        <sz val="11"/>
        <rFont val="Calibri"/>
        <family val="2"/>
      </rPr>
      <t>B</t>
    </r>
    <r>
      <rPr>
        <sz val="11"/>
        <rFont val="Calibri"/>
        <family val="2"/>
      </rPr>
      <t>)</t>
    </r>
  </si>
  <si>
    <r>
      <t>i</t>
    </r>
    <r>
      <rPr>
        <vertAlign val="subscript"/>
        <sz val="11"/>
        <rFont val="Calibri"/>
        <family val="2"/>
        <scheme val="minor"/>
      </rPr>
      <t>CIT,BIO</t>
    </r>
  </si>
  <si>
    <r>
      <t>-EEQ</t>
    </r>
    <r>
      <rPr>
        <vertAlign val="subscript"/>
        <sz val="11"/>
        <rFont val="Calibri"/>
        <family val="2"/>
        <scheme val="minor"/>
      </rPr>
      <t>NO3</t>
    </r>
  </si>
  <si>
    <r>
      <t>-EEQ</t>
    </r>
    <r>
      <rPr>
        <vertAlign val="subscript"/>
        <sz val="11"/>
        <rFont val="Calibri"/>
        <family val="2"/>
        <scheme val="minor"/>
      </rPr>
      <t>N2</t>
    </r>
  </si>
  <si>
    <r>
      <t>3*AM</t>
    </r>
    <r>
      <rPr>
        <vertAlign val="subscript"/>
        <sz val="11"/>
        <rFont val="Calibri"/>
        <family val="2"/>
      </rPr>
      <t>Fe</t>
    </r>
    <r>
      <rPr>
        <sz val="11"/>
        <rFont val="Calibri"/>
        <family val="2"/>
      </rPr>
      <t>/MM</t>
    </r>
    <r>
      <rPr>
        <vertAlign val="subscript"/>
        <sz val="11"/>
        <rFont val="Calibri"/>
        <family val="2"/>
      </rPr>
      <t>Vivi</t>
    </r>
    <r>
      <rPr>
        <sz val="11"/>
        <rFont val="Calibri"/>
        <family val="2"/>
      </rPr>
      <t>*EEQ</t>
    </r>
    <r>
      <rPr>
        <vertAlign val="subscript"/>
        <sz val="11"/>
        <rFont val="Calibri"/>
        <family val="2"/>
      </rPr>
      <t>Fe2</t>
    </r>
  </si>
  <si>
    <r>
      <t>i</t>
    </r>
    <r>
      <rPr>
        <vertAlign val="subscript"/>
        <sz val="11"/>
        <rFont val="Calibri"/>
        <family val="2"/>
      </rPr>
      <t>N,BIO</t>
    </r>
  </si>
  <si>
    <r>
      <t>AM</t>
    </r>
    <r>
      <rPr>
        <vertAlign val="subscript"/>
        <sz val="11"/>
        <rFont val="Calibri"/>
        <family val="2"/>
        <scheme val="minor"/>
      </rPr>
      <t>N</t>
    </r>
    <r>
      <rPr>
        <sz val="11"/>
        <rFont val="Calibri"/>
        <family val="2"/>
        <scheme val="minor"/>
      </rPr>
      <t>/MM</t>
    </r>
    <r>
      <rPr>
        <vertAlign val="subscript"/>
        <sz val="11"/>
        <rFont val="Calibri"/>
        <family val="2"/>
        <scheme val="minor"/>
      </rPr>
      <t>STR</t>
    </r>
  </si>
  <si>
    <r>
      <t>i</t>
    </r>
    <r>
      <rPr>
        <vertAlign val="subscript"/>
        <sz val="11"/>
        <rFont val="Calibri"/>
        <family val="2"/>
      </rPr>
      <t>P,BIO</t>
    </r>
  </si>
  <si>
    <r>
      <t>2*AM</t>
    </r>
    <r>
      <rPr>
        <vertAlign val="subscript"/>
        <sz val="11"/>
        <rFont val="Calibri"/>
        <family val="2"/>
        <scheme val="minor"/>
      </rPr>
      <t>P</t>
    </r>
    <r>
      <rPr>
        <sz val="11"/>
        <rFont val="Calibri"/>
        <family val="2"/>
        <scheme val="minor"/>
      </rPr>
      <t>/MM</t>
    </r>
    <r>
      <rPr>
        <vertAlign val="subscript"/>
        <sz val="11"/>
        <rFont val="Calibri"/>
        <family val="2"/>
        <scheme val="minor"/>
      </rPr>
      <t>ACP</t>
    </r>
  </si>
  <si>
    <r>
      <t>AM</t>
    </r>
    <r>
      <rPr>
        <vertAlign val="subscript"/>
        <sz val="11"/>
        <rFont val="Calibri"/>
        <family val="2"/>
        <scheme val="minor"/>
      </rPr>
      <t>P</t>
    </r>
    <r>
      <rPr>
        <sz val="11"/>
        <rFont val="Calibri"/>
        <family val="2"/>
        <scheme val="minor"/>
      </rPr>
      <t>/MM</t>
    </r>
    <r>
      <rPr>
        <vertAlign val="subscript"/>
        <sz val="11"/>
        <rFont val="Calibri"/>
        <family val="2"/>
        <scheme val="minor"/>
      </rPr>
      <t>STR</t>
    </r>
  </si>
  <si>
    <r>
      <t>2*AM</t>
    </r>
    <r>
      <rPr>
        <vertAlign val="subscript"/>
        <sz val="11"/>
        <rFont val="Calibri"/>
        <family val="2"/>
      </rPr>
      <t>P</t>
    </r>
    <r>
      <rPr>
        <sz val="11"/>
        <rFont val="Calibri"/>
        <family val="2"/>
      </rPr>
      <t>/MM</t>
    </r>
    <r>
      <rPr>
        <vertAlign val="subscript"/>
        <sz val="11"/>
        <rFont val="Calibri"/>
        <family val="2"/>
      </rPr>
      <t>Vivi</t>
    </r>
  </si>
  <si>
    <r>
      <t>i</t>
    </r>
    <r>
      <rPr>
        <vertAlign val="subscript"/>
        <sz val="11"/>
        <rFont val="Calibri"/>
        <family val="2"/>
        <scheme val="minor"/>
      </rPr>
      <t>K,PP</t>
    </r>
    <r>
      <rPr>
        <sz val="11"/>
        <rFont val="Calibri"/>
        <family val="2"/>
        <scheme val="minor"/>
      </rPr>
      <t>*AM</t>
    </r>
    <r>
      <rPr>
        <vertAlign val="subscript"/>
        <sz val="11"/>
        <rFont val="Calibri"/>
        <family val="2"/>
        <scheme val="minor"/>
      </rPr>
      <t>K</t>
    </r>
    <r>
      <rPr>
        <sz val="11"/>
        <rFont val="Calibri"/>
        <family val="2"/>
        <scheme val="minor"/>
      </rPr>
      <t>/AM</t>
    </r>
    <r>
      <rPr>
        <vertAlign val="subscript"/>
        <sz val="11"/>
        <rFont val="Calibri"/>
        <family val="2"/>
        <scheme val="minor"/>
      </rPr>
      <t>P</t>
    </r>
  </si>
  <si>
    <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</si>
  <si>
    <r>
      <t>AM</t>
    </r>
    <r>
      <rPr>
        <vertAlign val="subscript"/>
        <sz val="11"/>
        <rFont val="Calibri"/>
        <family val="2"/>
        <scheme val="minor"/>
      </rPr>
      <t>Ca</t>
    </r>
    <r>
      <rPr>
        <sz val="11"/>
        <rFont val="Calibri"/>
        <family val="2"/>
        <scheme val="minor"/>
      </rPr>
      <t>/MM</t>
    </r>
    <r>
      <rPr>
        <vertAlign val="subscript"/>
        <sz val="11"/>
        <rFont val="Calibri"/>
        <family val="2"/>
        <scheme val="minor"/>
      </rPr>
      <t>CaCO3</t>
    </r>
  </si>
  <si>
    <r>
      <t>3*AM</t>
    </r>
    <r>
      <rPr>
        <vertAlign val="subscript"/>
        <sz val="11"/>
        <rFont val="Calibri"/>
        <family val="2"/>
        <scheme val="minor"/>
      </rPr>
      <t>Ca</t>
    </r>
    <r>
      <rPr>
        <sz val="11"/>
        <rFont val="Calibri"/>
        <family val="2"/>
        <scheme val="minor"/>
      </rPr>
      <t>/MM</t>
    </r>
    <r>
      <rPr>
        <vertAlign val="subscript"/>
        <sz val="11"/>
        <rFont val="Calibri"/>
        <family val="2"/>
        <scheme val="minor"/>
      </rPr>
      <t>ACP</t>
    </r>
  </si>
  <si>
    <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</si>
  <si>
    <r>
      <t>AM</t>
    </r>
    <r>
      <rPr>
        <vertAlign val="subscript"/>
        <sz val="11"/>
        <rFont val="Calibri"/>
        <family val="2"/>
        <scheme val="minor"/>
      </rPr>
      <t>Mg</t>
    </r>
    <r>
      <rPr>
        <sz val="11"/>
        <rFont val="Calibri"/>
        <family val="2"/>
        <scheme val="minor"/>
      </rPr>
      <t>/MM</t>
    </r>
    <r>
      <rPr>
        <vertAlign val="subscript"/>
        <sz val="11"/>
        <rFont val="Calibri"/>
        <family val="2"/>
        <scheme val="minor"/>
      </rPr>
      <t>STR</t>
    </r>
  </si>
  <si>
    <r>
      <t>3*AM</t>
    </r>
    <r>
      <rPr>
        <vertAlign val="subscript"/>
        <sz val="11"/>
        <rFont val="Calibri"/>
        <family val="2"/>
      </rPr>
      <t>Fe</t>
    </r>
    <r>
      <rPr>
        <sz val="11"/>
        <rFont val="Calibri"/>
        <family val="2"/>
      </rPr>
      <t>/MM</t>
    </r>
    <r>
      <rPr>
        <vertAlign val="subscript"/>
        <sz val="11"/>
        <rFont val="Calibri"/>
        <family val="2"/>
      </rPr>
      <t>Vivi</t>
    </r>
  </si>
  <si>
    <r>
      <t>S</t>
    </r>
    <r>
      <rPr>
        <b/>
        <vertAlign val="subscript"/>
        <sz val="11"/>
        <rFont val="Calibri"/>
        <family val="2"/>
        <scheme val="minor"/>
      </rPr>
      <t>Mg</t>
    </r>
  </si>
  <si>
    <r>
      <t>X</t>
    </r>
    <r>
      <rPr>
        <b/>
        <vertAlign val="subscript"/>
        <sz val="11"/>
        <rFont val="Calibri"/>
        <family val="2"/>
        <scheme val="minor"/>
      </rPr>
      <t>HFO,H</t>
    </r>
  </si>
  <si>
    <r>
      <t>X</t>
    </r>
    <r>
      <rPr>
        <b/>
        <vertAlign val="subscript"/>
        <sz val="11"/>
        <rFont val="Calibri"/>
        <family val="2"/>
        <scheme val="minor"/>
      </rPr>
      <t>HFO,L</t>
    </r>
  </si>
  <si>
    <r>
      <t>X</t>
    </r>
    <r>
      <rPr>
        <b/>
        <vertAlign val="subscript"/>
        <sz val="11"/>
        <rFont val="Calibri"/>
        <family val="2"/>
        <scheme val="minor"/>
      </rPr>
      <t>HFO,old</t>
    </r>
  </si>
  <si>
    <r>
      <t>X</t>
    </r>
    <r>
      <rPr>
        <b/>
        <vertAlign val="subscript"/>
        <sz val="11"/>
        <rFont val="Calibri"/>
        <family val="2"/>
        <scheme val="minor"/>
      </rPr>
      <t>HFO,H,P</t>
    </r>
  </si>
  <si>
    <r>
      <t>X</t>
    </r>
    <r>
      <rPr>
        <b/>
        <vertAlign val="subscript"/>
        <sz val="11"/>
        <rFont val="Calibri"/>
        <family val="2"/>
        <scheme val="minor"/>
      </rPr>
      <t>HFO,L,P</t>
    </r>
  </si>
  <si>
    <r>
      <t>X</t>
    </r>
    <r>
      <rPr>
        <b/>
        <vertAlign val="subscript"/>
        <sz val="11"/>
        <rFont val="Calibri"/>
        <family val="2"/>
      </rPr>
      <t>HFO,H,P,old</t>
    </r>
  </si>
  <si>
    <r>
      <t>X</t>
    </r>
    <r>
      <rPr>
        <b/>
        <vertAlign val="subscript"/>
        <sz val="11"/>
        <rFont val="Calibri"/>
        <family val="2"/>
      </rPr>
      <t>HFO,L,P,old</t>
    </r>
  </si>
  <si>
    <r>
      <t>G</t>
    </r>
    <r>
      <rPr>
        <b/>
        <vertAlign val="subscript"/>
        <sz val="11"/>
        <rFont val="Calibri"/>
        <family val="2"/>
      </rPr>
      <t>CO2</t>
    </r>
  </si>
  <si>
    <r>
      <t>G</t>
    </r>
    <r>
      <rPr>
        <b/>
        <vertAlign val="subscript"/>
        <sz val="11"/>
        <rFont val="Calibri"/>
        <family val="2"/>
      </rPr>
      <t>CH4</t>
    </r>
  </si>
  <si>
    <r>
      <t>G</t>
    </r>
    <r>
      <rPr>
        <b/>
        <vertAlign val="subscript"/>
        <sz val="11"/>
        <rFont val="Calibri"/>
        <family val="2"/>
      </rPr>
      <t>H2</t>
    </r>
  </si>
  <si>
    <r>
      <t>G</t>
    </r>
    <r>
      <rPr>
        <b/>
        <vertAlign val="subscript"/>
        <sz val="11"/>
        <rFont val="Calibri"/>
        <family val="2"/>
      </rPr>
      <t>O2</t>
    </r>
  </si>
  <si>
    <r>
      <t>G</t>
    </r>
    <r>
      <rPr>
        <b/>
        <vertAlign val="subscript"/>
        <sz val="11"/>
        <rFont val="Calibri"/>
        <family val="2"/>
      </rPr>
      <t>N2</t>
    </r>
  </si>
  <si>
    <r>
      <t>OHO growth on VFAs, O</t>
    </r>
    <r>
      <rPr>
        <vertAlign val="subscript"/>
        <sz val="11"/>
        <color rgb="FF000000"/>
        <rFont val="Calibri"/>
        <family val="2"/>
        <scheme val="minor"/>
      </rPr>
      <t>2</t>
    </r>
  </si>
  <si>
    <r>
      <t>-i</t>
    </r>
    <r>
      <rPr>
        <vertAlign val="subscript"/>
        <sz val="11"/>
        <rFont val="Calibri"/>
        <family val="2"/>
      </rPr>
      <t>N,BIO</t>
    </r>
  </si>
  <si>
    <r>
      <t>-i</t>
    </r>
    <r>
      <rPr>
        <vertAlign val="subscript"/>
        <sz val="11"/>
        <rFont val="Calibri"/>
        <family val="2"/>
      </rPr>
      <t>P,BIO</t>
    </r>
  </si>
  <si>
    <r>
      <t>OHO growth on S</t>
    </r>
    <r>
      <rPr>
        <vertAlign val="subscript"/>
        <sz val="11"/>
        <color rgb="FF000000"/>
        <rFont val="Calibri"/>
        <family val="2"/>
        <scheme val="minor"/>
      </rPr>
      <t>B</t>
    </r>
    <r>
      <rPr>
        <sz val="11"/>
        <color rgb="FF000000"/>
        <rFont val="Calibri"/>
        <family val="2"/>
        <charset val="238"/>
        <scheme val="minor"/>
      </rPr>
      <t>, O</t>
    </r>
    <r>
      <rPr>
        <vertAlign val="subscript"/>
        <sz val="11"/>
        <color rgb="FF000000"/>
        <rFont val="Calibri"/>
        <family val="2"/>
        <scheme val="minor"/>
      </rPr>
      <t>2</t>
    </r>
  </si>
  <si>
    <r>
      <t>OHO growth on S</t>
    </r>
    <r>
      <rPr>
        <vertAlign val="subscript"/>
        <sz val="11"/>
        <color rgb="FF000000"/>
        <rFont val="Calibri"/>
        <family val="2"/>
        <scheme val="minor"/>
      </rPr>
      <t>MEOL</t>
    </r>
    <r>
      <rPr>
        <sz val="11"/>
        <color rgb="FF000000"/>
        <rFont val="Calibri"/>
        <family val="2"/>
        <charset val="238"/>
        <scheme val="minor"/>
      </rPr>
      <t>, O</t>
    </r>
    <r>
      <rPr>
        <vertAlign val="subscript"/>
        <sz val="11"/>
        <color rgb="FF000000"/>
        <rFont val="Calibri"/>
        <family val="2"/>
        <scheme val="minor"/>
      </rPr>
      <t>2</t>
    </r>
  </si>
  <si>
    <r>
      <t>1-f</t>
    </r>
    <r>
      <rPr>
        <vertAlign val="subscript"/>
        <sz val="11"/>
        <rFont val="Calibri"/>
        <family val="2"/>
      </rPr>
      <t>E</t>
    </r>
  </si>
  <si>
    <r>
      <t>f</t>
    </r>
    <r>
      <rPr>
        <vertAlign val="subscript"/>
        <sz val="11"/>
        <rFont val="Calibri"/>
        <family val="2"/>
      </rPr>
      <t>E</t>
    </r>
  </si>
  <si>
    <r>
      <t>(1-f</t>
    </r>
    <r>
      <rPr>
        <vertAlign val="subscript"/>
        <sz val="11"/>
        <rFont val="Calibri"/>
        <family val="2"/>
      </rPr>
      <t>E</t>
    </r>
    <r>
      <rPr>
        <sz val="11"/>
        <rFont val="Calibri"/>
        <family val="2"/>
      </rPr>
      <t>)*i</t>
    </r>
    <r>
      <rPr>
        <vertAlign val="subscript"/>
        <sz val="11"/>
        <rFont val="Calibri"/>
        <family val="2"/>
      </rPr>
      <t>N,BIO</t>
    </r>
  </si>
  <si>
    <r>
      <t>(1-f</t>
    </r>
    <r>
      <rPr>
        <vertAlign val="subscript"/>
        <sz val="11"/>
        <rFont val="Calibri"/>
        <family val="2"/>
      </rPr>
      <t>E</t>
    </r>
    <r>
      <rPr>
        <sz val="11"/>
        <rFont val="Calibri"/>
        <family val="2"/>
      </rPr>
      <t>)*i</t>
    </r>
    <r>
      <rPr>
        <vertAlign val="subscript"/>
        <sz val="11"/>
        <rFont val="Calibri"/>
        <family val="2"/>
      </rPr>
      <t>P,BIO</t>
    </r>
  </si>
  <si>
    <r>
      <t>MEOLO growth, NO</t>
    </r>
    <r>
      <rPr>
        <vertAlign val="subscript"/>
        <sz val="11"/>
        <color rgb="FF000000"/>
        <rFont val="Calibri"/>
        <family val="2"/>
        <scheme val="minor"/>
      </rPr>
      <t>3</t>
    </r>
  </si>
  <si>
    <r>
      <t>-1/Y</t>
    </r>
    <r>
      <rPr>
        <vertAlign val="subscript"/>
        <sz val="11"/>
        <rFont val="Calibri"/>
        <family val="2"/>
      </rPr>
      <t>MEOLO</t>
    </r>
  </si>
  <si>
    <r>
      <t>PAO growth on PHA, 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</si>
  <si>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P,BIO</t>
    </r>
  </si>
  <si>
    <r>
      <t>PAO growth on PHA, NO</t>
    </r>
    <r>
      <rPr>
        <vertAlign val="subscript"/>
        <sz val="11"/>
        <color rgb="FF000000"/>
        <rFont val="Calibri"/>
        <family val="2"/>
        <scheme val="minor"/>
      </rPr>
      <t>3</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</si>
  <si>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f</t>
    </r>
    <r>
      <rPr>
        <vertAlign val="subscript"/>
        <sz val="11"/>
        <rFont val="Calibri"/>
        <family val="2"/>
      </rPr>
      <t>P,VFA</t>
    </r>
  </si>
  <si>
    <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</si>
  <si>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</si>
  <si>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</si>
  <si>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*f</t>
    </r>
    <r>
      <rPr>
        <vertAlign val="subscript"/>
        <sz val="11"/>
        <rFont val="Calibri"/>
        <family val="2"/>
      </rPr>
      <t>P,VFA</t>
    </r>
  </si>
  <si>
    <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</si>
  <si>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</si>
  <si>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</si>
  <si>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-i</t>
    </r>
    <r>
      <rPr>
        <vertAlign val="subscript"/>
        <sz val="11"/>
        <rFont val="Calibri"/>
        <family val="2"/>
      </rPr>
      <t>CIT,BIO</t>
    </r>
  </si>
  <si>
    <r>
      <t>-1/Y</t>
    </r>
    <r>
      <rPr>
        <vertAlign val="subscript"/>
        <sz val="11"/>
        <rFont val="Calibri"/>
        <family val="2"/>
      </rPr>
      <t>AMETO</t>
    </r>
  </si>
  <si>
    <r>
      <t>(1-Y</t>
    </r>
    <r>
      <rPr>
        <vertAlign val="subscript"/>
        <sz val="11"/>
        <rFont val="Calibri"/>
        <family val="2"/>
      </rPr>
      <t>AMETO</t>
    </r>
    <r>
      <rPr>
        <sz val="11"/>
        <rFont val="Calibri"/>
        <family val="2"/>
      </rPr>
      <t>)/Y</t>
    </r>
    <r>
      <rPr>
        <vertAlign val="subscript"/>
        <sz val="11"/>
        <rFont val="Calibri"/>
        <family val="2"/>
      </rPr>
      <t>AMETO</t>
    </r>
  </si>
  <si>
    <r>
      <t>(1-Y</t>
    </r>
    <r>
      <rPr>
        <vertAlign val="subscript"/>
        <sz val="11"/>
        <rFont val="Calibri"/>
        <family val="2"/>
      </rPr>
      <t>HMETO</t>
    </r>
    <r>
      <rPr>
        <sz val="11"/>
        <rFont val="Calibri"/>
        <family val="2"/>
      </rPr>
      <t>)/Y</t>
    </r>
    <r>
      <rPr>
        <vertAlign val="subscript"/>
        <sz val="11"/>
        <rFont val="Calibri"/>
        <family val="2"/>
      </rPr>
      <t>HMETO</t>
    </r>
  </si>
  <si>
    <r>
      <t>-1/Y</t>
    </r>
    <r>
      <rPr>
        <vertAlign val="subscript"/>
        <sz val="11"/>
        <rFont val="Calibri"/>
        <family val="2"/>
      </rPr>
      <t>HMETO</t>
    </r>
  </si>
  <si>
    <t>Flocculation of colloidal biodegradable substrate</t>
  </si>
  <si>
    <r>
      <t>i</t>
    </r>
    <r>
      <rPr>
        <vertAlign val="subscript"/>
        <sz val="11"/>
        <rFont val="Calibri"/>
        <family val="2"/>
      </rPr>
      <t>N,CB</t>
    </r>
  </si>
  <si>
    <r>
      <t>i</t>
    </r>
    <r>
      <rPr>
        <vertAlign val="subscript"/>
        <sz val="11"/>
        <rFont val="Calibri"/>
        <family val="2"/>
      </rPr>
      <t>P,CB</t>
    </r>
  </si>
  <si>
    <t>Flocculation of colloidal unbiodegradable organics</t>
  </si>
  <si>
    <r>
      <t>i</t>
    </r>
    <r>
      <rPr>
        <vertAlign val="subscript"/>
        <sz val="11"/>
        <rFont val="Calibri"/>
        <family val="2"/>
      </rPr>
      <t>N,CU</t>
    </r>
  </si>
  <si>
    <r>
      <t>i</t>
    </r>
    <r>
      <rPr>
        <vertAlign val="subscript"/>
        <sz val="11"/>
        <rFont val="Calibri"/>
        <family val="2"/>
      </rPr>
      <t>P,CU</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</si>
  <si>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</si>
  <si>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N,B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</si>
  <si>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</si>
  <si>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-X</t>
    </r>
    <r>
      <rPr>
        <vertAlign val="subscript"/>
        <sz val="11"/>
        <rFont val="Calibri"/>
        <family val="2"/>
      </rPr>
      <t>P,B</t>
    </r>
    <r>
      <rPr>
        <sz val="11"/>
        <rFont val="Calibri"/>
        <family val="2"/>
      </rPr>
      <t>/X</t>
    </r>
    <r>
      <rPr>
        <vertAlign val="subscript"/>
        <sz val="11"/>
        <rFont val="Calibri"/>
        <family val="2"/>
      </rPr>
      <t>B</t>
    </r>
  </si>
  <si>
    <r>
      <t>S</t>
    </r>
    <r>
      <rPr>
        <vertAlign val="subscript"/>
        <sz val="11"/>
        <color rgb="FF000000"/>
        <rFont val="Calibri"/>
        <family val="2"/>
        <scheme val="minor"/>
      </rPr>
      <t>P,B</t>
    </r>
    <r>
      <rPr>
        <sz val="11"/>
        <color rgb="FF000000"/>
        <rFont val="Calibri"/>
        <family val="2"/>
        <charset val="238"/>
        <scheme val="minor"/>
      </rPr>
      <t xml:space="preserve"> conversion to PO</t>
    </r>
    <r>
      <rPr>
        <vertAlign val="subscript"/>
        <sz val="11"/>
        <color rgb="FF000000"/>
        <rFont val="Calibri"/>
        <family val="2"/>
        <scheme val="minor"/>
      </rPr>
      <t>4</t>
    </r>
  </si>
  <si>
    <r>
      <t>NO</t>
    </r>
    <r>
      <rPr>
        <vertAlign val="subscript"/>
        <sz val="11"/>
        <color rgb="FF000000"/>
        <rFont val="Calibri"/>
        <family val="2"/>
        <scheme val="minor"/>
      </rPr>
      <t>3</t>
    </r>
    <r>
      <rPr>
        <sz val="11"/>
        <color rgb="FF000000"/>
        <rFont val="Calibri"/>
        <family val="2"/>
        <charset val="238"/>
        <scheme val="minor"/>
      </rPr>
      <t xml:space="preserve"> assimilative reduction</t>
    </r>
  </si>
  <si>
    <r>
      <t>Reduction of X</t>
    </r>
    <r>
      <rPr>
        <vertAlign val="subscript"/>
        <sz val="11"/>
        <rFont val="Calibri"/>
        <family val="2"/>
      </rPr>
      <t>HFO</t>
    </r>
    <r>
      <rPr>
        <sz val="11"/>
        <rFont val="Calibri"/>
        <family val="2"/>
      </rPr>
      <t xml:space="preserve"> with organic matter</t>
    </r>
  </si>
  <si>
    <r>
      <t>Oxidation of Fe</t>
    </r>
    <r>
      <rPr>
        <vertAlign val="superscript"/>
        <sz val="11"/>
        <rFont val="Calibri"/>
        <family val="2"/>
        <scheme val="minor"/>
      </rPr>
      <t>2+</t>
    </r>
    <r>
      <rPr>
        <sz val="11"/>
        <rFont val="Calibri"/>
        <family val="2"/>
        <scheme val="minor"/>
      </rPr>
      <t xml:space="preserve"> </t>
    </r>
  </si>
  <si>
    <r>
      <t>-EEQ</t>
    </r>
    <r>
      <rPr>
        <vertAlign val="subscript"/>
        <sz val="11"/>
        <rFont val="Calibri"/>
        <family val="2"/>
      </rPr>
      <t>Fe2</t>
    </r>
  </si>
  <si>
    <r>
      <t>-AM</t>
    </r>
    <r>
      <rPr>
        <vertAlign val="subscript"/>
        <sz val="11"/>
        <rFont val="Calibri"/>
        <family val="2"/>
      </rPr>
      <t>Ca</t>
    </r>
    <r>
      <rPr>
        <sz val="11"/>
        <rFont val="Calibri"/>
        <family val="2"/>
      </rPr>
      <t>/MM</t>
    </r>
    <r>
      <rPr>
        <vertAlign val="subscript"/>
        <sz val="11"/>
        <rFont val="Calibri"/>
        <family val="2"/>
      </rPr>
      <t>CaCO3</t>
    </r>
  </si>
  <si>
    <r>
      <t>q</t>
    </r>
    <r>
      <rPr>
        <vertAlign val="subscript"/>
        <sz val="11"/>
        <rFont val="Calibri"/>
        <family val="2"/>
      </rPr>
      <t>CaCO3</t>
    </r>
    <r>
      <rPr>
        <sz val="11"/>
        <rFont val="Calibri"/>
        <family val="2"/>
      </rPr>
      <t>*PrecipDrivingForce</t>
    </r>
    <r>
      <rPr>
        <vertAlign val="subscript"/>
        <sz val="11"/>
        <rFont val="Calibri"/>
        <family val="2"/>
      </rPr>
      <t>CaCO3</t>
    </r>
    <r>
      <rPr>
        <vertAlign val="superscript"/>
        <sz val="11"/>
        <rFont val="Calibri"/>
        <family val="2"/>
      </rPr>
      <t>^2</t>
    </r>
  </si>
  <si>
    <r>
      <t>-2*AM</t>
    </r>
    <r>
      <rPr>
        <vertAlign val="subscript"/>
        <sz val="11"/>
        <rFont val="Calibri"/>
        <family val="2"/>
      </rPr>
      <t>P</t>
    </r>
    <r>
      <rPr>
        <sz val="11"/>
        <rFont val="Calibri"/>
        <family val="2"/>
      </rPr>
      <t>/MM</t>
    </r>
    <r>
      <rPr>
        <vertAlign val="subscript"/>
        <sz val="11"/>
        <rFont val="Calibri"/>
        <family val="2"/>
      </rPr>
      <t>ACP</t>
    </r>
  </si>
  <si>
    <r>
      <t>-3*AM</t>
    </r>
    <r>
      <rPr>
        <vertAlign val="subscript"/>
        <sz val="11"/>
        <rFont val="Calibri"/>
        <family val="2"/>
      </rPr>
      <t>Ca</t>
    </r>
    <r>
      <rPr>
        <sz val="11"/>
        <rFont val="Calibri"/>
        <family val="2"/>
      </rPr>
      <t>/MM</t>
    </r>
    <r>
      <rPr>
        <vertAlign val="subscript"/>
        <sz val="11"/>
        <rFont val="Calibri"/>
        <family val="2"/>
      </rPr>
      <t>ACP</t>
    </r>
  </si>
  <si>
    <r>
      <t>q</t>
    </r>
    <r>
      <rPr>
        <vertAlign val="subscript"/>
        <sz val="11"/>
        <rFont val="Calibri"/>
        <family val="2"/>
      </rPr>
      <t>ACP</t>
    </r>
    <r>
      <rPr>
        <sz val="11"/>
        <rFont val="Calibri"/>
        <family val="2"/>
      </rPr>
      <t>*PrecipDrivingForce</t>
    </r>
    <r>
      <rPr>
        <vertAlign val="subscript"/>
        <sz val="11"/>
        <rFont val="Calibri"/>
        <family val="2"/>
      </rPr>
      <t>ACP</t>
    </r>
    <r>
      <rPr>
        <vertAlign val="superscript"/>
        <sz val="11"/>
        <rFont val="Calibri"/>
        <family val="2"/>
      </rPr>
      <t>^2</t>
    </r>
  </si>
  <si>
    <r>
      <t>-AM</t>
    </r>
    <r>
      <rPr>
        <vertAlign val="subscript"/>
        <sz val="11"/>
        <rFont val="Calibri"/>
        <family val="2"/>
      </rPr>
      <t>N</t>
    </r>
    <r>
      <rPr>
        <sz val="11"/>
        <rFont val="Calibri"/>
        <family val="2"/>
      </rPr>
      <t>/MM</t>
    </r>
    <r>
      <rPr>
        <vertAlign val="subscript"/>
        <sz val="11"/>
        <rFont val="Calibri"/>
        <family val="2"/>
      </rPr>
      <t>STR</t>
    </r>
  </si>
  <si>
    <r>
      <t>-AM</t>
    </r>
    <r>
      <rPr>
        <vertAlign val="subscript"/>
        <sz val="11"/>
        <rFont val="Calibri"/>
        <family val="2"/>
      </rPr>
      <t>P</t>
    </r>
    <r>
      <rPr>
        <sz val="11"/>
        <rFont val="Calibri"/>
        <family val="2"/>
      </rPr>
      <t>/MM</t>
    </r>
    <r>
      <rPr>
        <vertAlign val="subscript"/>
        <sz val="11"/>
        <rFont val="Calibri"/>
        <family val="2"/>
      </rPr>
      <t>STR</t>
    </r>
  </si>
  <si>
    <r>
      <t>-AM</t>
    </r>
    <r>
      <rPr>
        <vertAlign val="subscript"/>
        <sz val="11"/>
        <rFont val="Calibri"/>
        <family val="2"/>
      </rPr>
      <t>Mg</t>
    </r>
    <r>
      <rPr>
        <sz val="11"/>
        <rFont val="Calibri"/>
        <family val="2"/>
      </rPr>
      <t>/MM</t>
    </r>
    <r>
      <rPr>
        <vertAlign val="subscript"/>
        <sz val="11"/>
        <rFont val="Calibri"/>
        <family val="2"/>
      </rPr>
      <t>STR</t>
    </r>
  </si>
  <si>
    <r>
      <t>q</t>
    </r>
    <r>
      <rPr>
        <vertAlign val="subscript"/>
        <sz val="11"/>
        <rFont val="Calibri"/>
        <family val="2"/>
      </rPr>
      <t>STR</t>
    </r>
    <r>
      <rPr>
        <sz val="11"/>
        <rFont val="Calibri"/>
        <family val="2"/>
      </rPr>
      <t>*PrecipDrivingForce</t>
    </r>
    <r>
      <rPr>
        <vertAlign val="subscript"/>
        <sz val="11"/>
        <rFont val="Calibri"/>
        <family val="2"/>
      </rPr>
      <t>STR</t>
    </r>
    <r>
      <rPr>
        <vertAlign val="superscript"/>
        <sz val="11"/>
        <rFont val="Calibri"/>
        <family val="2"/>
      </rPr>
      <t>^3</t>
    </r>
  </si>
  <si>
    <r>
      <t>-2*AM</t>
    </r>
    <r>
      <rPr>
        <vertAlign val="subscript"/>
        <sz val="11"/>
        <rFont val="Calibri"/>
        <family val="2"/>
      </rPr>
      <t>P</t>
    </r>
    <r>
      <rPr>
        <sz val="11"/>
        <rFont val="Calibri"/>
        <family val="2"/>
      </rPr>
      <t>/MM</t>
    </r>
    <r>
      <rPr>
        <vertAlign val="subscript"/>
        <sz val="11"/>
        <rFont val="Calibri"/>
        <family val="2"/>
      </rPr>
      <t>Vivi</t>
    </r>
  </si>
  <si>
    <r>
      <t>-3*AM</t>
    </r>
    <r>
      <rPr>
        <vertAlign val="subscript"/>
        <sz val="11"/>
        <rFont val="Calibri"/>
        <family val="2"/>
      </rPr>
      <t>Fe</t>
    </r>
    <r>
      <rPr>
        <sz val="11"/>
        <rFont val="Calibri"/>
        <family val="2"/>
      </rPr>
      <t>/MM</t>
    </r>
    <r>
      <rPr>
        <vertAlign val="subscript"/>
        <sz val="11"/>
        <rFont val="Calibri"/>
        <family val="2"/>
      </rPr>
      <t>Vivi</t>
    </r>
  </si>
  <si>
    <r>
      <t>q</t>
    </r>
    <r>
      <rPr>
        <vertAlign val="subscript"/>
        <sz val="11"/>
        <rFont val="Calibri"/>
        <family val="2"/>
      </rPr>
      <t>Vivi</t>
    </r>
    <r>
      <rPr>
        <sz val="11"/>
        <rFont val="Calibri"/>
        <family val="2"/>
      </rPr>
      <t>*PrecipDrivingForce</t>
    </r>
    <r>
      <rPr>
        <vertAlign val="subscript"/>
        <sz val="11"/>
        <rFont val="Calibri"/>
        <family val="2"/>
      </rPr>
      <t>Vivi</t>
    </r>
    <r>
      <rPr>
        <vertAlign val="superscript"/>
        <sz val="11"/>
        <rFont val="Calibri"/>
        <family val="2"/>
      </rPr>
      <t>^2</t>
    </r>
  </si>
  <si>
    <r>
      <t>S</t>
    </r>
    <r>
      <rPr>
        <vertAlign val="subscript"/>
        <sz val="11"/>
        <rFont val="Calibri"/>
        <family val="2"/>
        <scheme val="minor"/>
      </rPr>
      <t>U</t>
    </r>
    <r>
      <rPr>
        <sz val="11"/>
        <rFont val="Calibri"/>
        <family val="2"/>
        <scheme val="minor"/>
      </rPr>
      <t xml:space="preserve"> + S</t>
    </r>
    <r>
      <rPr>
        <vertAlign val="subscript"/>
        <sz val="11"/>
        <rFont val="Calibri"/>
        <family val="2"/>
        <scheme val="minor"/>
      </rPr>
      <t xml:space="preserve">B </t>
    </r>
    <r>
      <rPr>
        <sz val="11"/>
        <rFont val="Calibri"/>
        <family val="2"/>
        <scheme val="minor"/>
      </rPr>
      <t>+S</t>
    </r>
    <r>
      <rPr>
        <vertAlign val="subscript"/>
        <sz val="11"/>
        <rFont val="Calibri"/>
        <family val="2"/>
        <scheme val="minor"/>
      </rPr>
      <t xml:space="preserve">VFA </t>
    </r>
    <r>
      <rPr>
        <sz val="11"/>
        <rFont val="Calibri"/>
        <family val="2"/>
        <scheme val="minor"/>
      </rPr>
      <t>+S</t>
    </r>
    <r>
      <rPr>
        <vertAlign val="subscript"/>
        <sz val="11"/>
        <rFont val="Calibri"/>
        <family val="2"/>
        <scheme val="minor"/>
      </rPr>
      <t>MEOL</t>
    </r>
  </si>
  <si>
    <r>
      <t>µ</t>
    </r>
    <r>
      <rPr>
        <vertAlign val="subscript"/>
        <sz val="11"/>
        <rFont val="Calibri"/>
        <family val="2"/>
        <scheme val="minor"/>
      </rPr>
      <t>PAO,lim</t>
    </r>
  </si>
  <si>
    <r>
      <t>q</t>
    </r>
    <r>
      <rPr>
        <vertAlign val="subscript"/>
        <sz val="11"/>
        <rFont val="Calibri"/>
        <family val="2"/>
        <scheme val="minor"/>
      </rPr>
      <t>CaCO3,PREC</t>
    </r>
  </si>
  <si>
    <r>
      <t>q</t>
    </r>
    <r>
      <rPr>
        <vertAlign val="subscript"/>
        <sz val="11"/>
        <rFont val="Calibri"/>
        <family val="2"/>
        <scheme val="minor"/>
      </rPr>
      <t>CaCO3,DISS</t>
    </r>
  </si>
  <si>
    <r>
      <t>q</t>
    </r>
    <r>
      <rPr>
        <vertAlign val="subscript"/>
        <sz val="11"/>
        <rFont val="Calibri"/>
        <family val="2"/>
        <scheme val="minor"/>
      </rPr>
      <t>STR,PREC</t>
    </r>
  </si>
  <si>
    <r>
      <t>q</t>
    </r>
    <r>
      <rPr>
        <vertAlign val="subscript"/>
        <sz val="11"/>
        <rFont val="Calibri"/>
        <family val="2"/>
        <scheme val="minor"/>
      </rPr>
      <t>STR,DISS</t>
    </r>
  </si>
  <si>
    <r>
      <t>q</t>
    </r>
    <r>
      <rPr>
        <vertAlign val="subscript"/>
        <sz val="11"/>
        <rFont val="Calibri"/>
        <family val="2"/>
        <scheme val="minor"/>
      </rPr>
      <t>ACP,PREC</t>
    </r>
  </si>
  <si>
    <r>
      <t>q</t>
    </r>
    <r>
      <rPr>
        <vertAlign val="subscript"/>
        <sz val="11"/>
        <rFont val="Calibri"/>
        <family val="2"/>
        <scheme val="minor"/>
      </rPr>
      <t>ACP,DISS</t>
    </r>
  </si>
  <si>
    <r>
      <t>q</t>
    </r>
    <r>
      <rPr>
        <vertAlign val="subscript"/>
        <sz val="11"/>
        <rFont val="Calibri"/>
        <family val="2"/>
        <scheme val="minor"/>
      </rPr>
      <t>Vivi,PREC</t>
    </r>
  </si>
  <si>
    <r>
      <t>q</t>
    </r>
    <r>
      <rPr>
        <vertAlign val="subscript"/>
        <sz val="11"/>
        <rFont val="Calibri"/>
        <family val="2"/>
        <scheme val="minor"/>
      </rPr>
      <t>Vivi,DISS</t>
    </r>
  </si>
  <si>
    <r>
      <t>q</t>
    </r>
    <r>
      <rPr>
        <vertAlign val="subscript"/>
        <sz val="11"/>
        <rFont val="Calibri"/>
        <family val="2"/>
        <scheme val="minor"/>
      </rPr>
      <t>HFOH,AGING</t>
    </r>
  </si>
  <si>
    <r>
      <t>q</t>
    </r>
    <r>
      <rPr>
        <vertAlign val="subscript"/>
        <sz val="11"/>
        <rFont val="Calibri"/>
        <family val="2"/>
        <scheme val="minor"/>
      </rPr>
      <t>HFOL,AGING</t>
    </r>
  </si>
  <si>
    <r>
      <rPr>
        <sz val="11"/>
        <color indexed="8"/>
        <rFont val="Calibri"/>
        <family val="2"/>
        <scheme val="minor"/>
      </rPr>
      <t>q</t>
    </r>
    <r>
      <rPr>
        <vertAlign val="subscript"/>
        <sz val="11"/>
        <color indexed="8"/>
        <rFont val="Calibri"/>
        <family val="2"/>
        <scheme val="minor"/>
      </rPr>
      <t>HFO,RED</t>
    </r>
  </si>
  <si>
    <r>
      <t>η</t>
    </r>
    <r>
      <rPr>
        <vertAlign val="subscript"/>
        <sz val="11"/>
        <rFont val="Calibri"/>
        <family val="2"/>
        <scheme val="minor"/>
      </rPr>
      <t>HYD,anox</t>
    </r>
  </si>
  <si>
    <r>
      <t>η</t>
    </r>
    <r>
      <rPr>
        <vertAlign val="subscript"/>
        <sz val="11"/>
        <rFont val="Calibri"/>
        <family val="2"/>
        <scheme val="minor"/>
      </rPr>
      <t>HYD,ana</t>
    </r>
  </si>
  <si>
    <r>
      <t>η</t>
    </r>
    <r>
      <rPr>
        <vertAlign val="subscript"/>
        <sz val="11"/>
        <rFont val="Calibri"/>
        <family val="2"/>
        <scheme val="minor"/>
      </rPr>
      <t>b,anox</t>
    </r>
  </si>
  <si>
    <r>
      <t>η</t>
    </r>
    <r>
      <rPr>
        <vertAlign val="subscript"/>
        <sz val="11"/>
        <rFont val="Calibri"/>
        <family val="2"/>
        <scheme val="minor"/>
      </rPr>
      <t>b,ana</t>
    </r>
  </si>
  <si>
    <r>
      <t>θ</t>
    </r>
    <r>
      <rPr>
        <vertAlign val="subscript"/>
        <sz val="11"/>
        <color indexed="8"/>
        <rFont val="Calibri"/>
        <family val="2"/>
        <scheme val="minor"/>
      </rPr>
      <t>q,HFO,RED</t>
    </r>
  </si>
  <si>
    <r>
      <t>θ</t>
    </r>
    <r>
      <rPr>
        <vertAlign val="subscript"/>
        <sz val="11"/>
        <color indexed="8"/>
        <rFont val="Calibri"/>
        <family val="2"/>
        <scheme val="minor"/>
      </rPr>
      <t>µ,PAO,lim</t>
    </r>
  </si>
  <si>
    <r>
      <t>Y</t>
    </r>
    <r>
      <rPr>
        <vertAlign val="subscript"/>
        <sz val="11"/>
        <rFont val="Calibri"/>
        <family val="2"/>
        <scheme val="minor"/>
      </rPr>
      <t>OHO,VFA,ox</t>
    </r>
  </si>
  <si>
    <r>
      <t>Y</t>
    </r>
    <r>
      <rPr>
        <vertAlign val="subscript"/>
        <sz val="11"/>
        <rFont val="Calibri"/>
        <family val="2"/>
        <scheme val="minor"/>
      </rPr>
      <t>OHO,SB,ox</t>
    </r>
  </si>
  <si>
    <r>
      <t>Y</t>
    </r>
    <r>
      <rPr>
        <vertAlign val="subscript"/>
        <sz val="11"/>
        <rFont val="Calibri"/>
        <family val="2"/>
        <scheme val="minor"/>
      </rPr>
      <t>OHO,SB,ana</t>
    </r>
  </si>
  <si>
    <r>
      <t>Y</t>
    </r>
    <r>
      <rPr>
        <vertAlign val="subscript"/>
        <sz val="11"/>
        <rFont val="Calibri"/>
        <family val="2"/>
        <scheme val="minor"/>
      </rPr>
      <t>OHO,SMEOL,ox</t>
    </r>
  </si>
  <si>
    <r>
      <t>X</t>
    </r>
    <r>
      <rPr>
        <b/>
        <vertAlign val="subscript"/>
        <sz val="11"/>
        <rFont val="Calibri"/>
        <family val="2"/>
        <scheme val="minor"/>
      </rPr>
      <t>E,ana</t>
    </r>
  </si>
  <si>
    <r>
      <t>q</t>
    </r>
    <r>
      <rPr>
        <vertAlign val="subscript"/>
        <sz val="11"/>
        <rFont val="Calibri"/>
        <family val="2"/>
      </rPr>
      <t>XE,T</t>
    </r>
    <r>
      <rPr>
        <sz val="11"/>
        <rFont val="Calibri"/>
        <family val="2"/>
      </rPr>
      <t>*X</t>
    </r>
    <r>
      <rPr>
        <vertAlign val="subscript"/>
        <sz val="11"/>
        <rFont val="Calibri"/>
        <family val="2"/>
      </rPr>
      <t>E</t>
    </r>
  </si>
  <si>
    <r>
      <t>-1/Y</t>
    </r>
    <r>
      <rPr>
        <vertAlign val="subscript"/>
        <sz val="11"/>
        <rFont val="Calibri"/>
        <family val="2"/>
      </rPr>
      <t>OHO,VFA,ox</t>
    </r>
  </si>
  <si>
    <r>
      <t>-1/Y</t>
    </r>
    <r>
      <rPr>
        <vertAlign val="subscript"/>
        <sz val="11"/>
        <rFont val="Calibri"/>
        <family val="2"/>
      </rPr>
      <t>OHO,SB,ox</t>
    </r>
  </si>
  <si>
    <r>
      <t>-1/Y</t>
    </r>
    <r>
      <rPr>
        <vertAlign val="subscript"/>
        <sz val="11"/>
        <rFont val="Calibri"/>
        <family val="2"/>
      </rPr>
      <t>OHO,SB,ana</t>
    </r>
  </si>
  <si>
    <r>
      <t>-1/Y</t>
    </r>
    <r>
      <rPr>
        <vertAlign val="subscript"/>
        <sz val="11"/>
        <rFont val="Calibri"/>
        <family val="2"/>
      </rPr>
      <t>OHO,SMEOL,ox</t>
    </r>
  </si>
  <si>
    <r>
      <t>-(1-Y</t>
    </r>
    <r>
      <rPr>
        <vertAlign val="subscript"/>
        <sz val="11"/>
        <rFont val="Calibri"/>
        <family val="2"/>
      </rPr>
      <t>OHO,VFA,ox</t>
    </r>
    <r>
      <rPr>
        <sz val="11"/>
        <rFont val="Calibri"/>
        <family val="2"/>
      </rPr>
      <t>)/Y</t>
    </r>
    <r>
      <rPr>
        <vertAlign val="subscript"/>
        <sz val="11"/>
        <rFont val="Calibri"/>
        <family val="2"/>
      </rPr>
      <t>OHO,VFA,ox</t>
    </r>
  </si>
  <si>
    <r>
      <t>-(1-Y</t>
    </r>
    <r>
      <rPr>
        <vertAlign val="subscript"/>
        <sz val="11"/>
        <rFont val="Calibri"/>
        <family val="2"/>
      </rPr>
      <t>OHO,SB,ox</t>
    </r>
    <r>
      <rPr>
        <sz val="11"/>
        <rFont val="Calibri"/>
        <family val="2"/>
      </rPr>
      <t>)/Y</t>
    </r>
    <r>
      <rPr>
        <vertAlign val="subscript"/>
        <sz val="11"/>
        <rFont val="Calibri"/>
        <family val="2"/>
      </rPr>
      <t>OHO,SB,ox</t>
    </r>
  </si>
  <si>
    <r>
      <t>-(1-Y</t>
    </r>
    <r>
      <rPr>
        <vertAlign val="subscript"/>
        <sz val="11"/>
        <rFont val="Calibri"/>
        <family val="2"/>
      </rPr>
      <t>OHO,SMEOL,ox</t>
    </r>
    <r>
      <rPr>
        <sz val="11"/>
        <rFont val="Calibri"/>
        <family val="2"/>
      </rPr>
      <t>)/Y</t>
    </r>
    <r>
      <rPr>
        <vertAlign val="subscript"/>
        <sz val="11"/>
        <rFont val="Calibri"/>
        <family val="2"/>
      </rPr>
      <t>OHO,SMEOL,ox</t>
    </r>
  </si>
  <si>
    <r>
      <t>θ</t>
    </r>
    <r>
      <rPr>
        <vertAlign val="subscript"/>
        <sz val="11"/>
        <color indexed="8"/>
        <rFont val="Calibri"/>
        <family val="2"/>
        <scheme val="minor"/>
      </rPr>
      <t>q,XE</t>
    </r>
  </si>
  <si>
    <r>
      <t>θ</t>
    </r>
    <r>
      <rPr>
        <vertAlign val="subscript"/>
        <sz val="11"/>
        <color indexed="8"/>
        <rFont val="Calibri"/>
        <family val="2"/>
        <scheme val="minor"/>
      </rPr>
      <t>q,SPB</t>
    </r>
  </si>
  <si>
    <r>
      <t>q</t>
    </r>
    <r>
      <rPr>
        <vertAlign val="subscript"/>
        <sz val="11"/>
        <color indexed="8"/>
        <rFont val="Calibri"/>
        <family val="2"/>
        <scheme val="minor"/>
      </rPr>
      <t>SPB</t>
    </r>
  </si>
  <si>
    <r>
      <t>q</t>
    </r>
    <r>
      <rPr>
        <vertAlign val="subscript"/>
        <sz val="11"/>
        <color indexed="8"/>
        <rFont val="Calibri"/>
        <family val="2"/>
        <scheme val="minor"/>
      </rPr>
      <t>XE</t>
    </r>
  </si>
  <si>
    <r>
      <t>X</t>
    </r>
    <r>
      <rPr>
        <vertAlign val="subscript"/>
        <sz val="11"/>
        <rFont val="Calibri"/>
        <family val="2"/>
        <scheme val="minor"/>
      </rPr>
      <t>BIO</t>
    </r>
  </si>
  <si>
    <r>
      <t>X</t>
    </r>
    <r>
      <rPr>
        <vertAlign val="subscript"/>
        <sz val="11"/>
        <rFont val="Calibri"/>
        <family val="2"/>
        <scheme val="minor"/>
      </rPr>
      <t>COD</t>
    </r>
  </si>
  <si>
    <r>
      <t>X</t>
    </r>
    <r>
      <rPr>
        <vertAlign val="subscript"/>
        <sz val="11"/>
        <rFont val="Calibri"/>
        <family val="2"/>
        <scheme val="minor"/>
      </rPr>
      <t>VSS,BIO</t>
    </r>
  </si>
  <si>
    <r>
      <t>X</t>
    </r>
    <r>
      <rPr>
        <vertAlign val="subscript"/>
        <sz val="11"/>
        <rFont val="Calibri"/>
        <family val="2"/>
        <scheme val="minor"/>
      </rPr>
      <t>BIO</t>
    </r>
    <r>
      <rPr>
        <sz val="11"/>
        <rFont val="Calibri"/>
        <family val="2"/>
        <scheme val="minor"/>
      </rPr>
      <t>/i</t>
    </r>
    <r>
      <rPr>
        <vertAlign val="subscript"/>
        <sz val="11"/>
        <rFont val="Calibri"/>
        <family val="2"/>
        <scheme val="minor"/>
      </rPr>
      <t>CV,BIO</t>
    </r>
  </si>
  <si>
    <r>
      <t>g VSS.m</t>
    </r>
    <r>
      <rPr>
        <vertAlign val="superscript"/>
        <sz val="11"/>
        <rFont val="Calibri"/>
        <family val="2"/>
        <scheme val="minor"/>
      </rPr>
      <t>-3</t>
    </r>
  </si>
  <si>
    <r>
      <t>X</t>
    </r>
    <r>
      <rPr>
        <vertAlign val="subscript"/>
        <sz val="11"/>
        <rFont val="Calibri"/>
        <family val="2"/>
        <scheme val="minor"/>
      </rPr>
      <t>VSS</t>
    </r>
  </si>
  <si>
    <r>
      <t>X</t>
    </r>
    <r>
      <rPr>
        <vertAlign val="subscript"/>
        <sz val="11"/>
        <rFont val="Calibri"/>
        <family val="2"/>
        <scheme val="minor"/>
      </rPr>
      <t>TSS</t>
    </r>
  </si>
  <si>
    <r>
      <t>g TSS.m</t>
    </r>
    <r>
      <rPr>
        <vertAlign val="superscript"/>
        <sz val="11"/>
        <rFont val="Calibri"/>
        <family val="2"/>
        <scheme val="minor"/>
      </rPr>
      <t>-3</t>
    </r>
  </si>
  <si>
    <r>
      <t>X</t>
    </r>
    <r>
      <rPr>
        <vertAlign val="subscript"/>
        <sz val="11"/>
        <rFont val="Calibri"/>
        <family val="2"/>
        <scheme val="minor"/>
      </rPr>
      <t>VS</t>
    </r>
  </si>
  <si>
    <r>
      <t>g VS.m</t>
    </r>
    <r>
      <rPr>
        <vertAlign val="superscript"/>
        <sz val="11"/>
        <rFont val="Calibri"/>
        <family val="2"/>
        <scheme val="minor"/>
      </rPr>
      <t>-3</t>
    </r>
  </si>
  <si>
    <r>
      <t>T</t>
    </r>
    <r>
      <rPr>
        <vertAlign val="subscript"/>
        <sz val="11"/>
        <rFont val="Calibri"/>
        <family val="2"/>
        <scheme val="minor"/>
      </rPr>
      <t>COD</t>
    </r>
  </si>
  <si>
    <r>
      <t>SC</t>
    </r>
    <r>
      <rPr>
        <vertAlign val="subscript"/>
        <sz val="11"/>
        <rFont val="Calibri"/>
        <family val="2"/>
        <scheme val="minor"/>
      </rPr>
      <t>COD</t>
    </r>
    <r>
      <rPr>
        <sz val="11"/>
        <rFont val="Calibri"/>
        <family val="2"/>
        <scheme val="minor"/>
      </rPr>
      <t xml:space="preserve"> +X</t>
    </r>
    <r>
      <rPr>
        <vertAlign val="subscript"/>
        <sz val="11"/>
        <rFont val="Calibri"/>
        <family val="2"/>
        <scheme val="minor"/>
      </rPr>
      <t>COD</t>
    </r>
  </si>
  <si>
    <r>
      <t>T</t>
    </r>
    <r>
      <rPr>
        <vertAlign val="subscript"/>
        <sz val="11"/>
        <rFont val="Calibri"/>
        <family val="2"/>
        <scheme val="minor"/>
      </rPr>
      <t>KN</t>
    </r>
  </si>
  <si>
    <r>
      <t>T</t>
    </r>
    <r>
      <rPr>
        <vertAlign val="subscript"/>
        <sz val="11"/>
        <rFont val="Calibri"/>
        <family val="2"/>
        <scheme val="minor"/>
      </rPr>
      <t>N</t>
    </r>
  </si>
  <si>
    <r>
      <t>T</t>
    </r>
    <r>
      <rPr>
        <vertAlign val="subscript"/>
        <sz val="11"/>
        <rFont val="Calibri"/>
        <family val="2"/>
        <scheme val="minor"/>
      </rPr>
      <t>P</t>
    </r>
  </si>
  <si>
    <r>
      <t>X</t>
    </r>
    <r>
      <rPr>
        <vertAlign val="subscript"/>
        <sz val="11"/>
        <rFont val="Calibri"/>
        <family val="2"/>
        <scheme val="minor"/>
      </rPr>
      <t>HFO</t>
    </r>
  </si>
  <si>
    <r>
      <t>X</t>
    </r>
    <r>
      <rPr>
        <vertAlign val="subscript"/>
        <sz val="11"/>
        <rFont val="Calibri"/>
        <family val="2"/>
        <scheme val="minor"/>
      </rPr>
      <t>HFO,H</t>
    </r>
    <r>
      <rPr>
        <sz val="11"/>
        <rFont val="Calibri"/>
        <family val="2"/>
        <scheme val="minor"/>
      </rPr>
      <t>+X</t>
    </r>
    <r>
      <rPr>
        <vertAlign val="subscript"/>
        <sz val="11"/>
        <rFont val="Calibri"/>
        <family val="2"/>
        <scheme val="minor"/>
      </rPr>
      <t>HFO,L</t>
    </r>
    <r>
      <rPr>
        <sz val="11"/>
        <rFont val="Calibri"/>
        <family val="2"/>
        <scheme val="minor"/>
      </rPr>
      <t>+X</t>
    </r>
    <r>
      <rPr>
        <vertAlign val="subscript"/>
        <sz val="11"/>
        <rFont val="Calibri"/>
        <family val="2"/>
        <scheme val="minor"/>
      </rPr>
      <t>HFO,L,P</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HFO,old</t>
    </r>
    <r>
      <rPr>
        <sz val="11"/>
        <rFont val="Calibri"/>
        <family val="2"/>
        <scheme val="minor"/>
      </rPr>
      <t>+X</t>
    </r>
    <r>
      <rPr>
        <vertAlign val="subscript"/>
        <sz val="11"/>
        <rFont val="Calibri"/>
        <family val="2"/>
        <scheme val="minor"/>
      </rPr>
      <t>HFO,L,P,old</t>
    </r>
    <r>
      <rPr>
        <sz val="11"/>
        <rFont val="Calibri"/>
        <family val="2"/>
        <scheme val="minor"/>
      </rPr>
      <t>+X</t>
    </r>
    <r>
      <rPr>
        <vertAlign val="subscript"/>
        <sz val="11"/>
        <rFont val="Calibri"/>
        <family val="2"/>
        <scheme val="minor"/>
      </rPr>
      <t>HFO,H,P,old</t>
    </r>
  </si>
  <si>
    <r>
      <t>T</t>
    </r>
    <r>
      <rPr>
        <vertAlign val="subscript"/>
        <sz val="11"/>
        <rFont val="Calibri"/>
        <family val="2"/>
        <scheme val="minor"/>
      </rPr>
      <t>Fe</t>
    </r>
  </si>
  <si>
    <r>
      <t>X</t>
    </r>
    <r>
      <rPr>
        <vertAlign val="subscript"/>
        <sz val="11"/>
        <rFont val="Calibri"/>
        <family val="2"/>
        <scheme val="minor"/>
      </rPr>
      <t>HFO,P</t>
    </r>
  </si>
  <si>
    <r>
      <t>PrecipDrivingForce</t>
    </r>
    <r>
      <rPr>
        <vertAlign val="subscript"/>
        <sz val="11"/>
        <color theme="1"/>
        <rFont val="Calibri"/>
        <family val="2"/>
        <scheme val="minor"/>
      </rPr>
      <t>STR</t>
    </r>
  </si>
  <si>
    <r>
      <t>(([Mg</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^(1/3)</t>
    </r>
    <r>
      <rPr>
        <sz val="11"/>
        <color theme="1"/>
        <rFont val="Calibri"/>
        <family val="2"/>
        <scheme val="minor"/>
      </rPr>
      <t>*[NH</t>
    </r>
    <r>
      <rPr>
        <vertAlign val="subscript"/>
        <sz val="11"/>
        <color theme="1"/>
        <rFont val="Calibri"/>
        <family val="2"/>
        <scheme val="minor"/>
      </rPr>
      <t>4</t>
    </r>
    <r>
      <rPr>
        <vertAlign val="superscript"/>
        <sz val="11"/>
        <color theme="1"/>
        <rFont val="Calibri"/>
        <family val="2"/>
        <scheme val="minor"/>
      </rPr>
      <t>+</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^(1/3)</t>
    </r>
    <r>
      <rPr>
        <sz val="11"/>
        <color theme="1"/>
        <rFont val="Calibri"/>
        <family val="2"/>
        <scheme val="minor"/>
      </rPr>
      <t xml:space="preserve"> -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 K</t>
    </r>
    <r>
      <rPr>
        <vertAlign val="subscript"/>
        <sz val="11"/>
        <color theme="1"/>
        <rFont val="Calibri"/>
        <family val="2"/>
        <scheme val="minor"/>
      </rPr>
      <t>sp,STR</t>
    </r>
    <r>
      <rPr>
        <vertAlign val="superscript"/>
        <sz val="11"/>
        <color theme="1"/>
        <rFont val="Calibri"/>
        <family val="2"/>
        <scheme val="minor"/>
      </rPr>
      <t>^(1/3)</t>
    </r>
    <r>
      <rPr>
        <sz val="11"/>
        <color theme="1"/>
        <rFont val="Calibri"/>
        <family val="2"/>
        <scheme val="minor"/>
      </rPr>
      <t>)</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</si>
  <si>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sp,ACP</t>
    </r>
    <r>
      <rPr>
        <vertAlign val="superscript"/>
        <sz val="11"/>
        <color theme="1"/>
        <rFont val="Calibri"/>
        <family val="2"/>
        <scheme val="minor"/>
      </rPr>
      <t>^(1/5)</t>
    </r>
  </si>
  <si>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*[CO</t>
    </r>
    <r>
      <rPr>
        <vertAlign val="subscript"/>
        <sz val="11"/>
        <color theme="1"/>
        <rFont val="Calibri"/>
        <family val="2"/>
        <scheme val="minor"/>
      </rPr>
      <t>3</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sp,CaCO3</t>
    </r>
    <r>
      <rPr>
        <vertAlign val="superscript"/>
        <sz val="11"/>
        <color theme="1"/>
        <rFont val="Calibri"/>
        <family val="2"/>
        <scheme val="minor"/>
      </rPr>
      <t>^(1/2)</t>
    </r>
  </si>
  <si>
    <r>
      <t>PrecipDrivingForce</t>
    </r>
    <r>
      <rPr>
        <vertAlign val="subscript"/>
        <sz val="11"/>
        <color theme="1"/>
        <rFont val="Calibri"/>
        <family val="2"/>
        <scheme val="minor"/>
      </rPr>
      <t>Vivi</t>
    </r>
  </si>
  <si>
    <r>
      <t>(([Fe</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^(3/5)</t>
    </r>
    <r>
      <rPr>
        <sz val="11"/>
        <color theme="1"/>
        <rFont val="Calibri"/>
        <family val="2"/>
        <scheme val="minor"/>
      </rPr>
      <t xml:space="preserve"> * [PO</t>
    </r>
    <r>
      <rPr>
        <vertAlign val="subscript"/>
        <sz val="11"/>
        <color theme="1"/>
        <rFont val="Calibri"/>
        <family val="2"/>
        <scheme val="minor"/>
      </rPr>
      <t>4</t>
    </r>
    <r>
      <rPr>
        <vertAlign val="superscript"/>
        <sz val="11"/>
        <color theme="1"/>
        <rFont val="Calibri"/>
        <family val="2"/>
        <scheme val="minor"/>
      </rPr>
      <t>3-</t>
    </r>
    <r>
      <rPr>
        <sz val="11"/>
        <color theme="1"/>
        <rFont val="Calibri"/>
        <family val="2"/>
        <scheme val="minor"/>
      </rPr>
      <t>]</t>
    </r>
    <r>
      <rPr>
        <vertAlign val="superscript"/>
        <sz val="11"/>
        <color theme="1"/>
        <rFont val="Calibri"/>
        <family val="2"/>
        <scheme val="minor"/>
      </rPr>
      <t>^(2/5)</t>
    </r>
    <r>
      <rPr>
        <sz val="11"/>
        <color theme="1"/>
        <rFont val="Calibri"/>
        <family val="2"/>
        <scheme val="minor"/>
      </rPr>
      <t xml:space="preserve"> - 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)/K</t>
    </r>
    <r>
      <rPr>
        <vertAlign val="subscript"/>
        <sz val="11"/>
        <color theme="1"/>
        <rFont val="Calibri"/>
        <family val="2"/>
        <scheme val="minor"/>
      </rPr>
      <t>sp,Vivi</t>
    </r>
    <r>
      <rPr>
        <vertAlign val="superscript"/>
        <sz val="11"/>
        <color theme="1"/>
        <rFont val="Calibri"/>
        <family val="2"/>
        <scheme val="minor"/>
      </rPr>
      <t>^(1/5)</t>
    </r>
    <r>
      <rPr>
        <sz val="11"/>
        <color theme="1"/>
        <rFont val="Calibri"/>
        <family val="2"/>
        <scheme val="minor"/>
      </rPr>
      <t>)</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</si>
  <si>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</si>
  <si>
    <r>
      <t>K</t>
    </r>
    <r>
      <rPr>
        <vertAlign val="subscript"/>
        <sz val="11"/>
        <rFont val="Calibri"/>
        <family val="2"/>
        <scheme val="minor"/>
      </rPr>
      <t>SB</t>
    </r>
  </si>
  <si>
    <r>
      <t>K</t>
    </r>
    <r>
      <rPr>
        <vertAlign val="subscript"/>
        <sz val="11"/>
        <rFont val="Calibri"/>
        <family val="2"/>
        <scheme val="minor"/>
      </rPr>
      <t>VFA</t>
    </r>
  </si>
  <si>
    <r>
      <t>g COD.m</t>
    </r>
    <r>
      <rPr>
        <vertAlign val="superscript"/>
        <sz val="11"/>
        <rFont val="Calibri"/>
        <family val="2"/>
        <scheme val="minor"/>
      </rPr>
      <t>-3</t>
    </r>
    <r>
      <rPr>
        <sz val="11"/>
        <color theme="1"/>
        <rFont val="Calibri"/>
        <family val="2"/>
        <scheme val="minor"/>
      </rPr>
      <t/>
    </r>
  </si>
  <si>
    <r>
      <t>K</t>
    </r>
    <r>
      <rPr>
        <vertAlign val="subscript"/>
        <sz val="11"/>
        <rFont val="Calibri"/>
        <family val="2"/>
        <scheme val="minor"/>
      </rPr>
      <t>O2,OHO</t>
    </r>
  </si>
  <si>
    <r>
      <t>K</t>
    </r>
    <r>
      <rPr>
        <vertAlign val="subscript"/>
        <sz val="11"/>
        <rFont val="Calibri"/>
        <family val="2"/>
        <scheme val="minor"/>
      </rPr>
      <t>MEOL,OHO</t>
    </r>
  </si>
  <si>
    <r>
      <t>K</t>
    </r>
    <r>
      <rPr>
        <vertAlign val="subscript"/>
        <sz val="11"/>
        <rFont val="Calibri"/>
        <family val="2"/>
        <scheme val="minor"/>
      </rPr>
      <t>NO3,OHO</t>
    </r>
  </si>
  <si>
    <r>
      <t>K</t>
    </r>
    <r>
      <rPr>
        <vertAlign val="subscript"/>
        <sz val="11"/>
        <rFont val="Calibri"/>
        <family val="2"/>
        <scheme val="minor"/>
      </rPr>
      <t>MEOL</t>
    </r>
  </si>
  <si>
    <r>
      <t>K</t>
    </r>
    <r>
      <rPr>
        <vertAlign val="subscript"/>
        <sz val="11"/>
        <rFont val="Calibri"/>
        <family val="2"/>
        <scheme val="minor"/>
      </rPr>
      <t>NO3,MEOLO</t>
    </r>
  </si>
  <si>
    <r>
      <t>K</t>
    </r>
    <r>
      <rPr>
        <vertAlign val="subscript"/>
        <sz val="11"/>
        <rFont val="Calibri"/>
        <family val="2"/>
        <scheme val="minor"/>
      </rPr>
      <t>PHA</t>
    </r>
  </si>
  <si>
    <r>
      <t>K</t>
    </r>
    <r>
      <rPr>
        <vertAlign val="subscript"/>
        <sz val="11"/>
        <rFont val="Calibri"/>
        <family val="2"/>
        <scheme val="minor"/>
      </rPr>
      <t>VFA,AMETO</t>
    </r>
  </si>
  <si>
    <r>
      <t>K</t>
    </r>
    <r>
      <rPr>
        <vertAlign val="subscript"/>
        <sz val="11"/>
        <rFont val="Calibri"/>
        <family val="2"/>
        <scheme val="minor"/>
      </rPr>
      <t>H2,HMETO</t>
    </r>
  </si>
  <si>
    <r>
      <t>K</t>
    </r>
    <r>
      <rPr>
        <vertAlign val="subscript"/>
        <sz val="11"/>
        <rFont val="Calibri"/>
        <family val="2"/>
        <scheme val="minor"/>
      </rPr>
      <t>CO2,BIO</t>
    </r>
  </si>
  <si>
    <r>
      <t>Msat</t>
    </r>
    <r>
      <rPr>
        <vertAlign val="subscript"/>
        <sz val="11"/>
        <rFont val="Calibri"/>
        <family val="2"/>
        <scheme val="minor"/>
      </rPr>
      <t>SO2,KO2,OHO</t>
    </r>
  </si>
  <si>
    <r>
      <t>Msat(S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</si>
  <si>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r>
      <t>Msat</t>
    </r>
    <r>
      <rPr>
        <vertAlign val="subscript"/>
        <sz val="11"/>
        <rFont val="Calibri"/>
        <family val="2"/>
        <scheme val="minor"/>
      </rPr>
      <t>SMEOL,KMEOL,OHO</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</si>
  <si>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MEOL,OHO</t>
    </r>
    <r>
      <rPr>
        <sz val="11"/>
        <rFont val="Calibri"/>
        <family val="2"/>
        <scheme val="minor"/>
      </rPr>
      <t>)</t>
    </r>
  </si>
  <si>
    <r>
      <t>Msat</t>
    </r>
    <r>
      <rPr>
        <vertAlign val="subscript"/>
        <sz val="11"/>
        <rFont val="Calibri"/>
        <family val="2"/>
        <scheme val="minor"/>
      </rPr>
      <t>SMEOL,KMEOL</t>
    </r>
  </si>
  <si>
    <r>
      <t>Msat(S</t>
    </r>
    <r>
      <rPr>
        <vertAlign val="subscript"/>
        <sz val="11"/>
        <rFont val="Calibri"/>
        <family val="2"/>
        <scheme val="minor"/>
      </rPr>
      <t>MEOL</t>
    </r>
    <r>
      <rPr>
        <sz val="11"/>
        <rFont val="Calibri"/>
        <family val="2"/>
        <scheme val="minor"/>
      </rPr>
      <t>;K</t>
    </r>
    <r>
      <rPr>
        <vertAlign val="subscript"/>
        <sz val="11"/>
        <rFont val="Calibri"/>
        <family val="2"/>
        <scheme val="minor"/>
      </rPr>
      <t>MEOL</t>
    </r>
    <r>
      <rPr>
        <sz val="11"/>
        <rFont val="Calibri"/>
        <family val="2"/>
        <scheme val="minor"/>
      </rPr>
      <t>)</t>
    </r>
  </si>
  <si>
    <r>
      <t>Msat</t>
    </r>
    <r>
      <rPr>
        <vertAlign val="subscript"/>
        <sz val="11"/>
        <rFont val="Calibri"/>
        <family val="2"/>
        <scheme val="minor"/>
      </rPr>
      <t>SNHx,KNHx,BIO</t>
    </r>
  </si>
  <si>
    <r>
      <t>Msat(S</t>
    </r>
    <r>
      <rPr>
        <vertAlign val="subscript"/>
        <sz val="11"/>
        <rFont val="Calibri"/>
        <family val="2"/>
        <scheme val="minor"/>
      </rPr>
      <t>NHx</t>
    </r>
    <r>
      <rPr>
        <sz val="11"/>
        <rFont val="Calibri"/>
        <family val="2"/>
        <scheme val="minor"/>
      </rPr>
      <t>;K</t>
    </r>
    <r>
      <rPr>
        <vertAlign val="subscript"/>
        <sz val="11"/>
        <rFont val="Calibri"/>
        <family val="2"/>
        <scheme val="minor"/>
      </rPr>
      <t>NHx,BIO</t>
    </r>
    <r>
      <rPr>
        <sz val="11"/>
        <rFont val="Calibri"/>
        <family val="2"/>
        <scheme val="minor"/>
      </rPr>
      <t>)</t>
    </r>
  </si>
  <si>
    <r>
      <t>Msat</t>
    </r>
    <r>
      <rPr>
        <vertAlign val="subscript"/>
        <sz val="11"/>
        <rFont val="Calibri"/>
        <family val="2"/>
        <scheme val="minor"/>
      </rPr>
      <t>SPO4,KPO4,BIO</t>
    </r>
  </si>
  <si>
    <r>
      <t>Msat(S</t>
    </r>
    <r>
      <rPr>
        <vertAlign val="subscript"/>
        <sz val="11"/>
        <rFont val="Calibri"/>
        <family val="2"/>
        <scheme val="minor"/>
      </rPr>
      <t>PO4</t>
    </r>
    <r>
      <rPr>
        <sz val="11"/>
        <rFont val="Calibri"/>
        <family val="2"/>
        <scheme val="minor"/>
      </rPr>
      <t>;K</t>
    </r>
    <r>
      <rPr>
        <vertAlign val="subscript"/>
        <sz val="11"/>
        <rFont val="Calibri"/>
        <family val="2"/>
        <scheme val="minor"/>
      </rPr>
      <t>PO4,BIO</t>
    </r>
    <r>
      <rPr>
        <sz val="11"/>
        <rFont val="Calibri"/>
        <family val="2"/>
        <scheme val="minor"/>
      </rPr>
      <t>)</t>
    </r>
  </si>
  <si>
    <r>
      <t>Msat</t>
    </r>
    <r>
      <rPr>
        <vertAlign val="subscript"/>
        <sz val="11"/>
        <rFont val="Calibri"/>
        <family val="2"/>
        <scheme val="minor"/>
      </rPr>
      <t>SCAT,KCAT</t>
    </r>
  </si>
  <si>
    <r>
      <t>Msat(S</t>
    </r>
    <r>
      <rPr>
        <vertAlign val="subscript"/>
        <sz val="11"/>
        <rFont val="Calibri"/>
        <family val="2"/>
        <scheme val="minor"/>
      </rPr>
      <t>CAT</t>
    </r>
    <r>
      <rPr>
        <sz val="11"/>
        <rFont val="Calibri"/>
        <family val="2"/>
        <scheme val="minor"/>
      </rPr>
      <t>;K</t>
    </r>
    <r>
      <rPr>
        <vertAlign val="subscript"/>
        <sz val="11"/>
        <rFont val="Calibri"/>
        <family val="2"/>
        <scheme val="minor"/>
      </rPr>
      <t>CAT</t>
    </r>
    <r>
      <rPr>
        <sz val="11"/>
        <rFont val="Calibri"/>
        <family val="2"/>
        <scheme val="minor"/>
      </rPr>
      <t>)</t>
    </r>
  </si>
  <si>
    <r>
      <t>Msat</t>
    </r>
    <r>
      <rPr>
        <vertAlign val="subscript"/>
        <sz val="11"/>
        <rFont val="Calibri"/>
        <family val="2"/>
        <scheme val="minor"/>
      </rPr>
      <t>SAN,KAN</t>
    </r>
  </si>
  <si>
    <r>
      <t>Msat(S</t>
    </r>
    <r>
      <rPr>
        <vertAlign val="subscript"/>
        <sz val="11"/>
        <rFont val="Calibri"/>
        <family val="2"/>
        <scheme val="minor"/>
      </rPr>
      <t>AN</t>
    </r>
    <r>
      <rPr>
        <sz val="11"/>
        <rFont val="Calibri"/>
        <family val="2"/>
        <scheme val="minor"/>
      </rPr>
      <t>;K</t>
    </r>
    <r>
      <rPr>
        <vertAlign val="subscript"/>
        <sz val="11"/>
        <rFont val="Calibri"/>
        <family val="2"/>
        <scheme val="minor"/>
      </rPr>
      <t>AN</t>
    </r>
    <r>
      <rPr>
        <sz val="11"/>
        <rFont val="Calibri"/>
        <family val="2"/>
        <scheme val="minor"/>
      </rPr>
      <t>)</t>
    </r>
  </si>
  <si>
    <r>
      <t>Msat</t>
    </r>
    <r>
      <rPr>
        <vertAlign val="subscript"/>
        <sz val="11"/>
        <rFont val="Calibri"/>
        <family val="2"/>
        <scheme val="minor"/>
      </rPr>
      <t>SB,KSB</t>
    </r>
  </si>
  <si>
    <r>
      <t>Msat(S</t>
    </r>
    <r>
      <rPr>
        <vertAlign val="subscript"/>
        <sz val="11"/>
        <rFont val="Calibri"/>
        <family val="2"/>
        <scheme val="minor"/>
      </rPr>
      <t>B</t>
    </r>
    <r>
      <rPr>
        <sz val="11"/>
        <rFont val="Calibri"/>
        <family val="2"/>
        <scheme val="minor"/>
      </rPr>
      <t>;K</t>
    </r>
    <r>
      <rPr>
        <vertAlign val="subscript"/>
        <sz val="11"/>
        <rFont val="Calibri"/>
        <family val="2"/>
        <scheme val="minor"/>
      </rPr>
      <t>SB</t>
    </r>
    <r>
      <rPr>
        <sz val="11"/>
        <rFont val="Calibri"/>
        <family val="2"/>
        <scheme val="minor"/>
      </rPr>
      <t>)</t>
    </r>
  </si>
  <si>
    <r>
      <t>Msat</t>
    </r>
    <r>
      <rPr>
        <vertAlign val="subscript"/>
        <sz val="11"/>
        <rFont val="Calibri"/>
        <family val="2"/>
        <scheme val="minor"/>
      </rPr>
      <t>SPO4,KPO4,PAO</t>
    </r>
  </si>
  <si>
    <r>
      <t>Msat(S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t>
    </r>
  </si>
  <si>
    <r>
      <t>Msat</t>
    </r>
    <r>
      <rPr>
        <vertAlign val="subscript"/>
        <sz val="11"/>
        <rFont val="Calibri"/>
        <family val="2"/>
        <scheme val="minor"/>
      </rPr>
      <t>SCa,KCa,PAO</t>
    </r>
  </si>
  <si>
    <r>
      <t>Msat(S</t>
    </r>
    <r>
      <rPr>
        <vertAlign val="subscript"/>
        <sz val="11"/>
        <rFont val="Calibri"/>
        <family val="2"/>
        <scheme val="minor"/>
      </rPr>
      <t>Ca</t>
    </r>
    <r>
      <rPr>
        <sz val="11"/>
        <rFont val="Calibri"/>
        <family val="2"/>
        <scheme val="minor"/>
      </rPr>
      <t>;K</t>
    </r>
    <r>
      <rPr>
        <vertAlign val="subscript"/>
        <sz val="11"/>
        <rFont val="Calibri"/>
        <family val="2"/>
        <scheme val="minor"/>
      </rPr>
      <t>Ca,PAO</t>
    </r>
    <r>
      <rPr>
        <sz val="11"/>
        <rFont val="Calibri"/>
        <family val="2"/>
        <scheme val="minor"/>
      </rPr>
      <t>)</t>
    </r>
  </si>
  <si>
    <r>
      <t>Msat</t>
    </r>
    <r>
      <rPr>
        <vertAlign val="subscript"/>
        <sz val="11"/>
        <rFont val="Calibri"/>
        <family val="2"/>
        <scheme val="minor"/>
      </rPr>
      <t>SMg,KMg,PAO</t>
    </r>
  </si>
  <si>
    <r>
      <t>Msat(S</t>
    </r>
    <r>
      <rPr>
        <vertAlign val="subscript"/>
        <sz val="11"/>
        <rFont val="Calibri"/>
        <family val="2"/>
        <scheme val="minor"/>
      </rPr>
      <t>Mg</t>
    </r>
    <r>
      <rPr>
        <sz val="11"/>
        <rFont val="Calibri"/>
        <family val="2"/>
        <scheme val="minor"/>
      </rPr>
      <t>;K</t>
    </r>
    <r>
      <rPr>
        <vertAlign val="subscript"/>
        <sz val="11"/>
        <rFont val="Calibri"/>
        <family val="2"/>
        <scheme val="minor"/>
      </rPr>
      <t>Mg,PAO</t>
    </r>
    <r>
      <rPr>
        <sz val="11"/>
        <rFont val="Calibri"/>
        <family val="2"/>
        <scheme val="minor"/>
      </rPr>
      <t>)</t>
    </r>
  </si>
  <si>
    <r>
      <t>Msat</t>
    </r>
    <r>
      <rPr>
        <vertAlign val="subscript"/>
        <sz val="11"/>
        <rFont val="Calibri"/>
        <family val="2"/>
        <scheme val="minor"/>
      </rPr>
      <t>SK,KK,PAO</t>
    </r>
  </si>
  <si>
    <r>
      <t>Msat(S</t>
    </r>
    <r>
      <rPr>
        <vertAlign val="subscript"/>
        <sz val="11"/>
        <rFont val="Calibri"/>
        <family val="2"/>
        <scheme val="minor"/>
      </rPr>
      <t>K</t>
    </r>
    <r>
      <rPr>
        <sz val="11"/>
        <rFont val="Calibri"/>
        <family val="2"/>
        <scheme val="minor"/>
      </rPr>
      <t>;K</t>
    </r>
    <r>
      <rPr>
        <vertAlign val="subscript"/>
        <sz val="11"/>
        <rFont val="Calibri"/>
        <family val="2"/>
        <scheme val="minor"/>
      </rPr>
      <t>K,PAO</t>
    </r>
    <r>
      <rPr>
        <sz val="11"/>
        <rFont val="Calibri"/>
        <family val="2"/>
        <scheme val="minor"/>
      </rPr>
      <t>)</t>
    </r>
  </si>
  <si>
    <r>
      <t>Msat</t>
    </r>
    <r>
      <rPr>
        <vertAlign val="subscript"/>
        <sz val="11"/>
        <rFont val="Calibri"/>
        <family val="2"/>
        <scheme val="minor"/>
      </rPr>
      <t>SNOx,KNO3,AMETO</t>
    </r>
  </si>
  <si>
    <r>
      <t>Msat</t>
    </r>
    <r>
      <rPr>
        <vertAlign val="subscript"/>
        <sz val="11"/>
        <rFont val="Calibri"/>
        <family val="2"/>
        <scheme val="minor"/>
      </rPr>
      <t>SNOx,KNO3,HMETO</t>
    </r>
  </si>
  <si>
    <r>
      <t>Msat</t>
    </r>
    <r>
      <rPr>
        <vertAlign val="subscript"/>
        <sz val="11"/>
        <rFont val="Calibri"/>
        <family val="2"/>
        <scheme val="minor"/>
      </rPr>
      <t>SCO2,KCO2,BIO</t>
    </r>
  </si>
  <si>
    <r>
      <t>Msat(S</t>
    </r>
    <r>
      <rPr>
        <vertAlign val="subscript"/>
        <sz val="11"/>
        <rFont val="Calibri"/>
        <family val="2"/>
        <scheme val="minor"/>
      </rPr>
      <t>CO2</t>
    </r>
    <r>
      <rPr>
        <sz val="11"/>
        <rFont val="Calibri"/>
        <family val="2"/>
        <scheme val="minor"/>
      </rPr>
      <t>;K</t>
    </r>
    <r>
      <rPr>
        <vertAlign val="subscript"/>
        <sz val="11"/>
        <rFont val="Calibri"/>
        <family val="2"/>
        <scheme val="minor"/>
      </rPr>
      <t>CO2,BIO</t>
    </r>
    <r>
      <rPr>
        <sz val="11"/>
        <rFont val="Calibri"/>
        <family val="2"/>
        <scheme val="minor"/>
      </rPr>
      <t>)</t>
    </r>
  </si>
  <si>
    <r>
      <t>Msat</t>
    </r>
    <r>
      <rPr>
        <vertAlign val="subscript"/>
        <sz val="11"/>
        <rFont val="Calibri"/>
        <family val="2"/>
        <scheme val="minor"/>
      </rPr>
      <t>SH2,KH2,HMETO</t>
    </r>
  </si>
  <si>
    <r>
      <t>Msat(S</t>
    </r>
    <r>
      <rPr>
        <vertAlign val="subscript"/>
        <sz val="11"/>
        <rFont val="Calibri"/>
        <family val="2"/>
        <scheme val="minor"/>
      </rPr>
      <t>H2</t>
    </r>
    <r>
      <rPr>
        <sz val="11"/>
        <rFont val="Calibri"/>
        <family val="2"/>
        <scheme val="minor"/>
      </rPr>
      <t>;K</t>
    </r>
    <r>
      <rPr>
        <vertAlign val="subscript"/>
        <sz val="11"/>
        <rFont val="Calibri"/>
        <family val="2"/>
        <scheme val="minor"/>
      </rPr>
      <t>H2,HMETO</t>
    </r>
    <r>
      <rPr>
        <sz val="11"/>
        <rFont val="Calibri"/>
        <family val="2"/>
        <scheme val="minor"/>
      </rPr>
      <t>)</t>
    </r>
  </si>
  <si>
    <r>
      <t>MRsat</t>
    </r>
    <r>
      <rPr>
        <vertAlign val="subscript"/>
        <sz val="11"/>
        <rFont val="Calibri"/>
        <family val="2"/>
        <scheme val="minor"/>
      </rPr>
      <t>XPHA,XPAO,KPHA</t>
    </r>
  </si>
  <si>
    <r>
      <t>Minh</t>
    </r>
    <r>
      <rPr>
        <vertAlign val="subscript"/>
        <sz val="11"/>
        <rFont val="Calibri"/>
        <family val="2"/>
        <scheme val="minor"/>
      </rPr>
      <t>SVFA,KVFA</t>
    </r>
  </si>
  <si>
    <r>
      <t>Minh(S</t>
    </r>
    <r>
      <rPr>
        <vertAlign val="subscript"/>
        <sz val="11"/>
        <rFont val="Calibri"/>
        <family val="2"/>
        <scheme val="minor"/>
      </rPr>
      <t>VFA</t>
    </r>
    <r>
      <rPr>
        <sz val="11"/>
        <rFont val="Calibri"/>
        <family val="2"/>
        <scheme val="minor"/>
      </rPr>
      <t>;K</t>
    </r>
    <r>
      <rPr>
        <vertAlign val="subscript"/>
        <sz val="11"/>
        <rFont val="Calibri"/>
        <family val="2"/>
        <scheme val="minor"/>
      </rPr>
      <t>VFA</t>
    </r>
    <r>
      <rPr>
        <sz val="11"/>
        <rFont val="Calibri"/>
        <family val="2"/>
        <scheme val="minor"/>
      </rPr>
      <t>)</t>
    </r>
  </si>
  <si>
    <r>
      <t>Minh</t>
    </r>
    <r>
      <rPr>
        <vertAlign val="subscript"/>
        <sz val="11"/>
        <rFont val="Calibri"/>
        <family val="2"/>
        <scheme val="minor"/>
      </rPr>
      <t>SO2,KO2,OHO</t>
    </r>
  </si>
  <si>
    <r>
      <t>Minh</t>
    </r>
    <r>
      <rPr>
        <vertAlign val="subscript"/>
        <sz val="11"/>
        <rFont val="Calibri"/>
        <family val="2"/>
        <scheme val="minor"/>
      </rPr>
      <t>SNOx,KNO3,AMETO</t>
    </r>
  </si>
  <si>
    <r>
      <t>Minh</t>
    </r>
    <r>
      <rPr>
        <vertAlign val="subscript"/>
        <sz val="11"/>
        <rFont val="Calibri"/>
        <family val="2"/>
        <scheme val="minor"/>
      </rPr>
      <t>SNOx,KNO3,HMETO</t>
    </r>
  </si>
  <si>
    <r>
      <t>Bellinh</t>
    </r>
    <r>
      <rPr>
        <vertAlign val="subscript"/>
        <sz val="11"/>
        <rFont val="Calibri"/>
        <family val="2"/>
        <scheme val="minor"/>
      </rPr>
      <t>pH</t>
    </r>
  </si>
  <si>
    <r>
      <t>Bellinh(pH;pH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</si>
  <si>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µ</t>
    </r>
    <r>
      <rPr>
        <vertAlign val="subscript"/>
        <sz val="11"/>
        <color indexed="8"/>
        <rFont val="Calibri"/>
        <family val="2"/>
        <scheme val="minor"/>
      </rPr>
      <t>OHO,T</t>
    </r>
  </si>
  <si>
    <r>
      <t>µ</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µ,OHO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</si>
  <si>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FERM,OHO,T</t>
    </r>
  </si>
  <si>
    <r>
      <t>µ</t>
    </r>
    <r>
      <rPr>
        <vertAlign val="subscript"/>
        <sz val="11"/>
        <color indexed="8"/>
        <rFont val="Calibri"/>
        <family val="2"/>
        <scheme val="minor"/>
      </rPr>
      <t>FERM,OHO</t>
    </r>
    <r>
      <rPr>
        <sz val="11"/>
        <color indexed="8"/>
        <rFont val="Calibri"/>
        <family val="2"/>
        <scheme val="minor"/>
      </rPr>
      <t>*Arrh(θ</t>
    </r>
    <r>
      <rPr>
        <vertAlign val="subscript"/>
        <sz val="11"/>
        <color indexed="8"/>
        <rFont val="Calibri"/>
        <family val="2"/>
        <scheme val="minor"/>
      </rPr>
      <t>FERM,OHO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</si>
  <si>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OHO,T</t>
    </r>
  </si>
  <si>
    <r>
      <t>b</t>
    </r>
    <r>
      <rPr>
        <vertAlign val="subscript"/>
        <sz val="11"/>
        <color indexed="8"/>
        <rFont val="Calibri"/>
        <family val="2"/>
        <scheme val="minor"/>
      </rPr>
      <t>OHO</t>
    </r>
    <r>
      <rPr>
        <sz val="11"/>
        <color indexed="8"/>
        <rFont val="Calibri"/>
        <family val="2"/>
        <scheme val="minor"/>
      </rPr>
      <t>*Arrh(θ</t>
    </r>
    <r>
      <rPr>
        <vertAlign val="subscript"/>
        <sz val="11"/>
        <color indexed="8"/>
        <rFont val="Calibri"/>
        <family val="2"/>
        <scheme val="minor"/>
      </rPr>
      <t>b,OHO</t>
    </r>
    <r>
      <rPr>
        <sz val="11"/>
        <color indexed="8"/>
        <rFont val="Calibri"/>
        <family val="2"/>
        <scheme val="minor"/>
      </rPr>
      <t>;T;T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</si>
  <si>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MEOLO,T</t>
    </r>
  </si>
  <si>
    <r>
      <t>µ</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µ,MEOLO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</si>
  <si>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MEOLO,T</t>
    </r>
  </si>
  <si>
    <r>
      <t>b</t>
    </r>
    <r>
      <rPr>
        <vertAlign val="subscript"/>
        <sz val="11"/>
        <color indexed="8"/>
        <rFont val="Calibri"/>
        <family val="2"/>
        <scheme val="minor"/>
      </rPr>
      <t>MEOLO</t>
    </r>
    <r>
      <rPr>
        <sz val="11"/>
        <color indexed="8"/>
        <rFont val="Calibri"/>
        <family val="2"/>
        <scheme val="minor"/>
      </rPr>
      <t>*Arrh(θ</t>
    </r>
    <r>
      <rPr>
        <vertAlign val="subscript"/>
        <sz val="11"/>
        <color indexed="8"/>
        <rFont val="Calibri"/>
        <family val="2"/>
        <scheme val="minor"/>
      </rPr>
      <t>b,MEOLO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</si>
  <si>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PAO,PHA,T</t>
    </r>
  </si>
  <si>
    <r>
      <t>q</t>
    </r>
    <r>
      <rPr>
        <vertAlign val="subscript"/>
        <sz val="11"/>
        <color indexed="8"/>
        <rFont val="Calibri"/>
        <family val="2"/>
        <scheme val="minor"/>
      </rPr>
      <t>PAO,PHA</t>
    </r>
    <r>
      <rPr>
        <sz val="11"/>
        <color indexed="8"/>
        <rFont val="Calibri"/>
        <family val="2"/>
        <scheme val="minor"/>
      </rPr>
      <t>*Arrh(θ</t>
    </r>
    <r>
      <rPr>
        <vertAlign val="subscript"/>
        <sz val="11"/>
        <color indexed="8"/>
        <rFont val="Calibri"/>
        <family val="2"/>
        <scheme val="minor"/>
      </rPr>
      <t>q,PAO,PHA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</si>
  <si>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AMETO,T</t>
    </r>
  </si>
  <si>
    <r>
      <t>µ</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µ,AMETO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</si>
  <si>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AMETO,T</t>
    </r>
  </si>
  <si>
    <r>
      <t>b</t>
    </r>
    <r>
      <rPr>
        <vertAlign val="subscript"/>
        <sz val="11"/>
        <color indexed="8"/>
        <rFont val="Calibri"/>
        <family val="2"/>
        <scheme val="minor"/>
      </rPr>
      <t>AMETO</t>
    </r>
    <r>
      <rPr>
        <sz val="11"/>
        <color indexed="8"/>
        <rFont val="Calibri"/>
        <family val="2"/>
        <scheme val="minor"/>
      </rPr>
      <t>*Arrh(θ</t>
    </r>
    <r>
      <rPr>
        <vertAlign val="subscript"/>
        <sz val="11"/>
        <color indexed="8"/>
        <rFont val="Calibri"/>
        <family val="2"/>
        <scheme val="minor"/>
      </rPr>
      <t>b,AMETO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</si>
  <si>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HMETO,T</t>
    </r>
  </si>
  <si>
    <r>
      <t>µ</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µ,HMETO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</si>
  <si>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HMETO,T</t>
    </r>
  </si>
  <si>
    <r>
      <t>b</t>
    </r>
    <r>
      <rPr>
        <vertAlign val="subscript"/>
        <sz val="11"/>
        <color indexed="8"/>
        <rFont val="Calibri"/>
        <family val="2"/>
        <scheme val="minor"/>
      </rPr>
      <t>HMETO</t>
    </r>
    <r>
      <rPr>
        <sz val="11"/>
        <color indexed="8"/>
        <rFont val="Calibri"/>
        <family val="2"/>
        <scheme val="minor"/>
      </rPr>
      <t>*Arrh(θ</t>
    </r>
    <r>
      <rPr>
        <vertAlign val="subscript"/>
        <sz val="11"/>
        <color indexed="8"/>
        <rFont val="Calibri"/>
        <family val="2"/>
        <scheme val="minor"/>
      </rPr>
      <t>b,HMETO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</si>
  <si>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FLOC,T</t>
    </r>
  </si>
  <si>
    <r>
      <t>q</t>
    </r>
    <r>
      <rPr>
        <vertAlign val="subscript"/>
        <sz val="11"/>
        <color indexed="8"/>
        <rFont val="Calibri"/>
        <family val="2"/>
        <scheme val="minor"/>
      </rPr>
      <t>FLOC</t>
    </r>
    <r>
      <rPr>
        <sz val="11"/>
        <color indexed="8"/>
        <rFont val="Calibri"/>
        <family val="2"/>
        <scheme val="minor"/>
      </rPr>
      <t>*Arrh(θ</t>
    </r>
    <r>
      <rPr>
        <vertAlign val="subscript"/>
        <sz val="11"/>
        <color indexed="8"/>
        <rFont val="Calibri"/>
        <family val="2"/>
        <scheme val="minor"/>
      </rPr>
      <t>q,FLOC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</si>
  <si>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AMMON,T</t>
    </r>
  </si>
  <si>
    <r>
      <t>q</t>
    </r>
    <r>
      <rPr>
        <vertAlign val="subscript"/>
        <sz val="11"/>
        <color indexed="8"/>
        <rFont val="Calibri"/>
        <family val="2"/>
        <scheme val="minor"/>
      </rPr>
      <t>AMMON</t>
    </r>
    <r>
      <rPr>
        <sz val="11"/>
        <color indexed="8"/>
        <rFont val="Calibri"/>
        <family val="2"/>
        <scheme val="minor"/>
      </rPr>
      <t>*Arrh(θ</t>
    </r>
    <r>
      <rPr>
        <vertAlign val="subscript"/>
        <sz val="11"/>
        <color indexed="8"/>
        <rFont val="Calibri"/>
        <family val="2"/>
        <scheme val="minor"/>
      </rPr>
      <t>q,AMMON</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</si>
  <si>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ASSIM,T</t>
    </r>
  </si>
  <si>
    <r>
      <t>q</t>
    </r>
    <r>
      <rPr>
        <vertAlign val="subscript"/>
        <sz val="11"/>
        <color indexed="8"/>
        <rFont val="Calibri"/>
        <family val="2"/>
        <scheme val="minor"/>
      </rPr>
      <t>ASSIM</t>
    </r>
    <r>
      <rPr>
        <sz val="11"/>
        <color indexed="8"/>
        <rFont val="Calibri"/>
        <family val="2"/>
        <scheme val="minor"/>
      </rPr>
      <t>*Arrh(θ</t>
    </r>
    <r>
      <rPr>
        <vertAlign val="subscript"/>
        <sz val="11"/>
        <color indexed="8"/>
        <rFont val="Calibri"/>
        <family val="2"/>
        <scheme val="minor"/>
      </rPr>
      <t>q,ASSIM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</si>
  <si>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1.82483*10^6*ρ^(0.5)*(ε*T</t>
    </r>
    <r>
      <rPr>
        <vertAlign val="subscript"/>
        <sz val="11"/>
        <rFont val="Calibri"/>
        <family val="2"/>
        <scheme val="minor"/>
      </rPr>
      <t>K</t>
    </r>
    <r>
      <rPr>
        <sz val="11"/>
        <rFont val="Calibri"/>
        <family val="2"/>
        <scheme val="minor"/>
      </rPr>
      <t>)^(-1.5)</t>
    </r>
  </si>
  <si>
    <r>
      <t>10^(-(3404.7/T</t>
    </r>
    <r>
      <rPr>
        <vertAlign val="subscript"/>
        <sz val="11"/>
        <rFont val="Calibri"/>
        <family val="2"/>
        <scheme val="minor"/>
      </rPr>
      <t>K</t>
    </r>
    <r>
      <rPr>
        <sz val="11"/>
        <rFont val="Calibri"/>
        <family val="2"/>
        <scheme val="minor"/>
      </rPr>
      <t>-14.8435+T</t>
    </r>
    <r>
      <rPr>
        <vertAlign val="subscript"/>
        <sz val="11"/>
        <rFont val="Calibri"/>
        <family val="2"/>
        <scheme val="minor"/>
      </rPr>
      <t>K</t>
    </r>
    <r>
      <rPr>
        <sz val="11"/>
        <rFont val="Calibri"/>
        <family val="2"/>
        <scheme val="minor"/>
      </rPr>
      <t>*0.03279))</t>
    </r>
  </si>
  <si>
    <r>
      <t>10^(-(2902.4/T</t>
    </r>
    <r>
      <rPr>
        <vertAlign val="subscript"/>
        <sz val="11"/>
        <rFont val="Calibri"/>
        <family val="2"/>
        <scheme val="minor"/>
      </rPr>
      <t>K</t>
    </r>
    <r>
      <rPr>
        <sz val="11"/>
        <rFont val="Calibri"/>
        <family val="2"/>
        <scheme val="minor"/>
      </rPr>
      <t>-6.498+T</t>
    </r>
    <r>
      <rPr>
        <vertAlign val="subscript"/>
        <sz val="11"/>
        <rFont val="Calibri"/>
        <family val="2"/>
        <scheme val="minor"/>
      </rPr>
      <t>K</t>
    </r>
    <r>
      <rPr>
        <sz val="11"/>
        <rFont val="Calibri"/>
        <family val="2"/>
        <scheme val="minor"/>
      </rPr>
      <t>*0.02379))</t>
    </r>
  </si>
  <si>
    <r>
      <t>10^(-(799.3/T</t>
    </r>
    <r>
      <rPr>
        <vertAlign val="subscript"/>
        <sz val="11"/>
        <rFont val="Calibri"/>
        <family val="2"/>
        <scheme val="minor"/>
      </rPr>
      <t>K</t>
    </r>
    <r>
      <rPr>
        <sz val="11"/>
        <rFont val="Calibri"/>
        <family val="2"/>
        <scheme val="minor"/>
      </rPr>
      <t>-4.5535+T</t>
    </r>
    <r>
      <rPr>
        <vertAlign val="subscript"/>
        <sz val="11"/>
        <rFont val="Calibri"/>
        <family val="2"/>
        <scheme val="minor"/>
      </rPr>
      <t>K</t>
    </r>
    <r>
      <rPr>
        <sz val="11"/>
        <rFont val="Calibri"/>
        <family val="2"/>
        <scheme val="minor"/>
      </rPr>
      <t>*0.01349))</t>
    </r>
  </si>
  <si>
    <r>
      <t>10^(-(1979.5/T</t>
    </r>
    <r>
      <rPr>
        <vertAlign val="subscript"/>
        <sz val="11"/>
        <rFont val="Calibri"/>
        <family val="2"/>
        <scheme val="minor"/>
      </rPr>
      <t>K</t>
    </r>
    <r>
      <rPr>
        <sz val="11"/>
        <rFont val="Calibri"/>
        <family val="2"/>
        <scheme val="minor"/>
      </rPr>
      <t>-5.3541+T</t>
    </r>
    <r>
      <rPr>
        <vertAlign val="subscript"/>
        <sz val="11"/>
        <rFont val="Calibri"/>
        <family val="2"/>
        <scheme val="minor"/>
      </rPr>
      <t>K</t>
    </r>
    <r>
      <rPr>
        <sz val="11"/>
        <rFont val="Calibri"/>
        <family val="2"/>
        <scheme val="minor"/>
      </rPr>
      <t>*0.01984))</t>
    </r>
  </si>
  <si>
    <r>
      <t>10^(-(1170.5/T</t>
    </r>
    <r>
      <rPr>
        <vertAlign val="subscript"/>
        <sz val="11"/>
        <rFont val="Calibri"/>
        <family val="2"/>
        <scheme val="minor"/>
      </rPr>
      <t>K</t>
    </r>
    <r>
      <rPr>
        <sz val="11"/>
        <rFont val="Calibri"/>
        <family val="2"/>
        <scheme val="minor"/>
      </rPr>
      <t>-3.165+T</t>
    </r>
    <r>
      <rPr>
        <vertAlign val="subscript"/>
        <sz val="11"/>
        <rFont val="Calibri"/>
        <family val="2"/>
        <scheme val="minor"/>
      </rPr>
      <t>K</t>
    </r>
    <r>
      <rPr>
        <sz val="11"/>
        <rFont val="Calibri"/>
        <family val="2"/>
        <scheme val="minor"/>
      </rPr>
      <t>*0.0134))</t>
    </r>
  </si>
  <si>
    <r>
      <t>IS -IS</t>
    </r>
    <r>
      <rPr>
        <vertAlign val="subscript"/>
        <sz val="11"/>
        <rFont val="Calibri"/>
        <family val="2"/>
        <scheme val="minor"/>
      </rPr>
      <t>calc</t>
    </r>
  </si>
  <si>
    <r>
      <t>T</t>
    </r>
    <r>
      <rPr>
        <vertAlign val="subscript"/>
        <sz val="11"/>
        <rFont val="Calibri"/>
        <family val="2"/>
        <scheme val="minor"/>
      </rPr>
      <t>K</t>
    </r>
  </si>
  <si>
    <r>
      <t>Msat(S</t>
    </r>
    <r>
      <rPr>
        <vertAlign val="subscript"/>
        <sz val="11"/>
        <rFont val="Calibri"/>
        <family val="2"/>
        <scheme val="minor"/>
      </rPr>
      <t>B</t>
    </r>
    <r>
      <rPr>
        <sz val="11"/>
        <rFont val="Calibri"/>
        <family val="2"/>
        <scheme val="minor"/>
      </rPr>
      <t>;K</t>
    </r>
    <r>
      <rPr>
        <vertAlign val="subscript"/>
        <sz val="11"/>
        <rFont val="Calibri"/>
        <family val="2"/>
        <scheme val="minor"/>
      </rPr>
      <t>SB,ana</t>
    </r>
    <r>
      <rPr>
        <sz val="11"/>
        <rFont val="Calibri"/>
        <family val="2"/>
        <scheme val="minor"/>
      </rPr>
      <t>)</t>
    </r>
  </si>
  <si>
    <r>
      <t>Msat</t>
    </r>
    <r>
      <rPr>
        <vertAlign val="subscript"/>
        <sz val="11"/>
        <rFont val="Calibri"/>
        <family val="2"/>
        <scheme val="minor"/>
      </rPr>
      <t>SB,KSB,ana</t>
    </r>
  </si>
  <si>
    <r>
      <t>µ</t>
    </r>
    <r>
      <rPr>
        <vertAlign val="subscript"/>
        <sz val="11"/>
        <color indexed="8"/>
        <rFont val="Calibri"/>
        <family val="2"/>
        <scheme val="minor"/>
      </rPr>
      <t>PAO,lim,T</t>
    </r>
  </si>
  <si>
    <r>
      <t>q</t>
    </r>
    <r>
      <rPr>
        <vertAlign val="subscript"/>
        <sz val="11"/>
        <color indexed="8"/>
        <rFont val="Calibri"/>
        <family val="2"/>
        <scheme val="minor"/>
      </rPr>
      <t>SPB,T</t>
    </r>
  </si>
  <si>
    <r>
      <t>q</t>
    </r>
    <r>
      <rPr>
        <vertAlign val="subscript"/>
        <sz val="11"/>
        <color indexed="8"/>
        <rFont val="Calibri"/>
        <family val="2"/>
        <scheme val="minor"/>
      </rPr>
      <t>SPB</t>
    </r>
    <r>
      <rPr>
        <sz val="11"/>
        <color indexed="8"/>
        <rFont val="Calibri"/>
        <family val="2"/>
        <scheme val="minor"/>
      </rPr>
      <t>*Arrh(θ</t>
    </r>
    <r>
      <rPr>
        <vertAlign val="subscript"/>
        <sz val="11"/>
        <color indexed="8"/>
        <rFont val="Calibri"/>
        <family val="2"/>
        <scheme val="minor"/>
      </rPr>
      <t>q,SPB</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</si>
  <si>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µ</t>
    </r>
    <r>
      <rPr>
        <vertAlign val="subscript"/>
        <sz val="11"/>
        <color indexed="8"/>
        <rFont val="Calibri"/>
        <family val="2"/>
        <scheme val="minor"/>
      </rPr>
      <t>PAO,lim</t>
    </r>
    <r>
      <rPr>
        <sz val="11"/>
        <color indexed="8"/>
        <rFont val="Calibri"/>
        <family val="2"/>
        <scheme val="minor"/>
      </rPr>
      <t>*Arrh(θ</t>
    </r>
    <r>
      <rPr>
        <vertAlign val="subscript"/>
        <sz val="11"/>
        <color indexed="8"/>
        <rFont val="Calibri"/>
        <family val="2"/>
        <scheme val="minor"/>
      </rPr>
      <t>µ,PAO,lim</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</si>
  <si>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XE,T</t>
    </r>
  </si>
  <si>
    <r>
      <t>q</t>
    </r>
    <r>
      <rPr>
        <vertAlign val="subscript"/>
        <sz val="11"/>
        <color indexed="8"/>
        <rFont val="Calibri"/>
        <family val="2"/>
        <scheme val="minor"/>
      </rPr>
      <t>XE</t>
    </r>
    <r>
      <rPr>
        <sz val="11"/>
        <color indexed="8"/>
        <rFont val="Calibri"/>
        <family val="2"/>
        <scheme val="minor"/>
      </rPr>
      <t>*Arrh(θ</t>
    </r>
    <r>
      <rPr>
        <vertAlign val="subscript"/>
        <sz val="11"/>
        <color indexed="8"/>
        <rFont val="Calibri"/>
        <family val="2"/>
        <scheme val="minor"/>
      </rPr>
      <t>q,XE</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</si>
  <si>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HFO,RED,T</t>
    </r>
  </si>
  <si>
    <r>
      <t>q</t>
    </r>
    <r>
      <rPr>
        <vertAlign val="subscript"/>
        <sz val="11"/>
        <color indexed="8"/>
        <rFont val="Calibri"/>
        <family val="2"/>
        <scheme val="minor"/>
      </rPr>
      <t>HFO,RED</t>
    </r>
    <r>
      <rPr>
        <sz val="11"/>
        <color indexed="8"/>
        <rFont val="Calibri"/>
        <family val="2"/>
        <scheme val="minor"/>
      </rPr>
      <t>*Arrh(θ</t>
    </r>
    <r>
      <rPr>
        <vertAlign val="subscript"/>
        <sz val="11"/>
        <color indexed="8"/>
        <rFont val="Calibri"/>
        <family val="2"/>
        <scheme val="minor"/>
      </rPr>
      <t>q,HFO,RED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</si>
  <si>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SB,ana</t>
    </r>
  </si>
  <si>
    <t>%v/v</t>
  </si>
  <si>
    <r>
      <t>c</t>
    </r>
    <r>
      <rPr>
        <vertAlign val="subscript"/>
        <sz val="11"/>
        <rFont val="Calibri"/>
        <family val="2"/>
        <scheme val="minor"/>
      </rPr>
      <t>percent,Vconc</t>
    </r>
  </si>
  <si>
    <t>Conversion coefficient between percents and volumetric concentration</t>
  </si>
  <si>
    <r>
      <t>f(X</t>
    </r>
    <r>
      <rPr>
        <vertAlign val="subscript"/>
        <sz val="11"/>
        <rFont val="Calibri"/>
        <family val="2"/>
      </rPr>
      <t>INORG</t>
    </r>
    <r>
      <rPr>
        <sz val="11"/>
        <rFont val="Calibri"/>
        <family val="2"/>
      </rPr>
      <t>)</t>
    </r>
  </si>
  <si>
    <r>
      <t>IS</t>
    </r>
    <r>
      <rPr>
        <vertAlign val="subscript"/>
        <sz val="11"/>
        <rFont val="Calibri"/>
        <family val="2"/>
        <scheme val="minor"/>
      </rPr>
      <t>lim</t>
    </r>
  </si>
  <si>
    <r>
      <t>The f</t>
    </r>
    <r>
      <rPr>
        <vertAlign val="subscript"/>
        <sz val="11"/>
        <rFont val="Calibri"/>
        <family val="2"/>
        <scheme val="minor"/>
      </rPr>
      <t>mono</t>
    </r>
    <r>
      <rPr>
        <sz val="11"/>
        <rFont val="Calibri"/>
        <family val="2"/>
        <scheme val="minor"/>
      </rPr>
      <t>/f</t>
    </r>
    <r>
      <rPr>
        <vertAlign val="subscript"/>
        <sz val="11"/>
        <rFont val="Calibri"/>
        <family val="2"/>
        <scheme val="minor"/>
      </rPr>
      <t>di</t>
    </r>
    <r>
      <rPr>
        <sz val="11"/>
        <rFont val="Calibri"/>
        <family val="2"/>
        <scheme val="minor"/>
      </rPr>
      <t>/f</t>
    </r>
    <r>
      <rPr>
        <vertAlign val="subscript"/>
        <sz val="11"/>
        <rFont val="Calibri"/>
        <family val="2"/>
        <scheme val="minor"/>
      </rPr>
      <t>tri</t>
    </r>
    <r>
      <rPr>
        <sz val="11"/>
        <rFont val="Calibri"/>
        <family val="2"/>
        <scheme val="minor"/>
      </rPr>
      <t xml:space="preserve"> curves have minima at 0.3 and literally couldn't be used above that</t>
    </r>
  </si>
  <si>
    <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</si>
  <si>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</si>
  <si>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f(X</t>
    </r>
    <r>
      <rPr>
        <vertAlign val="subscript"/>
        <sz val="11"/>
        <rFont val="Calibri"/>
        <family val="2"/>
      </rPr>
      <t>N,B</t>
    </r>
    <r>
      <rPr>
        <sz val="11"/>
        <rFont val="Calibri"/>
        <family val="2"/>
      </rPr>
      <t>);f(X</t>
    </r>
    <r>
      <rPr>
        <vertAlign val="subscript"/>
        <sz val="11"/>
        <rFont val="Calibri"/>
        <family val="2"/>
      </rPr>
      <t>P,B</t>
    </r>
    <r>
      <rPr>
        <sz val="11"/>
        <rFont val="Calibri"/>
        <family val="2"/>
      </rPr>
      <t>)</t>
    </r>
  </si>
  <si>
    <t>Thermal conductivity coefficient</t>
  </si>
  <si>
    <t>Nriagu (1972); Al-Borno and Tomson (1994): 35.755 at 25°C DeltaH°: 5.05 kJ.mol-1 (small temperature dependency)</t>
  </si>
  <si>
    <r>
      <t>c</t>
    </r>
    <r>
      <rPr>
        <vertAlign val="subscript"/>
        <sz val="11"/>
        <rFont val="Calibri"/>
        <family val="2"/>
        <scheme val="minor"/>
      </rPr>
      <t>percent,fraction</t>
    </r>
  </si>
  <si>
    <t>Conversion coefficient between percents and fractions</t>
  </si>
  <si>
    <t>%</t>
  </si>
  <si>
    <r>
      <t>X</t>
    </r>
    <r>
      <rPr>
        <vertAlign val="subscript"/>
        <sz val="11"/>
        <rFont val="Calibri"/>
        <family val="2"/>
        <scheme val="minor"/>
      </rPr>
      <t xml:space="preserve">HFO </t>
    </r>
    <r>
      <rPr>
        <sz val="11"/>
        <rFont val="Calibri"/>
        <family val="2"/>
        <scheme val="minor"/>
      </rPr>
      <t>+ S</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*3*AM</t>
    </r>
    <r>
      <rPr>
        <vertAlign val="subscript"/>
        <sz val="11"/>
        <rFont val="Calibri"/>
        <family val="2"/>
        <scheme val="minor"/>
      </rPr>
      <t>Fe</t>
    </r>
    <r>
      <rPr>
        <sz val="11"/>
        <rFont val="Calibri"/>
        <family val="2"/>
        <scheme val="minor"/>
      </rPr>
      <t>/MM</t>
    </r>
    <r>
      <rPr>
        <vertAlign val="subscript"/>
        <sz val="11"/>
        <rFont val="Calibri"/>
        <family val="2"/>
        <scheme val="minor"/>
      </rPr>
      <t>Vivi</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</si>
  <si>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t>
    </r>
  </si>
  <si>
    <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*S</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^3+[H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^2*K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P2</t>
    </r>
    <r>
      <rPr>
        <sz val="11"/>
        <rFont val="Calibri"/>
        <family val="2"/>
        <scheme val="minor"/>
      </rPr>
      <t>*K</t>
    </r>
    <r>
      <rPr>
        <vertAlign val="subscript"/>
        <sz val="11"/>
        <rFont val="Calibri"/>
        <family val="2"/>
        <scheme val="minor"/>
      </rPr>
      <t>P1</t>
    </r>
    <r>
      <rPr>
        <sz val="11"/>
        <rFont val="Calibri"/>
        <family val="2"/>
        <scheme val="minor"/>
      </rPr>
      <t>*K</t>
    </r>
    <r>
      <rPr>
        <vertAlign val="subscript"/>
        <sz val="11"/>
        <rFont val="Calibri"/>
        <family val="2"/>
        <scheme val="minor"/>
      </rPr>
      <t>P3</t>
    </r>
    <r>
      <rPr>
        <sz val="11"/>
        <rFont val="Calibri"/>
        <family val="2"/>
        <scheme val="minor"/>
      </rPr>
      <t>)</t>
    </r>
  </si>
  <si>
    <r>
      <t>eq ALK.L</t>
    </r>
    <r>
      <rPr>
        <vertAlign val="superscript"/>
        <sz val="11"/>
        <color theme="1"/>
        <rFont val="Calibri"/>
        <family val="2"/>
        <scheme val="minor"/>
      </rPr>
      <t>-1</t>
    </r>
  </si>
  <si>
    <r>
      <t>eq.L</t>
    </r>
    <r>
      <rPr>
        <vertAlign val="superscript"/>
        <sz val="11"/>
        <color theme="1"/>
        <rFont val="Calibri"/>
        <family val="2"/>
        <scheme val="minor"/>
      </rPr>
      <t>-1</t>
    </r>
  </si>
  <si>
    <t>PUR</t>
  </si>
  <si>
    <t>Phosphorus uptake rate (PUR)</t>
  </si>
  <si>
    <r>
      <t>g P.m</t>
    </r>
    <r>
      <rPr>
        <vertAlign val="superscript"/>
        <sz val="11"/>
        <rFont val="Calibri"/>
        <family val="2"/>
        <scheme val="minor"/>
      </rPr>
      <t>-3</t>
    </r>
    <r>
      <rPr>
        <sz val="11"/>
        <rFont val="Calibri"/>
        <family val="2"/>
        <scheme val="minor"/>
      </rPr>
      <t>.d</t>
    </r>
    <r>
      <rPr>
        <vertAlign val="superscript"/>
        <sz val="11"/>
        <rFont val="Calibri"/>
        <family val="2"/>
        <scheme val="minor"/>
      </rPr>
      <t>-1</t>
    </r>
  </si>
  <si>
    <r>
      <t>PUR</t>
    </r>
    <r>
      <rPr>
        <vertAlign val="subscript"/>
        <sz val="11"/>
        <rFont val="Calibri"/>
        <family val="2"/>
        <scheme val="minor"/>
      </rPr>
      <t>BIO</t>
    </r>
  </si>
  <si>
    <r>
      <t>PUR</t>
    </r>
    <r>
      <rPr>
        <vertAlign val="subscript"/>
        <sz val="11"/>
        <rFont val="Calibri"/>
        <family val="2"/>
        <scheme val="minor"/>
      </rPr>
      <t>CHEM</t>
    </r>
  </si>
  <si>
    <t>PRR</t>
  </si>
  <si>
    <t>Phosphorus release rate (PRR)</t>
  </si>
  <si>
    <r>
      <t>g N.g COD</t>
    </r>
    <r>
      <rPr>
        <vertAlign val="superscript"/>
        <sz val="11"/>
        <rFont val="Calibri"/>
        <family val="2"/>
        <scheme val="minor"/>
      </rPr>
      <t>-1</t>
    </r>
  </si>
  <si>
    <r>
      <t>g P.g COD</t>
    </r>
    <r>
      <rPr>
        <vertAlign val="superscript"/>
        <sz val="11"/>
        <rFont val="Calibri"/>
        <family val="2"/>
        <scheme val="minor"/>
      </rPr>
      <t>-1</t>
    </r>
  </si>
  <si>
    <r>
      <t>g COD.g VSS</t>
    </r>
    <r>
      <rPr>
        <vertAlign val="superscript"/>
        <sz val="11"/>
        <rFont val="Calibri"/>
        <family val="2"/>
        <scheme val="minor"/>
      </rPr>
      <t>-1</t>
    </r>
  </si>
  <si>
    <r>
      <t>g COD.g VS</t>
    </r>
    <r>
      <rPr>
        <vertAlign val="superscript"/>
        <sz val="11"/>
        <rFont val="Calibri"/>
        <family val="2"/>
        <scheme val="minor"/>
      </rPr>
      <t>-1</t>
    </r>
  </si>
  <si>
    <r>
      <t>g TIC.g COD</t>
    </r>
    <r>
      <rPr>
        <vertAlign val="superscript"/>
        <sz val="11"/>
        <rFont val="Calibri"/>
        <family val="2"/>
      </rPr>
      <t>-1</t>
    </r>
  </si>
  <si>
    <r>
      <t>g N.g TSS</t>
    </r>
    <r>
      <rPr>
        <vertAlign val="superscript"/>
        <sz val="11"/>
        <rFont val="Calibri"/>
        <family val="2"/>
        <scheme val="minor"/>
      </rPr>
      <t>-1</t>
    </r>
  </si>
  <si>
    <r>
      <t>g P.g TSS</t>
    </r>
    <r>
      <rPr>
        <vertAlign val="superscript"/>
        <sz val="11"/>
        <rFont val="Calibri"/>
        <family val="2"/>
        <scheme val="minor"/>
      </rPr>
      <t>-1</t>
    </r>
  </si>
  <si>
    <r>
      <t>mol Ca.mol P</t>
    </r>
    <r>
      <rPr>
        <vertAlign val="superscript"/>
        <sz val="11"/>
        <rFont val="Calibri"/>
        <family val="2"/>
        <scheme val="minor"/>
      </rPr>
      <t>-1</t>
    </r>
  </si>
  <si>
    <r>
      <t>mol Mg.mol P</t>
    </r>
    <r>
      <rPr>
        <vertAlign val="superscript"/>
        <sz val="11"/>
        <rFont val="Calibri"/>
        <family val="2"/>
        <scheme val="minor"/>
      </rPr>
      <t>-1</t>
    </r>
  </si>
  <si>
    <r>
      <t>mol P.mol Fe</t>
    </r>
    <r>
      <rPr>
        <vertAlign val="superscript"/>
        <sz val="11"/>
        <rFont val="Calibri"/>
        <family val="2"/>
        <scheme val="minor"/>
      </rPr>
      <t>-1</t>
    </r>
  </si>
  <si>
    <t>Check the species does exist in the systemcode.xlsx file</t>
  </si>
  <si>
    <t>On Constants Tab add the required thermodynamic constants and molecular masses</t>
  </si>
  <si>
    <t>In Process code/System files/systemcode.xlsx (if necessary)</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</si>
  <si>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</si>
  <si>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</si>
  <si>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</si>
  <si>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</si>
  <si>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</si>
  <si>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</si>
  <si>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</si>
  <si>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</si>
  <si>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</si>
  <si>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</si>
  <si>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</si>
  <si>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</si>
  <si>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</si>
  <si>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r>
      <t>K</t>
    </r>
    <r>
      <rPr>
        <vertAlign val="subscript"/>
        <sz val="11"/>
        <rFont val="Calibri"/>
        <family val="2"/>
        <scheme val="minor"/>
      </rPr>
      <t>SB,AS</t>
    </r>
  </si>
  <si>
    <r>
      <t>K</t>
    </r>
    <r>
      <rPr>
        <vertAlign val="subscript"/>
        <sz val="11"/>
        <rFont val="Calibri"/>
        <family val="2"/>
        <scheme val="minor"/>
      </rPr>
      <t>VFA,AS</t>
    </r>
  </si>
  <si>
    <r>
      <t>K</t>
    </r>
    <r>
      <rPr>
        <vertAlign val="subscript"/>
        <sz val="11"/>
        <rFont val="Calibri"/>
        <family val="2"/>
        <scheme val="minor"/>
      </rPr>
      <t>MEOL,OHO,AS</t>
    </r>
  </si>
  <si>
    <r>
      <t>K</t>
    </r>
    <r>
      <rPr>
        <vertAlign val="subscript"/>
        <sz val="11"/>
        <rFont val="Calibri"/>
        <family val="2"/>
        <scheme val="minor"/>
      </rPr>
      <t>O2,OHO,AS</t>
    </r>
  </si>
  <si>
    <r>
      <t>K</t>
    </r>
    <r>
      <rPr>
        <vertAlign val="subscript"/>
        <sz val="11"/>
        <rFont val="Calibri"/>
        <family val="2"/>
        <scheme val="minor"/>
      </rPr>
      <t>NO3,OHO,AS</t>
    </r>
  </si>
  <si>
    <r>
      <t>K</t>
    </r>
    <r>
      <rPr>
        <vertAlign val="subscript"/>
        <sz val="11"/>
        <rFont val="Calibri"/>
        <family val="2"/>
        <scheme val="minor"/>
      </rPr>
      <t>SB,ana,AS</t>
    </r>
  </si>
  <si>
    <r>
      <t>K</t>
    </r>
    <r>
      <rPr>
        <vertAlign val="subscript"/>
        <sz val="11"/>
        <rFont val="Calibri"/>
        <family val="2"/>
        <scheme val="minor"/>
      </rPr>
      <t>MEOL,AS</t>
    </r>
  </si>
  <si>
    <r>
      <t>K</t>
    </r>
    <r>
      <rPr>
        <vertAlign val="subscript"/>
        <sz val="11"/>
        <rFont val="Calibri"/>
        <family val="2"/>
        <scheme val="minor"/>
      </rPr>
      <t>NO3,MEOLO,AS</t>
    </r>
  </si>
  <si>
    <r>
      <t>K</t>
    </r>
    <r>
      <rPr>
        <vertAlign val="subscript"/>
        <sz val="11"/>
        <rFont val="Calibri"/>
        <family val="2"/>
        <scheme val="minor"/>
      </rPr>
      <t>PO4,PAO,AS</t>
    </r>
  </si>
  <si>
    <r>
      <t>K</t>
    </r>
    <r>
      <rPr>
        <vertAlign val="subscript"/>
        <sz val="11"/>
        <rFont val="Calibri"/>
        <family val="2"/>
        <scheme val="minor"/>
      </rPr>
      <t>Mg,PAO,AS</t>
    </r>
  </si>
  <si>
    <r>
      <t>K</t>
    </r>
    <r>
      <rPr>
        <vertAlign val="subscript"/>
        <sz val="11"/>
        <rFont val="Calibri"/>
        <family val="2"/>
        <scheme val="minor"/>
      </rPr>
      <t>K,PAO,AS</t>
    </r>
  </si>
  <si>
    <r>
      <t>K</t>
    </r>
    <r>
      <rPr>
        <vertAlign val="subscript"/>
        <sz val="11"/>
        <rFont val="Calibri"/>
        <family val="2"/>
        <scheme val="minor"/>
      </rPr>
      <t>Ca,PAO,AS</t>
    </r>
  </si>
  <si>
    <r>
      <t>K</t>
    </r>
    <r>
      <rPr>
        <vertAlign val="subscript"/>
        <sz val="11"/>
        <rFont val="Calibri"/>
        <family val="2"/>
        <scheme val="minor"/>
      </rPr>
      <t>VFA,AMETO,AS</t>
    </r>
  </si>
  <si>
    <r>
      <t>K</t>
    </r>
    <r>
      <rPr>
        <vertAlign val="subscript"/>
        <sz val="11"/>
        <color indexed="8"/>
        <rFont val="Calibri"/>
        <family val="2"/>
        <scheme val="minor"/>
      </rPr>
      <t>H2,HMETO,AS</t>
    </r>
  </si>
  <si>
    <r>
      <t>K</t>
    </r>
    <r>
      <rPr>
        <vertAlign val="subscript"/>
        <sz val="11"/>
        <rFont val="Calibri"/>
        <family val="2"/>
        <scheme val="minor"/>
      </rPr>
      <t>NHx,BIO,AS</t>
    </r>
  </si>
  <si>
    <r>
      <t>K</t>
    </r>
    <r>
      <rPr>
        <vertAlign val="subscript"/>
        <sz val="11"/>
        <rFont val="Calibri"/>
        <family val="2"/>
        <scheme val="minor"/>
      </rPr>
      <t>PO4,BIO,AS</t>
    </r>
  </si>
  <si>
    <r>
      <t>K</t>
    </r>
    <r>
      <rPr>
        <vertAlign val="subscript"/>
        <sz val="11"/>
        <color indexed="8"/>
        <rFont val="Calibri"/>
        <family val="2"/>
        <scheme val="minor"/>
      </rPr>
      <t>CO2,BIO,AS</t>
    </r>
  </si>
  <si>
    <r>
      <t>K</t>
    </r>
    <r>
      <rPr>
        <vertAlign val="subscript"/>
        <sz val="11"/>
        <rFont val="Calibri"/>
        <family val="2"/>
        <scheme val="minor"/>
      </rPr>
      <t>CAT,AS</t>
    </r>
  </si>
  <si>
    <r>
      <t>K</t>
    </r>
    <r>
      <rPr>
        <vertAlign val="subscript"/>
        <sz val="11"/>
        <rFont val="Calibri"/>
        <family val="2"/>
        <scheme val="minor"/>
      </rPr>
      <t>AN,AS</t>
    </r>
  </si>
  <si>
    <r>
      <t>K</t>
    </r>
    <r>
      <rPr>
        <vertAlign val="subscript"/>
        <sz val="11"/>
        <color indexed="8"/>
        <rFont val="Calibri"/>
        <family val="2"/>
        <scheme val="minor"/>
      </rPr>
      <t>HYD,AS</t>
    </r>
  </si>
  <si>
    <r>
      <t>K</t>
    </r>
    <r>
      <rPr>
        <vertAlign val="subscript"/>
        <sz val="11"/>
        <rFont val="Calibri"/>
        <family val="2"/>
        <scheme val="minor"/>
      </rPr>
      <t>H2,HMETO,AS</t>
    </r>
  </si>
  <si>
    <r>
      <t>K</t>
    </r>
    <r>
      <rPr>
        <vertAlign val="subscript"/>
        <sz val="11"/>
        <rFont val="Calibri"/>
        <family val="2"/>
        <scheme val="minor"/>
      </rPr>
      <t>CO2,BIO,AS</t>
    </r>
  </si>
  <si>
    <r>
      <t>K</t>
    </r>
    <r>
      <rPr>
        <vertAlign val="subscript"/>
        <sz val="11"/>
        <rFont val="Calibri"/>
        <family val="2"/>
        <scheme val="minor"/>
      </rPr>
      <t>HYD,AS</t>
    </r>
  </si>
  <si>
    <r>
      <t>Minh(S</t>
    </r>
    <r>
      <rPr>
        <vertAlign val="subscript"/>
        <sz val="11"/>
        <rFont val="Calibri"/>
        <family val="2"/>
        <scheme val="minor"/>
      </rPr>
      <t>O2</t>
    </r>
    <r>
      <rPr>
        <sz val="11"/>
        <rFont val="Calibri"/>
        <family val="2"/>
        <scheme val="minor"/>
      </rPr>
      <t>;K</t>
    </r>
    <r>
      <rPr>
        <vertAlign val="subscript"/>
        <sz val="11"/>
        <rFont val="Calibri"/>
        <family val="2"/>
        <scheme val="minor"/>
      </rPr>
      <t>O2,OHO</t>
    </r>
    <r>
      <rPr>
        <sz val="11"/>
        <rFont val="Calibri"/>
        <family val="2"/>
        <scheme val="minor"/>
      </rPr>
      <t>)</t>
    </r>
  </si>
  <si>
    <t>pH related inhibiton functions</t>
  </si>
  <si>
    <r>
      <t>g Fe.m</t>
    </r>
    <r>
      <rPr>
        <vertAlign val="superscript"/>
        <sz val="11"/>
        <rFont val="Calibri"/>
        <family val="2"/>
        <scheme val="minor"/>
      </rPr>
      <t>-3</t>
    </r>
  </si>
  <si>
    <r>
      <t>mol [HCO</t>
    </r>
    <r>
      <rPr>
        <vertAlign val="subscript"/>
        <sz val="11"/>
        <rFont val="Calibri"/>
        <family val="2"/>
        <scheme val="minor"/>
      </rPr>
      <t>3</t>
    </r>
    <r>
      <rPr>
        <vertAlign val="superscript"/>
        <sz val="11"/>
        <rFont val="Calibri"/>
        <family val="2"/>
        <scheme val="minor"/>
      </rPr>
      <t>-</t>
    </r>
    <r>
      <rPr>
        <sz val="11"/>
        <rFont val="Calibri"/>
        <family val="2"/>
        <scheme val="minor"/>
      </rPr>
      <t>].L</t>
    </r>
    <r>
      <rPr>
        <vertAlign val="superscript"/>
        <sz val="11"/>
        <rFont val="Calibri"/>
        <family val="2"/>
        <scheme val="minor"/>
      </rPr>
      <t>-1</t>
    </r>
  </si>
  <si>
    <r>
      <t>g P.m</t>
    </r>
    <r>
      <rPr>
        <vertAlign val="superscript"/>
        <sz val="11"/>
        <rFont val="Calibri"/>
        <family val="2"/>
        <scheme val="minor"/>
      </rPr>
      <t>-3</t>
    </r>
    <r>
      <rPr>
        <sz val="11"/>
        <color theme="1"/>
        <rFont val="Calibri"/>
        <family val="2"/>
        <scheme val="minor"/>
      </rPr>
      <t/>
    </r>
  </si>
  <si>
    <r>
      <t>g Na.m</t>
    </r>
    <r>
      <rPr>
        <vertAlign val="superscript"/>
        <sz val="11"/>
        <rFont val="Calibri"/>
        <family val="2"/>
        <scheme val="minor"/>
      </rPr>
      <t>-3</t>
    </r>
    <r>
      <rPr>
        <sz val="11"/>
        <color theme="1"/>
        <rFont val="Calibri"/>
        <family val="2"/>
        <scheme val="minor"/>
      </rPr>
      <t/>
    </r>
  </si>
  <si>
    <r>
      <t>g Cl.m</t>
    </r>
    <r>
      <rPr>
        <vertAlign val="superscript"/>
        <sz val="11"/>
        <rFont val="Calibri"/>
        <family val="2"/>
        <scheme val="minor"/>
      </rPr>
      <t>-3</t>
    </r>
    <r>
      <rPr>
        <sz val="11"/>
        <color theme="1"/>
        <rFont val="Calibri"/>
        <family val="2"/>
        <scheme val="minor"/>
      </rPr>
      <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</si>
  <si>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scheme val="minor"/>
      </rPr>
      <t>-1</t>
    </r>
  </si>
  <si>
    <r>
      <t>mol K.mol P</t>
    </r>
    <r>
      <rPr>
        <vertAlign val="superscript"/>
        <sz val="11"/>
        <rFont val="Calibri"/>
        <family val="2"/>
        <scheme val="minor"/>
      </rPr>
      <t>-1</t>
    </r>
  </si>
  <si>
    <r>
      <t>g Na.g NaCl</t>
    </r>
    <r>
      <rPr>
        <vertAlign val="superscript"/>
        <sz val="11"/>
        <rFont val="Calibri"/>
        <family val="2"/>
        <scheme val="minor"/>
      </rPr>
      <t>-1</t>
    </r>
  </si>
  <si>
    <t>Activated sludge</t>
  </si>
  <si>
    <t>VSS/TSS ratio</t>
  </si>
  <si>
    <r>
      <t>X</t>
    </r>
    <r>
      <rPr>
        <vertAlign val="subscript"/>
        <sz val="11"/>
        <rFont val="Calibri"/>
        <family val="2"/>
        <scheme val="minor"/>
      </rPr>
      <t>VSS</t>
    </r>
    <r>
      <rPr>
        <sz val="11"/>
        <rFont val="Calibri"/>
        <family val="2"/>
        <scheme val="minor"/>
      </rPr>
      <t>/X</t>
    </r>
    <r>
      <rPr>
        <vertAlign val="subscript"/>
        <sz val="11"/>
        <rFont val="Calibri"/>
        <family val="2"/>
        <scheme val="minor"/>
      </rPr>
      <t>TSS</t>
    </r>
  </si>
  <si>
    <r>
      <t>m</t>
    </r>
    <r>
      <rPr>
        <vertAlign val="subscript"/>
        <sz val="11"/>
        <rFont val="Calibri"/>
        <family val="2"/>
        <scheme val="minor"/>
      </rPr>
      <t>tox,anox</t>
    </r>
  </si>
  <si>
    <r>
      <t>m</t>
    </r>
    <r>
      <rPr>
        <vertAlign val="subscript"/>
        <sz val="11"/>
        <rFont val="Calibri"/>
        <family val="2"/>
        <scheme val="minor"/>
      </rPr>
      <t>tox,aer</t>
    </r>
  </si>
  <si>
    <r>
      <t>i</t>
    </r>
    <r>
      <rPr>
        <vertAlign val="subscript"/>
        <sz val="11"/>
        <rFont val="Calibri"/>
        <family val="2"/>
        <scheme val="minor"/>
      </rPr>
      <t>CIT,CH4</t>
    </r>
  </si>
  <si>
    <r>
      <t>i</t>
    </r>
    <r>
      <rPr>
        <vertAlign val="subscript"/>
        <sz val="11"/>
        <rFont val="Calibri"/>
        <family val="2"/>
        <scheme val="minor"/>
      </rPr>
      <t>CIT,VFA</t>
    </r>
  </si>
  <si>
    <r>
      <t>i</t>
    </r>
    <r>
      <rPr>
        <vertAlign val="subscript"/>
        <sz val="11"/>
        <rFont val="Calibri"/>
        <family val="2"/>
        <scheme val="minor"/>
      </rPr>
      <t>CIT,SB</t>
    </r>
  </si>
  <si>
    <r>
      <t>i</t>
    </r>
    <r>
      <rPr>
        <vertAlign val="subscript"/>
        <sz val="11"/>
        <rFont val="Calibri"/>
        <family val="2"/>
        <scheme val="minor"/>
      </rPr>
      <t>CIT,MEOL</t>
    </r>
  </si>
  <si>
    <r>
      <t>CH</t>
    </r>
    <r>
      <rPr>
        <vertAlign val="subscript"/>
        <sz val="11"/>
        <rFont val="Calibri"/>
        <family val="2"/>
        <scheme val="minor"/>
      </rPr>
      <t>4</t>
    </r>
    <r>
      <rPr>
        <sz val="11"/>
        <rFont val="Calibri"/>
        <family val="2"/>
        <scheme val="minor"/>
      </rPr>
      <t>: 64 g COD/mol C</t>
    </r>
  </si>
  <si>
    <r>
      <t>C</t>
    </r>
    <r>
      <rPr>
        <vertAlign val="subscript"/>
        <sz val="11"/>
        <rFont val="Calibri"/>
        <family val="2"/>
        <scheme val="minor"/>
      </rPr>
      <t>2</t>
    </r>
    <r>
      <rPr>
        <sz val="11"/>
        <rFont val="Calibri"/>
        <family val="2"/>
        <scheme val="minor"/>
      </rPr>
      <t>H</t>
    </r>
    <r>
      <rPr>
        <vertAlign val="subscript"/>
        <sz val="11"/>
        <rFont val="Calibri"/>
        <family val="2"/>
        <scheme val="minor"/>
      </rPr>
      <t>4</t>
    </r>
    <r>
      <rPr>
        <sz val="11"/>
        <rFont val="Calibri"/>
        <family val="2"/>
        <scheme val="minor"/>
      </rPr>
      <t>O</t>
    </r>
    <r>
      <rPr>
        <vertAlign val="subscript"/>
        <sz val="11"/>
        <rFont val="Calibri"/>
        <family val="2"/>
        <scheme val="minor"/>
      </rPr>
      <t>2</t>
    </r>
    <r>
      <rPr>
        <sz val="11"/>
        <rFont val="Calibri"/>
        <family val="2"/>
        <scheme val="minor"/>
      </rPr>
      <t>: 32 g COD/mol C</t>
    </r>
  </si>
  <si>
    <r>
      <t>i</t>
    </r>
    <r>
      <rPr>
        <vertAlign val="subscript"/>
        <sz val="11"/>
        <rFont val="Calibri"/>
        <family val="2"/>
        <scheme val="minor"/>
      </rPr>
      <t>CIT,PHA</t>
    </r>
  </si>
  <si>
    <r>
      <t>C</t>
    </r>
    <r>
      <rPr>
        <vertAlign val="subscript"/>
        <sz val="11"/>
        <rFont val="Calibri"/>
        <family val="2"/>
        <scheme val="minor"/>
      </rPr>
      <t>5</t>
    </r>
    <r>
      <rPr>
        <sz val="11"/>
        <rFont val="Calibri"/>
        <family val="2"/>
        <scheme val="minor"/>
      </rPr>
      <t>H</t>
    </r>
    <r>
      <rPr>
        <vertAlign val="subscript"/>
        <sz val="11"/>
        <rFont val="Calibri"/>
        <family val="2"/>
        <scheme val="minor"/>
      </rPr>
      <t>7</t>
    </r>
    <r>
      <rPr>
        <sz val="11"/>
        <rFont val="Calibri"/>
        <family val="2"/>
        <scheme val="minor"/>
      </rPr>
      <t>O</t>
    </r>
    <r>
      <rPr>
        <vertAlign val="subscript"/>
        <sz val="11"/>
        <rFont val="Calibri"/>
        <family val="2"/>
        <scheme val="minor"/>
      </rPr>
      <t>2</t>
    </r>
    <r>
      <rPr>
        <sz val="11"/>
        <rFont val="Calibri"/>
        <family val="2"/>
        <scheme val="minor"/>
      </rPr>
      <t>N: 32 g COD/mol C</t>
    </r>
  </si>
  <si>
    <r>
      <t>H[C</t>
    </r>
    <r>
      <rPr>
        <vertAlign val="subscript"/>
        <sz val="11"/>
        <color indexed="8"/>
        <rFont val="Calibri"/>
        <family val="2"/>
        <scheme val="minor"/>
      </rPr>
      <t>4</t>
    </r>
    <r>
      <rPr>
        <sz val="11"/>
        <color indexed="8"/>
        <rFont val="Calibri"/>
        <family val="2"/>
        <scheme val="minor"/>
      </rPr>
      <t>H</t>
    </r>
    <r>
      <rPr>
        <vertAlign val="subscript"/>
        <sz val="11"/>
        <color indexed="8"/>
        <rFont val="Calibri"/>
        <family val="2"/>
        <scheme val="minor"/>
      </rPr>
      <t>6</t>
    </r>
    <r>
      <rPr>
        <sz val="11"/>
        <color indexed="8"/>
        <rFont val="Calibri"/>
        <family val="2"/>
        <scheme val="minor"/>
      </rPr>
      <t>O</t>
    </r>
    <r>
      <rPr>
        <vertAlign val="subscript"/>
        <sz val="11"/>
        <color indexed="8"/>
        <rFont val="Calibri"/>
        <family val="2"/>
        <scheme val="minor"/>
      </rPr>
      <t>2</t>
    </r>
    <r>
      <rPr>
        <sz val="11"/>
        <color indexed="8"/>
        <rFont val="Calibri"/>
        <family val="2"/>
        <scheme val="minor"/>
      </rPr>
      <t>]</t>
    </r>
    <r>
      <rPr>
        <vertAlign val="subscript"/>
        <sz val="11"/>
        <color indexed="8"/>
        <rFont val="Calibri"/>
        <family val="2"/>
        <scheme val="minor"/>
      </rPr>
      <t>n</t>
    </r>
    <r>
      <rPr>
        <sz val="11"/>
        <color indexed="8"/>
        <rFont val="Calibri"/>
        <family val="2"/>
        <scheme val="minor"/>
      </rPr>
      <t>OH: 36 g COD/mol C</t>
    </r>
  </si>
  <si>
    <r>
      <t>i</t>
    </r>
    <r>
      <rPr>
        <vertAlign val="subscript"/>
        <sz val="11"/>
        <rFont val="Calibri"/>
        <family val="2"/>
      </rPr>
      <t>CIT,VFA</t>
    </r>
    <r>
      <rPr>
        <sz val="11"/>
        <rFont val="Calibri"/>
        <family val="2"/>
      </rPr>
      <t>/Y</t>
    </r>
    <r>
      <rPr>
        <vertAlign val="subscript"/>
        <sz val="11"/>
        <rFont val="Calibri"/>
        <family val="2"/>
      </rPr>
      <t>OHO,VFA,ox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</si>
  <si>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OHO,SB,ox</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</si>
  <si>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MEOLO</t>
    </r>
    <r>
      <rPr>
        <sz val="11"/>
        <rFont val="Calibri"/>
        <family val="2"/>
      </rPr>
      <t>-i</t>
    </r>
    <r>
      <rPr>
        <vertAlign val="subscript"/>
        <sz val="11"/>
        <rFont val="Calibri"/>
        <family val="2"/>
      </rPr>
      <t>CIT,BIO</t>
    </r>
  </si>
  <si>
    <r>
      <t>i</t>
    </r>
    <r>
      <rPr>
        <vertAlign val="subscript"/>
        <sz val="11"/>
        <rFont val="Calibri"/>
        <family val="2"/>
      </rPr>
      <t>CIT,MEOL</t>
    </r>
    <r>
      <rPr>
        <sz val="11"/>
        <rFont val="Calibri"/>
        <family val="2"/>
      </rPr>
      <t>/Y</t>
    </r>
    <r>
      <rPr>
        <vertAlign val="subscript"/>
        <sz val="11"/>
        <rFont val="Calibri"/>
        <family val="2"/>
      </rPr>
      <t>OHO,SMEOL,ox</t>
    </r>
    <r>
      <rPr>
        <sz val="11"/>
        <rFont val="Calibri"/>
        <family val="2"/>
      </rPr>
      <t>-i</t>
    </r>
    <r>
      <rPr>
        <vertAlign val="subscript"/>
        <sz val="11"/>
        <rFont val="Calibri"/>
        <family val="2"/>
      </rPr>
      <t>CIT,BIO</t>
    </r>
  </si>
  <si>
    <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HMETO</t>
    </r>
    <r>
      <rPr>
        <sz val="11"/>
        <rFont val="Calibri"/>
        <family val="2"/>
      </rPr>
      <t>)/Y</t>
    </r>
    <r>
      <rPr>
        <vertAlign val="subscript"/>
        <sz val="11"/>
        <rFont val="Calibri"/>
        <family val="2"/>
      </rPr>
      <t>HMETO</t>
    </r>
  </si>
  <si>
    <r>
      <t>i</t>
    </r>
    <r>
      <rPr>
        <vertAlign val="subscript"/>
        <sz val="11"/>
        <rFont val="Calibri"/>
        <family val="2"/>
      </rPr>
      <t>CIT,MEOL</t>
    </r>
    <r>
      <rPr>
        <sz val="11"/>
        <rFont val="Calibri"/>
        <family val="2"/>
      </rPr>
      <t>-i</t>
    </r>
    <r>
      <rPr>
        <vertAlign val="subscript"/>
        <sz val="11"/>
        <rFont val="Calibri"/>
        <family val="2"/>
      </rPr>
      <t>CIT,VFA</t>
    </r>
    <r>
      <rPr>
        <sz val="11"/>
        <rFont val="Calibri"/>
        <family val="2"/>
      </rPr>
      <t>*2/3</t>
    </r>
  </si>
  <si>
    <r>
      <t>i</t>
    </r>
    <r>
      <rPr>
        <vertAlign val="subscript"/>
        <sz val="11"/>
        <rFont val="Calibri"/>
        <family val="2"/>
      </rPr>
      <t>CIT,VFA</t>
    </r>
    <r>
      <rPr>
        <sz val="11"/>
        <rFont val="Calibri"/>
        <family val="2"/>
      </rPr>
      <t>-i</t>
    </r>
    <r>
      <rPr>
        <vertAlign val="subscript"/>
        <sz val="11"/>
        <rFont val="Calibri"/>
        <family val="2"/>
      </rPr>
      <t>CIT,PHA</t>
    </r>
  </si>
  <si>
    <r>
      <t>i</t>
    </r>
    <r>
      <rPr>
        <vertAlign val="subscript"/>
        <sz val="11"/>
        <rFont val="Calibri"/>
        <family val="2"/>
      </rPr>
      <t>CIT,SB</t>
    </r>
    <r>
      <rPr>
        <sz val="11"/>
        <rFont val="Calibri"/>
        <family val="2"/>
      </rPr>
      <t>*EEQ</t>
    </r>
    <r>
      <rPr>
        <vertAlign val="subscript"/>
        <sz val="11"/>
        <rFont val="Calibri"/>
        <family val="2"/>
      </rPr>
      <t>Fe2</t>
    </r>
    <r>
      <rPr>
        <sz val="11"/>
        <rFont val="Calibri"/>
        <family val="2"/>
      </rPr>
      <t>*S</t>
    </r>
    <r>
      <rPr>
        <vertAlign val="subscript"/>
        <sz val="11"/>
        <rFont val="Calibri"/>
        <family val="2"/>
      </rPr>
      <t>B</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)+i</t>
    </r>
    <r>
      <rPr>
        <vertAlign val="subscript"/>
        <sz val="11"/>
        <rFont val="Calibri"/>
        <family val="2"/>
      </rPr>
      <t>CIT,VFA</t>
    </r>
    <r>
      <rPr>
        <sz val="11"/>
        <rFont val="Calibri"/>
        <family val="2"/>
      </rPr>
      <t>*EEQ</t>
    </r>
    <r>
      <rPr>
        <vertAlign val="subscript"/>
        <sz val="11"/>
        <rFont val="Calibri"/>
        <family val="2"/>
      </rPr>
      <t>Fe2</t>
    </r>
    <r>
      <rPr>
        <sz val="11"/>
        <rFont val="Calibri"/>
        <family val="2"/>
      </rPr>
      <t>*S</t>
    </r>
    <r>
      <rPr>
        <vertAlign val="subscript"/>
        <sz val="11"/>
        <rFont val="Calibri"/>
        <family val="2"/>
      </rPr>
      <t>VFA</t>
    </r>
    <r>
      <rPr>
        <sz val="11"/>
        <rFont val="Calibri"/>
        <family val="2"/>
      </rPr>
      <t>/(S</t>
    </r>
    <r>
      <rPr>
        <vertAlign val="subscript"/>
        <sz val="11"/>
        <rFont val="Calibri"/>
        <family val="2"/>
      </rPr>
      <t>B</t>
    </r>
    <r>
      <rPr>
        <sz val="11"/>
        <rFont val="Calibri"/>
        <family val="2"/>
      </rPr>
      <t>+S</t>
    </r>
    <r>
      <rPr>
        <vertAlign val="subscript"/>
        <sz val="11"/>
        <rFont val="Calibri"/>
        <family val="2"/>
      </rPr>
      <t>VFA</t>
    </r>
    <r>
      <rPr>
        <sz val="11"/>
        <rFont val="Calibri"/>
        <family val="2"/>
      </rPr>
      <t>)</t>
    </r>
  </si>
  <si>
    <r>
      <t>pH</t>
    </r>
    <r>
      <rPr>
        <vertAlign val="subscript"/>
        <sz val="11"/>
        <rFont val="Calibri"/>
        <family val="2"/>
        <scheme val="minor"/>
      </rPr>
      <t>low,AMETO</t>
    </r>
  </si>
  <si>
    <r>
      <t>pH</t>
    </r>
    <r>
      <rPr>
        <vertAlign val="subscript"/>
        <sz val="11"/>
        <rFont val="Calibri"/>
        <family val="2"/>
        <scheme val="minor"/>
      </rPr>
      <t>high,AMETO</t>
    </r>
  </si>
  <si>
    <r>
      <t>pH</t>
    </r>
    <r>
      <rPr>
        <vertAlign val="subscript"/>
        <sz val="11"/>
        <rFont val="Calibri"/>
        <family val="2"/>
        <scheme val="minor"/>
      </rPr>
      <t>low,HMETO</t>
    </r>
  </si>
  <si>
    <r>
      <t>pH</t>
    </r>
    <r>
      <rPr>
        <vertAlign val="subscript"/>
        <sz val="11"/>
        <rFont val="Calibri"/>
        <family val="2"/>
        <scheme val="minor"/>
      </rPr>
      <t>high,HMETO</t>
    </r>
  </si>
  <si>
    <r>
      <t>Bellinh</t>
    </r>
    <r>
      <rPr>
        <vertAlign val="subscript"/>
        <sz val="11"/>
        <rFont val="Calibri"/>
        <family val="2"/>
        <scheme val="minor"/>
      </rPr>
      <t>pH,AMETO</t>
    </r>
  </si>
  <si>
    <r>
      <t>Bellinh</t>
    </r>
    <r>
      <rPr>
        <vertAlign val="subscript"/>
        <sz val="11"/>
        <rFont val="Calibri"/>
        <family val="2"/>
        <scheme val="minor"/>
      </rPr>
      <t>pH,HMETO</t>
    </r>
  </si>
  <si>
    <r>
      <t>Bellinh(pH;pH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</si>
  <si>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</si>
  <si>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i</t>
    </r>
    <r>
      <rPr>
        <vertAlign val="subscript"/>
        <sz val="11"/>
        <rFont val="Calibri"/>
        <family val="2"/>
      </rPr>
      <t>CIT,BIO</t>
    </r>
    <r>
      <rPr>
        <sz val="11"/>
        <rFont val="Calibri"/>
        <family val="2"/>
      </rPr>
      <t>-i</t>
    </r>
    <r>
      <rPr>
        <vertAlign val="subscript"/>
        <sz val="11"/>
        <rFont val="Calibri"/>
        <family val="2"/>
      </rPr>
      <t>CIT,SB</t>
    </r>
  </si>
  <si>
    <r>
      <t>Hsat</t>
    </r>
    <r>
      <rPr>
        <vertAlign val="subscript"/>
        <sz val="11"/>
        <rFont val="Calibri"/>
        <family val="2"/>
        <scheme val="minor"/>
      </rPr>
      <t>SVFA,AMETO</t>
    </r>
  </si>
  <si>
    <t>HFO kinetics</t>
  </si>
  <si>
    <t>A_MN/M_MSTR</t>
  </si>
  <si>
    <t>A_MP/M_MSTR</t>
  </si>
  <si>
    <t>2*A_MP/M_MACP</t>
  </si>
  <si>
    <t>2*A_MP/M_MVivi</t>
  </si>
  <si>
    <t>HFO stoichiometry</t>
  </si>
  <si>
    <t>Ferrous ions fully dissociated</t>
  </si>
  <si>
    <r>
      <t>m</t>
    </r>
    <r>
      <rPr>
        <vertAlign val="subscript"/>
        <sz val="11"/>
        <rFont val="Calibri"/>
        <family val="2"/>
        <scheme val="minor"/>
      </rPr>
      <t>tox,ana</t>
    </r>
  </si>
  <si>
    <t>unitless</t>
  </si>
  <si>
    <r>
      <t>10^(-A</t>
    </r>
    <r>
      <rPr>
        <vertAlign val="subscript"/>
        <sz val="11"/>
        <rFont val="Calibri"/>
        <family val="2"/>
        <scheme val="minor"/>
      </rPr>
      <t>Davies</t>
    </r>
    <r>
      <rPr>
        <sz val="11"/>
        <rFont val="Calibri"/>
        <family val="2"/>
        <scheme val="minor"/>
      </rPr>
      <t>*1^(2)*(IS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</si>
  <si>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*2^(2)*(IS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</si>
  <si>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r>
      <t>10^(-A</t>
    </r>
    <r>
      <rPr>
        <vertAlign val="subscript"/>
        <sz val="11"/>
        <rFont val="Calibri"/>
        <family val="2"/>
        <scheme val="minor"/>
      </rPr>
      <t>Davies</t>
    </r>
    <r>
      <rPr>
        <sz val="11"/>
        <rFont val="Calibri"/>
        <family val="2"/>
        <scheme val="minor"/>
      </rPr>
      <t>*3^(2)*(IS</t>
    </r>
    <r>
      <rPr>
        <vertAlign val="subscript"/>
        <sz val="11"/>
        <rFont val="Calibri"/>
        <family val="2"/>
        <scheme val="minor"/>
      </rPr>
      <t>lim</t>
    </r>
    <r>
      <rPr>
        <sz val="11"/>
        <rFont val="Calibri"/>
        <family val="2"/>
        <scheme val="minor"/>
      </rPr>
      <t>^(0.5)/(1+1.5*IS</t>
    </r>
    <r>
      <rPr>
        <vertAlign val="subscript"/>
        <sz val="11"/>
        <rFont val="Calibri"/>
        <family val="2"/>
        <scheme val="minor"/>
      </rPr>
      <t>lim</t>
    </r>
    <r>
      <rPr>
        <sz val="11"/>
        <rFont val="Calibri"/>
        <family val="2"/>
        <scheme val="minor"/>
      </rPr>
      <t>^(0.5))-0.3*IS</t>
    </r>
    <r>
      <rPr>
        <vertAlign val="subscript"/>
        <sz val="11"/>
        <rFont val="Calibri"/>
        <family val="2"/>
        <scheme val="minor"/>
      </rPr>
      <t>lim</t>
    </r>
    <r>
      <rPr>
        <sz val="11"/>
        <rFont val="Calibri"/>
        <family val="2"/>
        <scheme val="minor"/>
      </rPr>
      <t>))</t>
    </r>
  </si>
  <si>
    <t>Key(930)</t>
  </si>
  <si>
    <t>Key(940)</t>
  </si>
  <si>
    <t>Key(950)</t>
  </si>
  <si>
    <t>Key(960)</t>
  </si>
  <si>
    <t>Key(970)</t>
  </si>
  <si>
    <t>Key(980)</t>
  </si>
  <si>
    <t>Key(1000)</t>
  </si>
  <si>
    <t>Key(990)</t>
  </si>
  <si>
    <r>
      <t>X</t>
    </r>
    <r>
      <rPr>
        <vertAlign val="subscript"/>
        <sz val="11"/>
        <rFont val="Calibri"/>
        <family val="2"/>
        <scheme val="minor"/>
      </rPr>
      <t>ISS</t>
    </r>
  </si>
  <si>
    <r>
      <t>X</t>
    </r>
    <r>
      <rPr>
        <vertAlign val="subscript"/>
        <sz val="11"/>
        <rFont val="Calibri"/>
        <family val="2"/>
        <scheme val="minor"/>
      </rPr>
      <t>precip</t>
    </r>
  </si>
  <si>
    <r>
      <t>X</t>
    </r>
    <r>
      <rPr>
        <vertAlign val="subscript"/>
        <sz val="11"/>
        <rFont val="Calibri"/>
        <family val="2"/>
        <scheme val="minor"/>
      </rPr>
      <t>HFO,TSS</t>
    </r>
  </si>
  <si>
    <t>Total HFOs in TSS unit</t>
  </si>
  <si>
    <t>Dry matter</t>
  </si>
  <si>
    <r>
      <t>X</t>
    </r>
    <r>
      <rPr>
        <vertAlign val="subscript"/>
        <sz val="11"/>
        <rFont val="Calibri"/>
        <family val="2"/>
        <scheme val="minor"/>
      </rPr>
      <t>DM</t>
    </r>
  </si>
  <si>
    <r>
      <t>g.m</t>
    </r>
    <r>
      <rPr>
        <vertAlign val="superscript"/>
        <sz val="11"/>
        <rFont val="Calibri"/>
        <family val="2"/>
      </rPr>
      <t>-3</t>
    </r>
    <r>
      <rPr>
        <sz val="11"/>
        <rFont val="Calibri"/>
        <family val="2"/>
      </rPr>
      <t>.d</t>
    </r>
    <r>
      <rPr>
        <vertAlign val="superscript"/>
        <sz val="11"/>
        <rFont val="Calibri"/>
        <family val="2"/>
      </rPr>
      <t>-1</t>
    </r>
  </si>
  <si>
    <r>
      <t>MM</t>
    </r>
    <r>
      <rPr>
        <vertAlign val="subscript"/>
        <sz val="11"/>
        <rFont val="Calibri"/>
        <family val="2"/>
        <scheme val="minor"/>
      </rPr>
      <t>air</t>
    </r>
  </si>
  <si>
    <t>Molar mass of air</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</si>
  <si>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</si>
  <si>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</si>
  <si>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</si>
  <si>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</si>
  <si>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</si>
  <si>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</si>
  <si>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g N.mol</t>
    </r>
    <r>
      <rPr>
        <vertAlign val="superscript"/>
        <sz val="11"/>
        <rFont val="Calibri"/>
        <family val="2"/>
        <scheme val="minor"/>
      </rPr>
      <t>-1</t>
    </r>
  </si>
  <si>
    <r>
      <t>g COD.mol</t>
    </r>
    <r>
      <rPr>
        <vertAlign val="superscript"/>
        <sz val="11"/>
        <rFont val="Calibri"/>
        <family val="2"/>
        <scheme val="minor"/>
      </rPr>
      <t>-1</t>
    </r>
  </si>
  <si>
    <r>
      <t>g S.mol</t>
    </r>
    <r>
      <rPr>
        <vertAlign val="superscript"/>
        <sz val="11"/>
        <rFont val="Calibri"/>
        <family val="2"/>
        <scheme val="minor"/>
      </rPr>
      <t>-1</t>
    </r>
  </si>
  <si>
    <r>
      <t>g COD.g N</t>
    </r>
    <r>
      <rPr>
        <vertAlign val="superscript"/>
        <sz val="11"/>
        <rFont val="Calibri"/>
        <family val="2"/>
      </rPr>
      <t>-1</t>
    </r>
  </si>
  <si>
    <r>
      <t>g COD.g Fe</t>
    </r>
    <r>
      <rPr>
        <vertAlign val="superscript"/>
        <sz val="11"/>
        <rFont val="Calibri"/>
        <family val="2"/>
      </rPr>
      <t>-1</t>
    </r>
  </si>
  <si>
    <r>
      <t>g COD.g S</t>
    </r>
    <r>
      <rPr>
        <vertAlign val="superscript"/>
        <sz val="11"/>
        <rFont val="Calibri"/>
        <family val="2"/>
      </rPr>
      <t>-1</t>
    </r>
  </si>
  <si>
    <r>
      <t>g COD.g S</t>
    </r>
    <r>
      <rPr>
        <vertAlign val="superscript"/>
        <sz val="11"/>
        <rFont val="Calibri"/>
        <family val="2"/>
        <scheme val="minor"/>
      </rPr>
      <t>-1</t>
    </r>
  </si>
  <si>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</si>
  <si>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%.v.v</t>
    </r>
    <r>
      <rPr>
        <vertAlign val="superscript"/>
        <sz val="11"/>
        <rFont val="Calibri"/>
        <family val="2"/>
        <scheme val="minor"/>
      </rPr>
      <t>-1</t>
    </r>
  </si>
  <si>
    <t>Conversion coefficient between pascal and Hgmm</t>
  </si>
  <si>
    <t>Conversion coefficient between pascal and bar</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</si>
  <si>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</si>
  <si>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</si>
  <si>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</si>
  <si>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</si>
  <si>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</si>
  <si>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</si>
  <si>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</si>
  <si>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</si>
  <si>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</si>
  <si>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</si>
  <si>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</si>
  <si>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</si>
  <si>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</si>
  <si>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</si>
  <si>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</si>
  <si>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</si>
  <si>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</si>
  <si>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</si>
  <si>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</si>
  <si>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</si>
  <si>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</si>
  <si>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</si>
  <si>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</si>
  <si>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</si>
  <si>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</si>
  <si>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</si>
  <si>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</si>
  <si>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</si>
  <si>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</si>
  <si>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</si>
  <si>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</si>
  <si>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</si>
  <si>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</si>
  <si>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</si>
  <si>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</si>
  <si>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</si>
  <si>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</si>
  <si>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</si>
  <si>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</si>
  <si>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</si>
  <si>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</si>
  <si>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</si>
  <si>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</si>
  <si>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</si>
  <si>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</si>
  <si>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</si>
  <si>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</si>
  <si>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</si>
  <si>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</si>
  <si>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</si>
  <si>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</si>
  <si>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</si>
  <si>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</si>
  <si>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</si>
  <si>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</si>
  <si>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</si>
  <si>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</si>
  <si>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</si>
  <si>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</si>
  <si>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</si>
  <si>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</si>
  <si>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</si>
  <si>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</si>
  <si>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</si>
  <si>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</si>
  <si>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</si>
  <si>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</si>
  <si>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Volatile solids (VS)</t>
  </si>
  <si>
    <t>Volatile suspended solids (VSS)</t>
  </si>
  <si>
    <r>
      <t>X</t>
    </r>
    <r>
      <rPr>
        <vertAlign val="subscript"/>
        <sz val="11"/>
        <rFont val="Calibri"/>
        <family val="2"/>
        <scheme val="minor"/>
      </rPr>
      <t>VS,ult</t>
    </r>
  </si>
  <si>
    <r>
      <t>Y</t>
    </r>
    <r>
      <rPr>
        <vertAlign val="subscript"/>
        <sz val="11"/>
        <rFont val="Calibri"/>
        <family val="2"/>
        <scheme val="minor"/>
      </rPr>
      <t>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</si>
  <si>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</si>
  <si>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</si>
  <si>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</si>
  <si>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+C</t>
    </r>
    <r>
      <rPr>
        <vertAlign val="subscript"/>
        <sz val="11"/>
        <rFont val="Calibri"/>
        <family val="2"/>
        <scheme val="minor"/>
      </rPr>
      <t>B</t>
    </r>
    <r>
      <rPr>
        <sz val="11"/>
        <rFont val="Calibri"/>
        <family val="2"/>
        <scheme val="minor"/>
      </rPr>
      <t>)</t>
    </r>
  </si>
  <si>
    <r>
      <t>S</t>
    </r>
    <r>
      <rPr>
        <vertAlign val="subscript"/>
        <sz val="11"/>
        <rFont val="Calibri"/>
        <family val="2"/>
        <scheme val="minor"/>
      </rPr>
      <t>BOD,ult</t>
    </r>
    <r>
      <rPr>
        <sz val="11"/>
        <rFont val="Calibri"/>
        <family val="2"/>
        <scheme val="minor"/>
      </rPr>
      <t xml:space="preserve"> +X</t>
    </r>
    <r>
      <rPr>
        <vertAlign val="subscript"/>
        <sz val="11"/>
        <rFont val="Calibri"/>
        <family val="2"/>
        <scheme val="minor"/>
      </rPr>
      <t>BOD,ult</t>
    </r>
  </si>
  <si>
    <t>COUR</t>
  </si>
  <si>
    <t>NOUR</t>
  </si>
  <si>
    <t>Metal</t>
  </si>
  <si>
    <r>
      <t>m</t>
    </r>
    <r>
      <rPr>
        <vertAlign val="subscript"/>
        <sz val="11"/>
        <rFont val="Calibri"/>
        <family val="2"/>
        <scheme val="minor"/>
      </rPr>
      <t>tox,ana,max</t>
    </r>
  </si>
  <si>
    <t>Non-Digester</t>
  </si>
  <si>
    <r>
      <t>X</t>
    </r>
    <r>
      <rPr>
        <b/>
        <vertAlign val="subscript"/>
        <sz val="11"/>
        <rFont val="Calibri"/>
        <family val="2"/>
        <scheme val="minor"/>
      </rPr>
      <t>PP</t>
    </r>
  </si>
  <si>
    <t>Glycogen accumulating organisms</t>
  </si>
  <si>
    <r>
      <t>b</t>
    </r>
    <r>
      <rPr>
        <vertAlign val="subscript"/>
        <sz val="11"/>
        <rFont val="Calibri"/>
        <family val="2"/>
        <scheme val="minor"/>
      </rPr>
      <t>PP,ana</t>
    </r>
  </si>
  <si>
    <r>
      <t>K</t>
    </r>
    <r>
      <rPr>
        <vertAlign val="subscript"/>
        <sz val="11"/>
        <rFont val="Calibri"/>
        <family val="2"/>
        <scheme val="minor"/>
      </rPr>
      <t>PP</t>
    </r>
  </si>
  <si>
    <r>
      <t>MRsat(X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</si>
  <si>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Msat</t>
    </r>
    <r>
      <rPr>
        <vertAlign val="subscript"/>
        <sz val="11"/>
        <rFont val="Calibri"/>
        <family val="2"/>
        <scheme val="minor"/>
      </rPr>
      <t>XPP,KPP,lim</t>
    </r>
  </si>
  <si>
    <r>
      <t>Msat(X</t>
    </r>
    <r>
      <rPr>
        <vertAlign val="subscript"/>
        <sz val="11"/>
        <rFont val="Calibri"/>
        <family val="2"/>
        <scheme val="minor"/>
      </rPr>
      <t>PP</t>
    </r>
    <r>
      <rPr>
        <sz val="11"/>
        <rFont val="Calibri"/>
        <family val="2"/>
        <scheme val="minor"/>
      </rPr>
      <t>;K</t>
    </r>
    <r>
      <rPr>
        <vertAlign val="subscript"/>
        <sz val="11"/>
        <rFont val="Calibri"/>
        <family val="2"/>
        <scheme val="minor"/>
      </rPr>
      <t>PP,lim</t>
    </r>
    <r>
      <rPr>
        <sz val="11"/>
        <rFont val="Calibri"/>
        <family val="2"/>
        <scheme val="minor"/>
      </rPr>
      <t>)</t>
    </r>
  </si>
  <si>
    <r>
      <t>b</t>
    </r>
    <r>
      <rPr>
        <vertAlign val="subscript"/>
        <sz val="11"/>
        <color indexed="8"/>
        <rFont val="Calibri"/>
        <family val="2"/>
        <scheme val="minor"/>
      </rPr>
      <t>PP,ana,T</t>
    </r>
  </si>
  <si>
    <r>
      <t>b</t>
    </r>
    <r>
      <rPr>
        <vertAlign val="subscript"/>
        <sz val="11"/>
        <color indexed="8"/>
        <rFont val="Calibri"/>
        <family val="2"/>
        <scheme val="minor"/>
      </rPr>
      <t>PP,ana</t>
    </r>
    <r>
      <rPr>
        <sz val="11"/>
        <color indexed="8"/>
        <rFont val="Calibri"/>
        <family val="2"/>
        <scheme val="minor"/>
      </rPr>
      <t>*Arrh(θ</t>
    </r>
    <r>
      <rPr>
        <vertAlign val="subscript"/>
        <sz val="11"/>
        <color indexed="8"/>
        <rFont val="Calibri"/>
        <family val="2"/>
        <scheme val="minor"/>
      </rPr>
      <t>b,PP,ana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</si>
  <si>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b,PP,ana</t>
    </r>
  </si>
  <si>
    <r>
      <t>MRsat</t>
    </r>
    <r>
      <rPr>
        <vertAlign val="subscript"/>
        <sz val="11"/>
        <rFont val="Calibri"/>
        <family val="2"/>
        <scheme val="minor"/>
      </rPr>
      <t>XPP,XPAO,KPP</t>
    </r>
  </si>
  <si>
    <t>r50</t>
  </si>
  <si>
    <t>r51</t>
  </si>
  <si>
    <t>r52</t>
  </si>
  <si>
    <t>r53</t>
  </si>
  <si>
    <t>r54</t>
  </si>
  <si>
    <t>r55</t>
  </si>
  <si>
    <t>r56</t>
  </si>
  <si>
    <t>r57</t>
  </si>
  <si>
    <t>Lopez Vazquez et al., 2009</t>
  </si>
  <si>
    <r>
      <t>g COD.g COD</t>
    </r>
    <r>
      <rPr>
        <vertAlign val="superscript"/>
        <sz val="11"/>
        <rFont val="Calibri"/>
        <family val="2"/>
        <scheme val="minor"/>
      </rPr>
      <t>-1</t>
    </r>
  </si>
  <si>
    <r>
      <t>Loginh</t>
    </r>
    <r>
      <rPr>
        <vertAlign val="subscript"/>
        <sz val="11"/>
        <rFont val="Calibri"/>
        <family val="2"/>
        <scheme val="minor"/>
      </rPr>
      <t>XPHA,XPAO,max</t>
    </r>
  </si>
  <si>
    <r>
      <t>Loginh</t>
    </r>
    <r>
      <rPr>
        <vertAlign val="subscript"/>
        <sz val="11"/>
        <rFont val="Calibri"/>
        <family val="2"/>
        <scheme val="minor"/>
      </rPr>
      <t>XPP,XPAO,max</t>
    </r>
  </si>
  <si>
    <r>
      <t>CH</t>
    </r>
    <r>
      <rPr>
        <vertAlign val="subscript"/>
        <sz val="11"/>
        <rFont val="Calibri"/>
        <family val="2"/>
        <scheme val="minor"/>
      </rPr>
      <t>4</t>
    </r>
    <r>
      <rPr>
        <sz val="11"/>
        <rFont val="Calibri"/>
        <family val="2"/>
        <scheme val="minor"/>
      </rPr>
      <t>O: 48 g COD/mol C</t>
    </r>
  </si>
  <si>
    <r>
      <t>i</t>
    </r>
    <r>
      <rPr>
        <vertAlign val="subscript"/>
        <sz val="11"/>
        <rFont val="Calibri"/>
        <family val="2"/>
        <scheme val="minor"/>
      </rPr>
      <t>N,XE</t>
    </r>
  </si>
  <si>
    <t>N content of endogenous products</t>
  </si>
  <si>
    <r>
      <t>i</t>
    </r>
    <r>
      <rPr>
        <vertAlign val="subscript"/>
        <sz val="11"/>
        <rFont val="Calibri"/>
        <family val="2"/>
      </rPr>
      <t>N,XE</t>
    </r>
  </si>
  <si>
    <r>
      <t>-f</t>
    </r>
    <r>
      <rPr>
        <vertAlign val="subscript"/>
        <sz val="11"/>
        <rFont val="Calibri"/>
        <family val="2"/>
      </rPr>
      <t>E</t>
    </r>
    <r>
      <rPr>
        <sz val="11"/>
        <rFont val="Calibri"/>
        <family val="2"/>
      </rPr>
      <t>*(i</t>
    </r>
    <r>
      <rPr>
        <vertAlign val="subscript"/>
        <sz val="11"/>
        <rFont val="Calibri"/>
        <family val="2"/>
      </rPr>
      <t>N,XE</t>
    </r>
    <r>
      <rPr>
        <sz val="11"/>
        <rFont val="Calibri"/>
        <family val="2"/>
      </rPr>
      <t>-i</t>
    </r>
    <r>
      <rPr>
        <vertAlign val="subscript"/>
        <sz val="11"/>
        <rFont val="Calibri"/>
        <family val="2"/>
      </rPr>
      <t>N,BIO</t>
    </r>
    <r>
      <rPr>
        <sz val="11"/>
        <rFont val="Calibri"/>
        <family val="2"/>
      </rPr>
      <t>)</t>
    </r>
  </si>
  <si>
    <t>Precipitated solids</t>
  </si>
  <si>
    <t>pH calculation - pH not specified (Non pHSet)</t>
  </si>
  <si>
    <t>Temperature dependency correction</t>
  </si>
  <si>
    <t>Anaerobic toxicity factor</t>
  </si>
  <si>
    <t>Anoxic methanol utilizer kinetics (MEOLO)</t>
  </si>
  <si>
    <t>Oxidation-reduction potential constants</t>
  </si>
  <si>
    <r>
      <t>ORP</t>
    </r>
    <r>
      <rPr>
        <vertAlign val="subscript"/>
        <sz val="11"/>
        <rFont val="Calibri"/>
        <family val="2"/>
        <scheme val="minor"/>
      </rPr>
      <t>base</t>
    </r>
  </si>
  <si>
    <t>Base ORP value</t>
  </si>
  <si>
    <t>mV</t>
  </si>
  <si>
    <r>
      <t>K</t>
    </r>
    <r>
      <rPr>
        <vertAlign val="subscript"/>
        <sz val="11"/>
        <rFont val="Calibri"/>
        <family val="2"/>
        <scheme val="minor"/>
      </rPr>
      <t>ORP,SO2</t>
    </r>
  </si>
  <si>
    <t>Half-saturation of dissolved oxygen for ORP</t>
  </si>
  <si>
    <r>
      <t>K</t>
    </r>
    <r>
      <rPr>
        <vertAlign val="subscript"/>
        <sz val="11"/>
        <rFont val="Calibri"/>
        <family val="2"/>
        <scheme val="minor"/>
      </rPr>
      <t>ORP,SNOx</t>
    </r>
  </si>
  <si>
    <r>
      <t>Half-saturation of NO</t>
    </r>
    <r>
      <rPr>
        <vertAlign val="subscript"/>
        <sz val="11"/>
        <color rgb="FF000000"/>
        <rFont val="Calibri"/>
        <family val="2"/>
        <scheme val="minor"/>
      </rPr>
      <t>x</t>
    </r>
    <r>
      <rPr>
        <sz val="11"/>
        <color rgb="FF000000"/>
        <rFont val="Calibri"/>
        <family val="2"/>
        <charset val="238"/>
        <scheme val="minor"/>
      </rPr>
      <t xml:space="preserve"> for ORP</t>
    </r>
  </si>
  <si>
    <t>Oxidation-reduction potential</t>
  </si>
  <si>
    <r>
      <t>ORP</t>
    </r>
    <r>
      <rPr>
        <vertAlign val="subscript"/>
        <sz val="11"/>
        <rFont val="Calibri"/>
        <family val="2"/>
        <scheme val="minor"/>
      </rPr>
      <t>O2</t>
    </r>
  </si>
  <si>
    <r>
      <t>ORP</t>
    </r>
    <r>
      <rPr>
        <vertAlign val="subscript"/>
        <sz val="11"/>
        <rFont val="Calibri"/>
        <family val="2"/>
      </rPr>
      <t>NOx</t>
    </r>
  </si>
  <si>
    <t>ORP</t>
  </si>
  <si>
    <r>
      <t>Y</t>
    </r>
    <r>
      <rPr>
        <vertAlign val="subscript"/>
        <sz val="11"/>
        <rFont val="Calibri"/>
        <family val="2"/>
        <scheme val="minor"/>
      </rPr>
      <t>OHO,H2,ana,high</t>
    </r>
  </si>
  <si>
    <r>
      <t>Y</t>
    </r>
    <r>
      <rPr>
        <vertAlign val="subscript"/>
        <sz val="11"/>
        <rFont val="Calibri"/>
        <family val="2"/>
        <scheme val="minor"/>
      </rPr>
      <t>OHO,H2,ana,low</t>
    </r>
  </si>
  <si>
    <r>
      <t>K</t>
    </r>
    <r>
      <rPr>
        <vertAlign val="subscript"/>
        <sz val="11"/>
        <rFont val="Calibri"/>
        <family val="2"/>
        <scheme val="minor"/>
      </rPr>
      <t>VFA,FERM,AS</t>
    </r>
  </si>
  <si>
    <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)/Y</t>
    </r>
    <r>
      <rPr>
        <vertAlign val="subscript"/>
        <sz val="11"/>
        <rFont val="Calibri"/>
        <family val="2"/>
      </rPr>
      <t>OHO,SB,ana</t>
    </r>
  </si>
  <si>
    <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)/Y</t>
    </r>
    <r>
      <rPr>
        <vertAlign val="subscript"/>
        <sz val="11"/>
        <rFont val="Calibri"/>
        <family val="2"/>
      </rPr>
      <t>OHO,SB,ana</t>
    </r>
  </si>
  <si>
    <r>
      <t>S</t>
    </r>
    <r>
      <rPr>
        <vertAlign val="subscript"/>
        <sz val="11"/>
        <rFont val="Calibri"/>
        <family val="2"/>
      </rPr>
      <t>B</t>
    </r>
    <r>
      <rPr>
        <sz val="11"/>
        <rFont val="Calibri"/>
        <family val="2"/>
      </rPr>
      <t xml:space="preserve"> fermentation with high VFA (OHO growth, anaerobic)</t>
    </r>
  </si>
  <si>
    <t>r58</t>
  </si>
  <si>
    <r>
      <t>Y</t>
    </r>
    <r>
      <rPr>
        <vertAlign val="subscript"/>
        <sz val="11"/>
        <rFont val="Calibri"/>
        <family val="2"/>
      </rPr>
      <t>OHO,H2,ana,high</t>
    </r>
    <r>
      <rPr>
        <sz val="11"/>
        <rFont val="Calibri"/>
        <family val="2"/>
      </rPr>
      <t>/Y</t>
    </r>
    <r>
      <rPr>
        <vertAlign val="subscript"/>
        <sz val="11"/>
        <rFont val="Calibri"/>
        <family val="2"/>
      </rPr>
      <t>OHO,SB,ana</t>
    </r>
  </si>
  <si>
    <r>
      <t>Y</t>
    </r>
    <r>
      <rPr>
        <vertAlign val="subscript"/>
        <sz val="11"/>
        <rFont val="Calibri"/>
        <family val="2"/>
      </rPr>
      <t>OHO,H2,ana,low</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</si>
  <si>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OHO,H2,ana,high</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</si>
  <si>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OHO,SB,ana</t>
    </r>
    <r>
      <rPr>
        <sz val="11"/>
        <rFont val="Calibri"/>
        <family val="2"/>
      </rPr>
      <t>-Y</t>
    </r>
    <r>
      <rPr>
        <vertAlign val="subscript"/>
        <sz val="11"/>
        <rFont val="Calibri"/>
        <family val="2"/>
      </rPr>
      <t>OHO,H2,ana,low</t>
    </r>
    <r>
      <rPr>
        <sz val="11"/>
        <rFont val="Calibri"/>
        <family val="2"/>
      </rPr>
      <t>)-i</t>
    </r>
    <r>
      <rPr>
        <vertAlign val="subscript"/>
        <sz val="11"/>
        <rFont val="Calibri"/>
        <family val="2"/>
      </rPr>
      <t>CIT,BIO</t>
    </r>
    <r>
      <rPr>
        <sz val="11"/>
        <rFont val="Calibri"/>
        <family val="2"/>
      </rPr>
      <t>*Y</t>
    </r>
    <r>
      <rPr>
        <vertAlign val="subscript"/>
        <sz val="11"/>
        <rFont val="Calibri"/>
        <family val="2"/>
      </rPr>
      <t>OHO,SB,ana</t>
    </r>
    <r>
      <rPr>
        <sz val="11"/>
        <rFont val="Calibri"/>
        <family val="2"/>
      </rPr>
      <t>)/Y</t>
    </r>
    <r>
      <rPr>
        <vertAlign val="subscript"/>
        <sz val="11"/>
        <rFont val="Calibri"/>
        <family val="2"/>
      </rPr>
      <t>OHO,SB,ana</t>
    </r>
  </si>
  <si>
    <r>
      <t>K</t>
    </r>
    <r>
      <rPr>
        <vertAlign val="subscript"/>
        <sz val="11"/>
        <rFont val="Calibri"/>
        <family val="2"/>
        <scheme val="minor"/>
      </rPr>
      <t>VFA,FERM</t>
    </r>
  </si>
  <si>
    <t>Saturation term for VFAs in fermentation</t>
  </si>
  <si>
    <r>
      <t>Logsat</t>
    </r>
    <r>
      <rPr>
        <vertAlign val="subscript"/>
        <sz val="11"/>
        <rFont val="Calibri"/>
        <family val="2"/>
        <scheme val="minor"/>
      </rPr>
      <t>SVFA,KVFA,FERM</t>
    </r>
  </si>
  <si>
    <r>
      <t>Loginh</t>
    </r>
    <r>
      <rPr>
        <vertAlign val="subscript"/>
        <sz val="11"/>
        <rFont val="Calibri"/>
        <family val="2"/>
        <scheme val="minor"/>
      </rPr>
      <t>SVFA,KVFA,FERM</t>
    </r>
  </si>
  <si>
    <t>Acidoclastic methanogen kinetics (AMETO)</t>
  </si>
  <si>
    <t>Hydrogenotrophic methanogen kinetics (HMETO)</t>
  </si>
  <si>
    <t>Key(1200)</t>
  </si>
  <si>
    <r>
      <t>i</t>
    </r>
    <r>
      <rPr>
        <vertAlign val="subscript"/>
        <sz val="11"/>
        <rFont val="Calibri"/>
        <family val="2"/>
      </rPr>
      <t>CIT,VFA</t>
    </r>
    <r>
      <rPr>
        <sz val="11"/>
        <rFont val="Calibri"/>
        <family val="2"/>
      </rPr>
      <t>*1/Y</t>
    </r>
    <r>
      <rPr>
        <vertAlign val="subscript"/>
        <sz val="11"/>
        <rFont val="Calibri"/>
        <family val="2"/>
      </rPr>
      <t>AMETO</t>
    </r>
    <r>
      <rPr>
        <sz val="11"/>
        <rFont val="Calibri"/>
        <family val="2"/>
      </rPr>
      <t>-i</t>
    </r>
    <r>
      <rPr>
        <vertAlign val="subscript"/>
        <sz val="11"/>
        <rFont val="Calibri"/>
        <family val="2"/>
      </rPr>
      <t>CIT,BIO</t>
    </r>
    <r>
      <rPr>
        <sz val="11"/>
        <rFont val="Calibri"/>
        <family val="2"/>
      </rPr>
      <t>-i</t>
    </r>
    <r>
      <rPr>
        <vertAlign val="subscript"/>
        <sz val="11"/>
        <rFont val="Calibri"/>
        <family val="2"/>
      </rPr>
      <t>CIT,CH4</t>
    </r>
    <r>
      <rPr>
        <sz val="11"/>
        <rFont val="Calibri"/>
        <family val="2"/>
      </rPr>
      <t>*(1-Y</t>
    </r>
    <r>
      <rPr>
        <vertAlign val="subscript"/>
        <sz val="11"/>
        <rFont val="Calibri"/>
        <family val="2"/>
      </rPr>
      <t>AMETO</t>
    </r>
    <r>
      <rPr>
        <sz val="11"/>
        <rFont val="Calibri"/>
        <family val="2"/>
      </rPr>
      <t>)/Y</t>
    </r>
    <r>
      <rPr>
        <vertAlign val="subscript"/>
        <sz val="11"/>
        <rFont val="Calibri"/>
        <family val="2"/>
      </rPr>
      <t>AMETO</t>
    </r>
  </si>
  <si>
    <r>
      <t>g O2.m</t>
    </r>
    <r>
      <rPr>
        <vertAlign val="superscript"/>
        <sz val="11"/>
        <rFont val="Calibri"/>
        <family val="2"/>
        <scheme val="minor"/>
      </rPr>
      <t>-3</t>
    </r>
  </si>
  <si>
    <t>Ordinary heterotrophic organism kinetics (OHO)</t>
  </si>
  <si>
    <r>
      <t>mol [NH</t>
    </r>
    <r>
      <rPr>
        <vertAlign val="subscript"/>
        <sz val="11"/>
        <color indexed="8"/>
        <rFont val="Calibri"/>
        <family val="2"/>
        <scheme val="minor"/>
      </rPr>
      <t>3</t>
    </r>
    <r>
      <rPr>
        <sz val="11"/>
        <color indexed="8"/>
        <rFont val="Calibri"/>
        <family val="2"/>
        <scheme val="minor"/>
      </rPr>
      <t>].L</t>
    </r>
    <r>
      <rPr>
        <vertAlign val="superscript"/>
        <sz val="11"/>
        <color indexed="8"/>
        <rFont val="Calibri"/>
        <family val="2"/>
        <scheme val="minor"/>
      </rPr>
      <t>-1</t>
    </r>
  </si>
  <si>
    <r>
      <t>g COD.g COD</t>
    </r>
    <r>
      <rPr>
        <vertAlign val="superscript"/>
        <sz val="11"/>
        <color indexed="8"/>
        <rFont val="Calibri"/>
        <family val="2"/>
        <scheme val="minor"/>
      </rPr>
      <t>-1</t>
    </r>
  </si>
  <si>
    <r>
      <t>g TSS.g COD</t>
    </r>
    <r>
      <rPr>
        <vertAlign val="superscript"/>
        <sz val="11"/>
        <rFont val="Calibri"/>
        <family val="2"/>
        <scheme val="minor"/>
      </rPr>
      <t>-1</t>
    </r>
  </si>
  <si>
    <r>
      <t>ORP</t>
    </r>
    <r>
      <rPr>
        <vertAlign val="subscript"/>
        <sz val="11"/>
        <rFont val="Calibri"/>
        <family val="2"/>
        <scheme val="minor"/>
      </rPr>
      <t>max,SO2</t>
    </r>
  </si>
  <si>
    <t>ORP max for dissolved oxygen</t>
  </si>
  <si>
    <r>
      <t>ORP</t>
    </r>
    <r>
      <rPr>
        <vertAlign val="subscript"/>
        <sz val="11"/>
        <rFont val="Calibri"/>
        <family val="2"/>
        <scheme val="minor"/>
      </rPr>
      <t>max,SNOx</t>
    </r>
  </si>
  <si>
    <t>ORP max for dissolved nitrate</t>
  </si>
  <si>
    <t>Oxidation-reduction potential due to dissolved oxygen</t>
  </si>
  <si>
    <t>GAO anaerobic maintenance</t>
  </si>
  <si>
    <t>r59</t>
  </si>
  <si>
    <t>-BigNumber</t>
  </si>
  <si>
    <t>PP cleavage for maintenance</t>
  </si>
  <si>
    <r>
      <t>η</t>
    </r>
    <r>
      <rPr>
        <vertAlign val="subscript"/>
        <sz val="11"/>
        <rFont val="Calibri"/>
        <family val="2"/>
        <scheme val="minor"/>
      </rPr>
      <t>bPP,aer</t>
    </r>
  </si>
  <si>
    <r>
      <t>η</t>
    </r>
    <r>
      <rPr>
        <vertAlign val="subscript"/>
        <sz val="11"/>
        <rFont val="Calibri"/>
        <family val="2"/>
        <scheme val="minor"/>
      </rPr>
      <t>bPP,anox</t>
    </r>
  </si>
  <si>
    <r>
      <t>MRinh</t>
    </r>
    <r>
      <rPr>
        <vertAlign val="subscript"/>
        <sz val="11"/>
        <rFont val="Calibri"/>
        <family val="2"/>
        <scheme val="minor"/>
      </rPr>
      <t>XPP,XPAO,KPP</t>
    </r>
  </si>
  <si>
    <r>
      <t>MRinh(X</t>
    </r>
    <r>
      <rPr>
        <vertAlign val="subscript"/>
        <sz val="11"/>
        <rFont val="Calibri"/>
        <family val="2"/>
        <scheme val="minor"/>
      </rPr>
      <t>PP</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PP</t>
    </r>
    <r>
      <rPr>
        <sz val="11"/>
        <rFont val="Calibri"/>
        <family val="2"/>
        <scheme val="minor"/>
      </rPr>
      <t>)</t>
    </r>
  </si>
  <si>
    <r>
      <t>S</t>
    </r>
    <r>
      <rPr>
        <b/>
        <vertAlign val="subscript"/>
        <sz val="11"/>
        <rFont val="Calibri"/>
        <family val="2"/>
        <charset val="238"/>
        <scheme val="minor"/>
      </rPr>
      <t>NO2</t>
    </r>
  </si>
  <si>
    <t>Damping</t>
  </si>
  <si>
    <r>
      <t>S</t>
    </r>
    <r>
      <rPr>
        <b/>
        <vertAlign val="subscript"/>
        <sz val="11"/>
        <rFont val="Calibri"/>
        <family val="2"/>
        <charset val="238"/>
        <scheme val="minor"/>
      </rPr>
      <t>NO3</t>
    </r>
  </si>
  <si>
    <r>
      <t>X</t>
    </r>
    <r>
      <rPr>
        <b/>
        <vertAlign val="subscript"/>
        <sz val="11"/>
        <rFont val="Calibri"/>
        <family val="2"/>
        <charset val="238"/>
        <scheme val="minor"/>
      </rPr>
      <t>AOB</t>
    </r>
  </si>
  <si>
    <r>
      <t>X</t>
    </r>
    <r>
      <rPr>
        <b/>
        <vertAlign val="subscript"/>
        <sz val="11"/>
        <rFont val="Calibri"/>
        <family val="2"/>
        <charset val="238"/>
        <scheme val="minor"/>
      </rPr>
      <t>NOB</t>
    </r>
  </si>
  <si>
    <r>
      <t>S</t>
    </r>
    <r>
      <rPr>
        <b/>
        <vertAlign val="subscript"/>
        <sz val="11"/>
        <rFont val="Calibri"/>
        <family val="2"/>
        <scheme val="minor"/>
      </rPr>
      <t>NO2</t>
    </r>
  </si>
  <si>
    <r>
      <t>S</t>
    </r>
    <r>
      <rPr>
        <b/>
        <vertAlign val="subscript"/>
        <sz val="11"/>
        <rFont val="Calibri"/>
        <family val="2"/>
        <scheme val="minor"/>
      </rPr>
      <t>NO3</t>
    </r>
  </si>
  <si>
    <r>
      <t>X</t>
    </r>
    <r>
      <rPr>
        <b/>
        <vertAlign val="subscript"/>
        <sz val="11"/>
        <rFont val="Calibri"/>
        <family val="2"/>
        <scheme val="minor"/>
      </rPr>
      <t>NOB</t>
    </r>
  </si>
  <si>
    <r>
      <t>X</t>
    </r>
    <r>
      <rPr>
        <b/>
        <vertAlign val="subscript"/>
        <sz val="11"/>
        <rFont val="Calibri"/>
        <family val="2"/>
        <scheme val="minor"/>
      </rPr>
      <t>AOB</t>
    </r>
  </si>
  <si>
    <r>
      <t>[HNO</t>
    </r>
    <r>
      <rPr>
        <b/>
        <vertAlign val="subscript"/>
        <sz val="11"/>
        <rFont val="Calibri"/>
        <family val="2"/>
      </rPr>
      <t>2</t>
    </r>
    <r>
      <rPr>
        <b/>
        <sz val="11"/>
        <rFont val="Calibri"/>
        <family val="2"/>
      </rPr>
      <t>]</t>
    </r>
  </si>
  <si>
    <t>Nitrous acid</t>
  </si>
  <si>
    <r>
      <t>[NO</t>
    </r>
    <r>
      <rPr>
        <b/>
        <vertAlign val="subscript"/>
        <sz val="11"/>
        <rFont val="Calibri"/>
        <family val="2"/>
      </rPr>
      <t>2</t>
    </r>
    <r>
      <rPr>
        <b/>
        <vertAlign val="superscript"/>
        <sz val="11"/>
        <rFont val="Calibri"/>
        <family val="2"/>
      </rPr>
      <t>-</t>
    </r>
    <r>
      <rPr>
        <b/>
        <sz val="11"/>
        <rFont val="Calibri"/>
        <family val="2"/>
      </rPr>
      <t>]</t>
    </r>
  </si>
  <si>
    <t>Nitrite ion</t>
  </si>
  <si>
    <r>
      <t>diss</t>
    </r>
    <r>
      <rPr>
        <vertAlign val="subscript"/>
        <sz val="11"/>
        <rFont val="Calibri"/>
        <family val="2"/>
      </rPr>
      <t>NO2</t>
    </r>
  </si>
  <si>
    <r>
      <t>-(EEQ</t>
    </r>
    <r>
      <rPr>
        <vertAlign val="subscript"/>
        <sz val="11"/>
        <rFont val="Calibri"/>
        <family val="2"/>
      </rPr>
      <t>NO2,NO3</t>
    </r>
    <r>
      <rPr>
        <sz val="11"/>
        <rFont val="Calibri"/>
        <family val="2"/>
      </rPr>
      <t>-Y</t>
    </r>
    <r>
      <rPr>
        <vertAlign val="subscript"/>
        <sz val="11"/>
        <rFont val="Calibri"/>
        <family val="2"/>
      </rPr>
      <t>NOB</t>
    </r>
    <r>
      <rPr>
        <sz val="11"/>
        <rFont val="Calibri"/>
        <family val="2"/>
      </rPr>
      <t>)/Y</t>
    </r>
    <r>
      <rPr>
        <vertAlign val="subscript"/>
        <sz val="11"/>
        <rFont val="Calibri"/>
        <family val="2"/>
      </rPr>
      <t>NOB</t>
    </r>
  </si>
  <si>
    <r>
      <t>1/Y</t>
    </r>
    <r>
      <rPr>
        <vertAlign val="subscript"/>
        <sz val="11"/>
        <rFont val="Calibri"/>
        <family val="2"/>
      </rPr>
      <t>AOB</t>
    </r>
  </si>
  <si>
    <r>
      <rPr>
        <sz val="11"/>
        <rFont val="Calibri"/>
        <family val="2"/>
      </rPr>
      <t>-i</t>
    </r>
    <r>
      <rPr>
        <vertAlign val="subscript"/>
        <sz val="11"/>
        <rFont val="Calibri"/>
        <family val="2"/>
      </rPr>
      <t>N,BIO</t>
    </r>
  </si>
  <si>
    <r>
      <t>-1/Y</t>
    </r>
    <r>
      <rPr>
        <vertAlign val="subscript"/>
        <sz val="11"/>
        <rFont val="Calibri"/>
        <family val="2"/>
      </rPr>
      <t>NOB</t>
    </r>
  </si>
  <si>
    <r>
      <t>1/Y</t>
    </r>
    <r>
      <rPr>
        <vertAlign val="subscript"/>
        <sz val="11"/>
        <rFont val="Calibri"/>
        <family val="2"/>
      </rPr>
      <t>NOB</t>
    </r>
  </si>
  <si>
    <t>AOB decay</t>
  </si>
  <si>
    <t>NOB growth</t>
  </si>
  <si>
    <t>NOB decay</t>
  </si>
  <si>
    <t>Anammox growth</t>
  </si>
  <si>
    <t>Anammox decay</t>
  </si>
  <si>
    <r>
      <t>X</t>
    </r>
    <r>
      <rPr>
        <b/>
        <vertAlign val="subscript"/>
        <sz val="11"/>
        <rFont val="Calibri"/>
        <family val="2"/>
        <charset val="238"/>
        <scheme val="minor"/>
      </rPr>
      <t>AMX</t>
    </r>
  </si>
  <si>
    <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O</t>
    </r>
  </si>
  <si>
    <r>
      <t xml:space="preserve"> -Y</t>
    </r>
    <r>
      <rPr>
        <vertAlign val="subscript"/>
        <sz val="11"/>
        <color indexed="8"/>
        <rFont val="Calibri"/>
        <family val="2"/>
        <charset val="238"/>
      </rPr>
      <t>AMX,NO2</t>
    </r>
    <r>
      <rPr>
        <sz val="11"/>
        <color indexed="8"/>
        <rFont val="Calibri"/>
        <family val="2"/>
      </rPr>
      <t>/(5*Y</t>
    </r>
    <r>
      <rPr>
        <vertAlign val="subscript"/>
        <sz val="11"/>
        <color indexed="8"/>
        <rFont val="Calibri"/>
        <family val="2"/>
        <charset val="238"/>
      </rPr>
      <t>AMX,NO3</t>
    </r>
    <r>
      <rPr>
        <sz val="11"/>
        <color indexed="8"/>
        <rFont val="Calibri"/>
        <family val="2"/>
      </rPr>
      <t>+3-3*Y</t>
    </r>
    <r>
      <rPr>
        <vertAlign val="subscript"/>
        <sz val="11"/>
        <color indexed="8"/>
        <rFont val="Calibri"/>
        <family val="2"/>
        <charset val="238"/>
      </rPr>
      <t>AMX,NO2</t>
    </r>
    <r>
      <rPr>
        <sz val="11"/>
        <color indexed="8"/>
        <rFont val="Calibri"/>
        <family val="2"/>
      </rPr>
      <t>)*(3*i</t>
    </r>
    <r>
      <rPr>
        <vertAlign val="subscript"/>
        <sz val="11"/>
        <color indexed="8"/>
        <rFont val="Calibri"/>
        <family val="2"/>
        <charset val="238"/>
      </rPr>
      <t>N,BIO</t>
    </r>
    <r>
      <rPr>
        <sz val="11"/>
        <color indexed="8"/>
        <rFont val="Calibri"/>
        <family val="2"/>
      </rPr>
      <t>*AM</t>
    </r>
    <r>
      <rPr>
        <vertAlign val="subscript"/>
        <sz val="11"/>
        <color indexed="8"/>
        <rFont val="Calibri"/>
        <family val="2"/>
        <charset val="238"/>
      </rPr>
      <t>O</t>
    </r>
    <r>
      <rPr>
        <sz val="11"/>
        <color indexed="8"/>
        <rFont val="Calibri"/>
        <family val="2"/>
      </rPr>
      <t>+2*AM</t>
    </r>
    <r>
      <rPr>
        <vertAlign val="subscript"/>
        <sz val="11"/>
        <color indexed="8"/>
        <rFont val="Calibri"/>
        <family val="2"/>
        <charset val="238"/>
      </rPr>
      <t>N</t>
    </r>
    <r>
      <rPr>
        <sz val="11"/>
        <color indexed="8"/>
        <rFont val="Calibri"/>
        <family val="2"/>
      </rPr>
      <t>)/AM</t>
    </r>
    <r>
      <rPr>
        <vertAlign val="subscript"/>
        <sz val="11"/>
        <color indexed="8"/>
        <rFont val="Calibri"/>
        <family val="2"/>
        <charset val="238"/>
      </rPr>
      <t>O</t>
    </r>
  </si>
  <si>
    <r>
      <t>Y</t>
    </r>
    <r>
      <rPr>
        <vertAlign val="subscript"/>
        <sz val="11"/>
        <color indexed="8"/>
        <rFont val="Calibri"/>
        <family val="2"/>
        <scheme val="minor"/>
      </rPr>
      <t>AMX,NO3</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+3-3*Y</t>
    </r>
    <r>
      <rPr>
        <vertAlign val="subscript"/>
        <sz val="11"/>
        <color indexed="8"/>
        <rFont val="Calibri"/>
        <family val="2"/>
        <scheme val="minor"/>
      </rPr>
      <t>AMX,NO2</t>
    </r>
    <r>
      <rPr>
        <sz val="11"/>
        <color indexed="8"/>
        <rFont val="Calibri"/>
        <family val="2"/>
        <scheme val="minor"/>
      </rPr>
      <t>)*(3*i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+2*AM</t>
    </r>
    <r>
      <rPr>
        <vertAlign val="subscript"/>
        <sz val="11"/>
        <color indexed="8"/>
        <rFont val="Calibri"/>
        <family val="2"/>
        <scheme val="minor"/>
      </rPr>
      <t>N</t>
    </r>
    <r>
      <rPr>
        <sz val="11"/>
        <color indexed="8"/>
        <rFont val="Calibri"/>
        <family val="2"/>
        <scheme val="minor"/>
      </rPr>
      <t>)/AM</t>
    </r>
    <r>
      <rPr>
        <vertAlign val="subscript"/>
        <sz val="11"/>
        <color indexed="8"/>
        <rFont val="Calibri"/>
        <family val="2"/>
        <scheme val="minor"/>
      </rPr>
      <t>O</t>
    </r>
  </si>
  <si>
    <r>
      <t>2*(Y</t>
    </r>
    <r>
      <rPr>
        <vertAlign val="subscript"/>
        <sz val="11"/>
        <color indexed="8"/>
        <rFont val="Calibri"/>
        <family val="2"/>
        <scheme val="minor"/>
      </rPr>
      <t>AMX,NO3</t>
    </r>
    <r>
      <rPr>
        <sz val="11"/>
        <color indexed="8"/>
        <rFont val="Calibri"/>
        <family val="2"/>
        <scheme val="minor"/>
      </rPr>
      <t>*AM</t>
    </r>
    <r>
      <rPr>
        <vertAlign val="subscript"/>
        <sz val="11"/>
        <color indexed="8"/>
        <rFont val="Calibri"/>
        <family val="2"/>
        <scheme val="minor"/>
      </rPr>
      <t>N</t>
    </r>
    <r>
      <rPr>
        <sz val="11"/>
        <color indexed="8"/>
        <rFont val="Calibri"/>
        <family val="2"/>
        <scheme val="minor"/>
      </rPr>
      <t>-1*AM</t>
    </r>
    <r>
      <rPr>
        <vertAlign val="subscript"/>
        <sz val="11"/>
        <color indexed="8"/>
        <rFont val="Calibri"/>
        <family val="2"/>
        <scheme val="minor"/>
      </rPr>
      <t>N</t>
    </r>
    <r>
      <rPr>
        <sz val="11"/>
        <color indexed="8"/>
        <rFont val="Calibri"/>
        <family val="2"/>
        <scheme val="minor"/>
      </rPr>
      <t>-1*Y</t>
    </r>
    <r>
      <rPr>
        <vertAlign val="subscript"/>
        <sz val="11"/>
        <color indexed="8"/>
        <rFont val="Calibri"/>
        <family val="2"/>
        <scheme val="minor"/>
      </rPr>
      <t>AMX,NO2</t>
    </r>
    <r>
      <rPr>
        <sz val="11"/>
        <color indexed="8"/>
        <rFont val="Calibri"/>
        <family val="2"/>
        <scheme val="minor"/>
      </rPr>
      <t>*AM</t>
    </r>
    <r>
      <rPr>
        <vertAlign val="subscript"/>
        <sz val="11"/>
        <color indexed="8"/>
        <rFont val="Calibri"/>
        <family val="2"/>
        <scheme val="minor"/>
      </rPr>
      <t>N</t>
    </r>
    <r>
      <rPr>
        <sz val="11"/>
        <color indexed="8"/>
        <rFont val="Calibri"/>
        <family val="2"/>
        <scheme val="minor"/>
      </rPr>
      <t>+4*Y</t>
    </r>
    <r>
      <rPr>
        <vertAlign val="subscript"/>
        <sz val="11"/>
        <color indexed="8"/>
        <rFont val="Calibri"/>
        <family val="2"/>
        <scheme val="minor"/>
      </rPr>
      <t>AMX,NO3</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*i</t>
    </r>
    <r>
      <rPr>
        <vertAlign val="subscript"/>
        <sz val="11"/>
        <color indexed="8"/>
        <rFont val="Calibri"/>
        <family val="2"/>
        <scheme val="minor"/>
      </rPr>
      <t>N,BIO</t>
    </r>
    <r>
      <rPr>
        <sz val="11"/>
        <color indexed="8"/>
        <rFont val="Calibri"/>
        <family val="2"/>
        <scheme val="minor"/>
      </rPr>
      <t>*AM</t>
    </r>
    <r>
      <rPr>
        <vertAlign val="subscript"/>
        <sz val="11"/>
        <color indexed="8"/>
        <rFont val="Calibri"/>
        <family val="2"/>
        <scheme val="minor"/>
      </rPr>
      <t>O</t>
    </r>
    <r>
      <rPr>
        <sz val="11"/>
        <color indexed="8"/>
        <rFont val="Calibri"/>
        <family val="2"/>
        <scheme val="minor"/>
      </rPr>
      <t>)/AM</t>
    </r>
    <r>
      <rPr>
        <vertAlign val="subscript"/>
        <sz val="11"/>
        <color indexed="8"/>
        <rFont val="Calibri"/>
        <family val="2"/>
        <scheme val="minor"/>
      </rPr>
      <t>O</t>
    </r>
    <r>
      <rPr>
        <sz val="11"/>
        <color indexed="8"/>
        <rFont val="Calibri"/>
        <family val="2"/>
        <scheme val="minor"/>
      </rPr>
      <t>/(3*Y</t>
    </r>
    <r>
      <rPr>
        <vertAlign val="subscript"/>
        <sz val="11"/>
        <color indexed="8"/>
        <rFont val="Calibri"/>
        <family val="2"/>
        <scheme val="minor"/>
      </rPr>
      <t>AMX,NO2</t>
    </r>
    <r>
      <rPr>
        <sz val="11"/>
        <color indexed="8"/>
        <rFont val="Calibri"/>
        <family val="2"/>
        <scheme val="minor"/>
      </rPr>
      <t>-5*Y</t>
    </r>
    <r>
      <rPr>
        <vertAlign val="subscript"/>
        <sz val="11"/>
        <color indexed="8"/>
        <rFont val="Calibri"/>
        <family val="2"/>
        <scheme val="minor"/>
      </rPr>
      <t>AMX,NO3</t>
    </r>
    <r>
      <rPr>
        <sz val="11"/>
        <color indexed="8"/>
        <rFont val="Calibri"/>
        <family val="2"/>
        <scheme val="minor"/>
      </rPr>
      <t>-3)</t>
    </r>
  </si>
  <si>
    <r>
      <t>MEOLO growth, NO</t>
    </r>
    <r>
      <rPr>
        <vertAlign val="subscript"/>
        <sz val="11"/>
        <color rgb="FF000000"/>
        <rFont val="Calibri"/>
        <family val="2"/>
        <scheme val="minor"/>
      </rPr>
      <t>2</t>
    </r>
  </si>
  <si>
    <r>
      <t>PAO growth on PHA, NO</t>
    </r>
    <r>
      <rPr>
        <vertAlign val="subscript"/>
        <sz val="11"/>
        <color rgb="FF000000"/>
        <rFont val="Calibri"/>
        <family val="2"/>
        <scheme val="minor"/>
      </rPr>
      <t>2</t>
    </r>
    <r>
      <rPr>
        <sz val="11"/>
        <color rgb="FF000000"/>
        <rFont val="Calibri"/>
        <family val="2"/>
        <charset val="238"/>
        <scheme val="minor"/>
      </rPr>
      <t>; PO</t>
    </r>
    <r>
      <rPr>
        <vertAlign val="subscript"/>
        <sz val="11"/>
        <color rgb="FF000000"/>
        <rFont val="Calibri"/>
        <family val="2"/>
        <scheme val="minor"/>
      </rPr>
      <t>4</t>
    </r>
    <r>
      <rPr>
        <sz val="11"/>
        <color rgb="FF000000"/>
        <rFont val="Calibri"/>
        <family val="2"/>
        <charset val="238"/>
        <scheme val="minor"/>
      </rPr>
      <t xml:space="preserve"> limited</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</si>
  <si>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</si>
  <si>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N2,NO2</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</si>
  <si>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</si>
  <si>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-(1-Y</t>
    </r>
    <r>
      <rPr>
        <vertAlign val="subscript"/>
        <sz val="11"/>
        <rFont val="Calibri"/>
        <family val="2"/>
      </rPr>
      <t>MEOLO</t>
    </r>
    <r>
      <rPr>
        <sz val="11"/>
        <rFont val="Calibri"/>
        <family val="2"/>
      </rPr>
      <t>)/(EEQ</t>
    </r>
    <r>
      <rPr>
        <vertAlign val="subscript"/>
        <sz val="11"/>
        <rFont val="Calibri"/>
        <family val="2"/>
      </rPr>
      <t>NO2,NO3</t>
    </r>
    <r>
      <rPr>
        <sz val="11"/>
        <rFont val="Calibri"/>
        <family val="2"/>
      </rPr>
      <t>*Y</t>
    </r>
    <r>
      <rPr>
        <vertAlign val="subscript"/>
        <sz val="11"/>
        <rFont val="Calibri"/>
        <family val="2"/>
      </rPr>
      <t>MEOLO</t>
    </r>
    <r>
      <rPr>
        <sz val="11"/>
        <rFont val="Calibri"/>
        <family val="2"/>
      </rPr>
      <t>)</t>
    </r>
  </si>
  <si>
    <r>
      <t>K</t>
    </r>
    <r>
      <rPr>
        <vertAlign val="subscript"/>
        <sz val="11"/>
        <rFont val="Calibri"/>
        <family val="2"/>
        <scheme val="minor"/>
      </rPr>
      <t>NO2,OHO,AS</t>
    </r>
  </si>
  <si>
    <r>
      <t>K</t>
    </r>
    <r>
      <rPr>
        <vertAlign val="subscript"/>
        <sz val="11"/>
        <rFont val="Calibri"/>
        <family val="2"/>
        <scheme val="minor"/>
      </rPr>
      <t>NO2,MEOLO,AS</t>
    </r>
  </si>
  <si>
    <r>
      <t>µ</t>
    </r>
    <r>
      <rPr>
        <vertAlign val="subscript"/>
        <sz val="11"/>
        <color indexed="8"/>
        <rFont val="Calibri"/>
        <family val="2"/>
        <scheme val="minor"/>
      </rPr>
      <t>AOB</t>
    </r>
  </si>
  <si>
    <t>Maximum specific growth rate of AOBs</t>
  </si>
  <si>
    <r>
      <t>K</t>
    </r>
    <r>
      <rPr>
        <vertAlign val="subscript"/>
        <sz val="11"/>
        <color indexed="8"/>
        <rFont val="Calibri"/>
        <family val="2"/>
        <scheme val="minor"/>
      </rPr>
      <t>NHx,AOB,AS</t>
    </r>
  </si>
  <si>
    <r>
      <t>b</t>
    </r>
    <r>
      <rPr>
        <vertAlign val="subscript"/>
        <sz val="11"/>
        <color indexed="8"/>
        <rFont val="Calibri"/>
        <family val="2"/>
        <scheme val="minor"/>
      </rPr>
      <t>AOB</t>
    </r>
  </si>
  <si>
    <r>
      <t>K</t>
    </r>
    <r>
      <rPr>
        <vertAlign val="subscript"/>
        <sz val="11"/>
        <color indexed="8"/>
        <rFont val="Calibri"/>
        <family val="2"/>
        <scheme val="minor"/>
      </rPr>
      <t>CO2,AOB,pH,sidestream</t>
    </r>
  </si>
  <si>
    <r>
      <t>K</t>
    </r>
    <r>
      <rPr>
        <vertAlign val="subscript"/>
        <sz val="11"/>
        <color indexed="8"/>
        <rFont val="Calibri"/>
        <family val="2"/>
        <scheme val="minor"/>
      </rPr>
      <t>CO2,AOB,pH,AS</t>
    </r>
  </si>
  <si>
    <r>
      <t>K</t>
    </r>
    <r>
      <rPr>
        <vertAlign val="subscript"/>
        <sz val="11"/>
        <color indexed="8"/>
        <rFont val="Calibri"/>
        <family val="2"/>
        <scheme val="minor"/>
      </rPr>
      <t>NOx,AOB,AS</t>
    </r>
  </si>
  <si>
    <r>
      <t>µ</t>
    </r>
    <r>
      <rPr>
        <vertAlign val="subscript"/>
        <sz val="11"/>
        <color indexed="8"/>
        <rFont val="Calibri"/>
        <family val="2"/>
        <scheme val="minor"/>
      </rPr>
      <t>NOB</t>
    </r>
  </si>
  <si>
    <t>Maximum specific growth rate of NOBs</t>
  </si>
  <si>
    <r>
      <t>K</t>
    </r>
    <r>
      <rPr>
        <vertAlign val="subscript"/>
        <sz val="11"/>
        <color indexed="8"/>
        <rFont val="Calibri"/>
        <family val="2"/>
        <scheme val="minor"/>
      </rPr>
      <t>NO2,NOB,AS</t>
    </r>
  </si>
  <si>
    <r>
      <t>b</t>
    </r>
    <r>
      <rPr>
        <vertAlign val="subscript"/>
        <sz val="11"/>
        <color indexed="8"/>
        <rFont val="Calibri"/>
        <family val="2"/>
        <scheme val="minor"/>
      </rPr>
      <t>NOB</t>
    </r>
  </si>
  <si>
    <r>
      <t>K</t>
    </r>
    <r>
      <rPr>
        <vertAlign val="subscript"/>
        <sz val="11"/>
        <color indexed="8"/>
        <rFont val="Calibri"/>
        <family val="2"/>
        <scheme val="minor"/>
      </rPr>
      <t>CO2,NOB,pH,AS</t>
    </r>
  </si>
  <si>
    <r>
      <t>K</t>
    </r>
    <r>
      <rPr>
        <vertAlign val="subscript"/>
        <sz val="11"/>
        <color indexed="8"/>
        <rFont val="Calibri"/>
        <family val="2"/>
        <scheme val="minor"/>
      </rPr>
      <t>O2,NOB,sidestream</t>
    </r>
  </si>
  <si>
    <r>
      <t>K</t>
    </r>
    <r>
      <rPr>
        <vertAlign val="subscript"/>
        <sz val="11"/>
        <color indexed="8"/>
        <rFont val="Calibri"/>
        <family val="2"/>
        <scheme val="minor"/>
      </rPr>
      <t>O2,NOB,AS</t>
    </r>
  </si>
  <si>
    <r>
      <t>K</t>
    </r>
    <r>
      <rPr>
        <vertAlign val="subscript"/>
        <sz val="11"/>
        <color indexed="8"/>
        <rFont val="Calibri"/>
        <family val="2"/>
        <scheme val="minor"/>
      </rPr>
      <t>NOx,NOB,AS</t>
    </r>
  </si>
  <si>
    <r>
      <t>µ</t>
    </r>
    <r>
      <rPr>
        <vertAlign val="subscript"/>
        <sz val="11"/>
        <color indexed="8"/>
        <rFont val="Calibri"/>
        <family val="2"/>
        <scheme val="minor"/>
      </rPr>
      <t>AMX</t>
    </r>
  </si>
  <si>
    <r>
      <t>b</t>
    </r>
    <r>
      <rPr>
        <vertAlign val="subscript"/>
        <sz val="11"/>
        <color indexed="8"/>
        <rFont val="Calibri"/>
        <family val="2"/>
        <scheme val="minor"/>
      </rPr>
      <t>AMX</t>
    </r>
  </si>
  <si>
    <r>
      <t>K</t>
    </r>
    <r>
      <rPr>
        <vertAlign val="subscript"/>
        <sz val="11"/>
        <color indexed="8"/>
        <rFont val="Calibri"/>
        <family val="2"/>
        <scheme val="minor"/>
      </rPr>
      <t>NHx,AMX,AS</t>
    </r>
  </si>
  <si>
    <r>
      <t>K</t>
    </r>
    <r>
      <rPr>
        <vertAlign val="subscript"/>
        <sz val="11"/>
        <color indexed="8"/>
        <rFont val="Calibri"/>
        <family val="2"/>
        <scheme val="minor"/>
      </rPr>
      <t>NO2,AMX,AS</t>
    </r>
  </si>
  <si>
    <r>
      <t>K</t>
    </r>
    <r>
      <rPr>
        <vertAlign val="subscript"/>
        <sz val="11"/>
        <color indexed="8"/>
        <rFont val="Calibri"/>
        <family val="2"/>
        <scheme val="minor"/>
      </rPr>
      <t>CO2,AMX,pH,AS</t>
    </r>
  </si>
  <si>
    <r>
      <t>K</t>
    </r>
    <r>
      <rPr>
        <vertAlign val="subscript"/>
        <sz val="11"/>
        <color indexed="8"/>
        <rFont val="Calibri"/>
        <family val="2"/>
        <scheme val="minor"/>
      </rPr>
      <t>NOx,AMX,AS</t>
    </r>
  </si>
  <si>
    <r>
      <t>θ</t>
    </r>
    <r>
      <rPr>
        <vertAlign val="subscript"/>
        <sz val="11"/>
        <color indexed="8"/>
        <rFont val="Calibri"/>
        <family val="2"/>
        <scheme val="minor"/>
      </rPr>
      <t>µ,AOB</t>
    </r>
  </si>
  <si>
    <t>Arrhenius coefficient for AOB growth</t>
  </si>
  <si>
    <r>
      <t>θ</t>
    </r>
    <r>
      <rPr>
        <vertAlign val="subscript"/>
        <sz val="11"/>
        <color indexed="8"/>
        <rFont val="Calibri"/>
        <family val="2"/>
        <scheme val="minor"/>
      </rPr>
      <t>b,AOB</t>
    </r>
  </si>
  <si>
    <t>Arrhenius coefficient for AOB decay</t>
  </si>
  <si>
    <r>
      <t>θ</t>
    </r>
    <r>
      <rPr>
        <vertAlign val="subscript"/>
        <sz val="11"/>
        <color indexed="8"/>
        <rFont val="Calibri"/>
        <family val="2"/>
        <scheme val="minor"/>
      </rPr>
      <t>µ,NOB</t>
    </r>
  </si>
  <si>
    <t>Arrhenius coefficient for NOB growth</t>
  </si>
  <si>
    <r>
      <t>θ</t>
    </r>
    <r>
      <rPr>
        <vertAlign val="subscript"/>
        <sz val="11"/>
        <color indexed="8"/>
        <rFont val="Calibri"/>
        <family val="2"/>
        <scheme val="minor"/>
      </rPr>
      <t>b,NOB</t>
    </r>
  </si>
  <si>
    <t>Arrhenius coefficient for NOB decay</t>
  </si>
  <si>
    <r>
      <t>θ</t>
    </r>
    <r>
      <rPr>
        <vertAlign val="subscript"/>
        <sz val="11"/>
        <color indexed="8"/>
        <rFont val="Calibri"/>
        <family val="2"/>
        <scheme val="minor"/>
      </rPr>
      <t>µ,AMX</t>
    </r>
  </si>
  <si>
    <t>Arrhenius coefficient for anammox growth</t>
  </si>
  <si>
    <r>
      <t>θ</t>
    </r>
    <r>
      <rPr>
        <vertAlign val="subscript"/>
        <sz val="11"/>
        <color indexed="8"/>
        <rFont val="Calibri"/>
        <family val="2"/>
        <scheme val="minor"/>
      </rPr>
      <t>b,AMX</t>
    </r>
  </si>
  <si>
    <t>Arrhenius coefficient for anammox decay</t>
  </si>
  <si>
    <r>
      <t>Y</t>
    </r>
    <r>
      <rPr>
        <vertAlign val="subscript"/>
        <sz val="11"/>
        <rFont val="Calibri"/>
        <family val="2"/>
        <scheme val="minor"/>
      </rPr>
      <t>AOB</t>
    </r>
  </si>
  <si>
    <r>
      <t>Y</t>
    </r>
    <r>
      <rPr>
        <vertAlign val="subscript"/>
        <sz val="11"/>
        <rFont val="Calibri"/>
        <family val="2"/>
        <scheme val="minor"/>
      </rPr>
      <t>NOB</t>
    </r>
  </si>
  <si>
    <r>
      <t>Y</t>
    </r>
    <r>
      <rPr>
        <vertAlign val="subscript"/>
        <sz val="11"/>
        <rFont val="Calibri"/>
        <family val="2"/>
        <scheme val="minor"/>
      </rPr>
      <t>AMX,NO2</t>
    </r>
  </si>
  <si>
    <r>
      <t>Y</t>
    </r>
    <r>
      <rPr>
        <vertAlign val="subscript"/>
        <sz val="11"/>
        <rFont val="Calibri"/>
        <family val="2"/>
        <scheme val="minor"/>
      </rPr>
      <t>AMX,NO3</t>
    </r>
  </si>
  <si>
    <t>BigReal</t>
  </si>
  <si>
    <r>
      <t>S</t>
    </r>
    <r>
      <rPr>
        <vertAlign val="subscript"/>
        <sz val="11"/>
        <rFont val="Calibri"/>
        <family val="2"/>
      </rPr>
      <t>NOx</t>
    </r>
  </si>
  <si>
    <t>Nitrite uptake rate (N2UR)</t>
  </si>
  <si>
    <r>
      <t>K</t>
    </r>
    <r>
      <rPr>
        <vertAlign val="subscript"/>
        <sz val="11"/>
        <rFont val="Calibri"/>
        <family val="2"/>
        <scheme val="minor"/>
      </rPr>
      <t>NHx,AOB</t>
    </r>
  </si>
  <si>
    <r>
      <t>K</t>
    </r>
    <r>
      <rPr>
        <vertAlign val="subscript"/>
        <sz val="11"/>
        <rFont val="Calibri"/>
        <family val="2"/>
      </rPr>
      <t>NHx,AOB,AS</t>
    </r>
  </si>
  <si>
    <r>
      <t>K</t>
    </r>
    <r>
      <rPr>
        <vertAlign val="subscript"/>
        <sz val="11"/>
        <rFont val="Calibri"/>
        <family val="2"/>
        <scheme val="minor"/>
      </rPr>
      <t>CO2,AOB,pH</t>
    </r>
  </si>
  <si>
    <r>
      <t>K</t>
    </r>
    <r>
      <rPr>
        <vertAlign val="subscript"/>
        <sz val="11"/>
        <rFont val="Calibri"/>
        <family val="2"/>
      </rPr>
      <t>CO2,AOB,pH,AS</t>
    </r>
  </si>
  <si>
    <r>
      <t>K</t>
    </r>
    <r>
      <rPr>
        <vertAlign val="subscript"/>
        <sz val="11"/>
        <rFont val="Calibri"/>
        <family val="2"/>
      </rPr>
      <t>CO2,AOB,pH,sidestream</t>
    </r>
  </si>
  <si>
    <r>
      <t>K</t>
    </r>
    <r>
      <rPr>
        <vertAlign val="subscript"/>
        <sz val="11"/>
        <rFont val="Calibri"/>
        <family val="2"/>
        <scheme val="minor"/>
      </rPr>
      <t>O2,AOB</t>
    </r>
  </si>
  <si>
    <r>
      <t>K</t>
    </r>
    <r>
      <rPr>
        <vertAlign val="subscript"/>
        <sz val="11"/>
        <rFont val="Calibri"/>
        <family val="2"/>
      </rPr>
      <t>O2,AOB,AS</t>
    </r>
  </si>
  <si>
    <r>
      <t>K</t>
    </r>
    <r>
      <rPr>
        <vertAlign val="subscript"/>
        <sz val="11"/>
        <rFont val="Calibri"/>
        <family val="2"/>
      </rPr>
      <t>O2,AOB,sidestream</t>
    </r>
  </si>
  <si>
    <r>
      <t>K</t>
    </r>
    <r>
      <rPr>
        <vertAlign val="subscript"/>
        <sz val="11"/>
        <rFont val="Calibri"/>
        <family val="2"/>
        <scheme val="minor"/>
      </rPr>
      <t>NOx,AOB</t>
    </r>
  </si>
  <si>
    <r>
      <t>K</t>
    </r>
    <r>
      <rPr>
        <vertAlign val="subscript"/>
        <sz val="11"/>
        <rFont val="Calibri"/>
        <family val="2"/>
      </rPr>
      <t>NOx,AOB,AS</t>
    </r>
  </si>
  <si>
    <r>
      <t>K</t>
    </r>
    <r>
      <rPr>
        <vertAlign val="subscript"/>
        <sz val="11"/>
        <rFont val="Calibri"/>
        <family val="2"/>
        <scheme val="minor"/>
      </rPr>
      <t>NO2,NOB</t>
    </r>
  </si>
  <si>
    <r>
      <t>K</t>
    </r>
    <r>
      <rPr>
        <vertAlign val="subscript"/>
        <sz val="11"/>
        <rFont val="Calibri"/>
        <family val="2"/>
      </rPr>
      <t>NO2,NOB,AS</t>
    </r>
  </si>
  <si>
    <r>
      <t>K</t>
    </r>
    <r>
      <rPr>
        <vertAlign val="subscript"/>
        <sz val="11"/>
        <rFont val="Calibri"/>
        <family val="2"/>
        <scheme val="minor"/>
      </rPr>
      <t>CO2,NOB,pH</t>
    </r>
  </si>
  <si>
    <r>
      <t>K</t>
    </r>
    <r>
      <rPr>
        <vertAlign val="subscript"/>
        <sz val="11"/>
        <rFont val="Calibri"/>
        <family val="2"/>
      </rPr>
      <t>CO2,NOB,pH,AS</t>
    </r>
  </si>
  <si>
    <r>
      <t>K</t>
    </r>
    <r>
      <rPr>
        <vertAlign val="subscript"/>
        <sz val="11"/>
        <rFont val="Calibri"/>
        <family val="2"/>
        <scheme val="minor"/>
      </rPr>
      <t>O2,NOB</t>
    </r>
  </si>
  <si>
    <r>
      <t>K</t>
    </r>
    <r>
      <rPr>
        <vertAlign val="subscript"/>
        <sz val="11"/>
        <rFont val="Calibri"/>
        <family val="2"/>
      </rPr>
      <t>O2,NOB,AS</t>
    </r>
  </si>
  <si>
    <r>
      <t>K</t>
    </r>
    <r>
      <rPr>
        <vertAlign val="subscript"/>
        <sz val="11"/>
        <rFont val="Calibri"/>
        <family val="2"/>
      </rPr>
      <t>O2,NOB,sidestream</t>
    </r>
  </si>
  <si>
    <r>
      <t>K</t>
    </r>
    <r>
      <rPr>
        <vertAlign val="subscript"/>
        <sz val="11"/>
        <rFont val="Calibri"/>
        <family val="2"/>
        <scheme val="minor"/>
      </rPr>
      <t>NOx,NOB</t>
    </r>
  </si>
  <si>
    <r>
      <t>K</t>
    </r>
    <r>
      <rPr>
        <vertAlign val="subscript"/>
        <sz val="11"/>
        <rFont val="Calibri"/>
        <family val="2"/>
      </rPr>
      <t>NOx,NOB,AS</t>
    </r>
  </si>
  <si>
    <r>
      <t>K</t>
    </r>
    <r>
      <rPr>
        <vertAlign val="subscript"/>
        <sz val="11"/>
        <rFont val="Calibri"/>
        <family val="2"/>
        <scheme val="minor"/>
      </rPr>
      <t>NHx,AMX</t>
    </r>
  </si>
  <si>
    <r>
      <t>K</t>
    </r>
    <r>
      <rPr>
        <vertAlign val="subscript"/>
        <sz val="11"/>
        <rFont val="Calibri"/>
        <family val="2"/>
      </rPr>
      <t>NHx,AMX,AS</t>
    </r>
  </si>
  <si>
    <r>
      <t>K</t>
    </r>
    <r>
      <rPr>
        <vertAlign val="subscript"/>
        <sz val="11"/>
        <rFont val="Calibri"/>
        <family val="2"/>
        <scheme val="minor"/>
      </rPr>
      <t>NO2,AMX</t>
    </r>
  </si>
  <si>
    <r>
      <t>K</t>
    </r>
    <r>
      <rPr>
        <vertAlign val="subscript"/>
        <sz val="11"/>
        <rFont val="Calibri"/>
        <family val="2"/>
      </rPr>
      <t>NO2,AMX,AS</t>
    </r>
  </si>
  <si>
    <r>
      <t>K</t>
    </r>
    <r>
      <rPr>
        <vertAlign val="subscript"/>
        <sz val="11"/>
        <rFont val="Calibri"/>
        <family val="2"/>
        <scheme val="minor"/>
      </rPr>
      <t>CO2,AMX,pH</t>
    </r>
  </si>
  <si>
    <r>
      <t>K</t>
    </r>
    <r>
      <rPr>
        <vertAlign val="subscript"/>
        <sz val="11"/>
        <rFont val="Calibri"/>
        <family val="2"/>
      </rPr>
      <t>CO2,AMX,pH,AS</t>
    </r>
  </si>
  <si>
    <r>
      <t>K</t>
    </r>
    <r>
      <rPr>
        <vertAlign val="subscript"/>
        <sz val="11"/>
        <rFont val="Calibri"/>
        <family val="2"/>
        <scheme val="minor"/>
      </rPr>
      <t>NOx,AMX</t>
    </r>
  </si>
  <si>
    <r>
      <t>K</t>
    </r>
    <r>
      <rPr>
        <vertAlign val="subscript"/>
        <sz val="11"/>
        <rFont val="Calibri"/>
        <family val="2"/>
      </rPr>
      <t>NOx,AMX,AS</t>
    </r>
  </si>
  <si>
    <r>
      <t>K</t>
    </r>
    <r>
      <rPr>
        <vertAlign val="subscript"/>
        <sz val="11"/>
        <rFont val="Calibri"/>
        <family val="2"/>
      </rPr>
      <t>NO2,MEOLO</t>
    </r>
  </si>
  <si>
    <r>
      <t>K</t>
    </r>
    <r>
      <rPr>
        <vertAlign val="subscript"/>
        <sz val="11"/>
        <rFont val="Calibri"/>
        <family val="2"/>
      </rPr>
      <t>NO2,MEOLO,AS</t>
    </r>
  </si>
  <si>
    <r>
      <t>K</t>
    </r>
    <r>
      <rPr>
        <vertAlign val="subscript"/>
        <sz val="11"/>
        <rFont val="Calibri"/>
        <family val="2"/>
        <scheme val="minor"/>
      </rPr>
      <t>NO2,ASSIM</t>
    </r>
  </si>
  <si>
    <r>
      <t>K</t>
    </r>
    <r>
      <rPr>
        <vertAlign val="subscript"/>
        <sz val="11"/>
        <rFont val="Calibri"/>
        <family val="2"/>
        <scheme val="minor"/>
      </rPr>
      <t>NO2,ASSIM,AS</t>
    </r>
  </si>
  <si>
    <r>
      <t>K</t>
    </r>
    <r>
      <rPr>
        <vertAlign val="subscript"/>
        <sz val="11"/>
        <rFont val="Calibri"/>
        <family val="2"/>
        <scheme val="minor"/>
      </rPr>
      <t>NO3,ASSIM</t>
    </r>
  </si>
  <si>
    <r>
      <t>K</t>
    </r>
    <r>
      <rPr>
        <vertAlign val="subscript"/>
        <sz val="11"/>
        <rFont val="Calibri"/>
        <family val="2"/>
        <scheme val="minor"/>
      </rPr>
      <t>NO3,ASSIM,AS</t>
    </r>
  </si>
  <si>
    <r>
      <t>NO</t>
    </r>
    <r>
      <rPr>
        <vertAlign val="subscript"/>
        <sz val="11"/>
        <color rgb="FF000000"/>
        <rFont val="Calibri"/>
        <family val="2"/>
        <scheme val="minor"/>
      </rPr>
      <t>2</t>
    </r>
    <r>
      <rPr>
        <sz val="11"/>
        <color rgb="FF000000"/>
        <rFont val="Calibri"/>
        <family val="2"/>
        <charset val="238"/>
        <scheme val="minor"/>
      </rPr>
      <t xml:space="preserve"> assimilative reduction</t>
    </r>
  </si>
  <si>
    <r>
      <t>LogsatpH</t>
    </r>
    <r>
      <rPr>
        <vertAlign val="subscript"/>
        <sz val="11"/>
        <rFont val="Calibri"/>
        <family val="2"/>
        <scheme val="minor"/>
      </rPr>
      <t>CO2,AOB</t>
    </r>
  </si>
  <si>
    <r>
      <t>MinhpH</t>
    </r>
    <r>
      <rPr>
        <vertAlign val="subscript"/>
        <sz val="11"/>
        <rFont val="Calibri"/>
        <family val="2"/>
        <scheme val="minor"/>
      </rPr>
      <t>NH3,NOB</t>
    </r>
  </si>
  <si>
    <r>
      <t>LogsatpH</t>
    </r>
    <r>
      <rPr>
        <vertAlign val="subscript"/>
        <sz val="11"/>
        <rFont val="Calibri"/>
        <family val="2"/>
        <scheme val="minor"/>
      </rPr>
      <t>CO2,NOB</t>
    </r>
  </si>
  <si>
    <r>
      <t>LogsatpH</t>
    </r>
    <r>
      <rPr>
        <vertAlign val="subscript"/>
        <sz val="11"/>
        <rFont val="Calibri"/>
        <family val="2"/>
        <scheme val="minor"/>
      </rPr>
      <t>CO2,AMX</t>
    </r>
  </si>
  <si>
    <r>
      <t>MinhpH</t>
    </r>
    <r>
      <rPr>
        <vertAlign val="subscript"/>
        <sz val="11"/>
        <rFont val="Calibri"/>
        <family val="2"/>
        <scheme val="minor"/>
      </rPr>
      <t>HNO2,AMX</t>
    </r>
  </si>
  <si>
    <r>
      <t>Minh</t>
    </r>
    <r>
      <rPr>
        <vertAlign val="subscript"/>
        <sz val="11"/>
        <rFont val="Calibri"/>
        <family val="2"/>
        <scheme val="minor"/>
      </rPr>
      <t>SNO2,KNO2,OHO</t>
    </r>
  </si>
  <si>
    <r>
      <t>Minh(S</t>
    </r>
    <r>
      <rPr>
        <vertAlign val="subscript"/>
        <sz val="11"/>
        <rFont val="Calibri"/>
        <family val="2"/>
        <scheme val="minor"/>
      </rPr>
      <t>NO2</t>
    </r>
    <r>
      <rPr>
        <sz val="11"/>
        <rFont val="Calibri"/>
        <family val="2"/>
        <scheme val="minor"/>
      </rPr>
      <t>;K</t>
    </r>
    <r>
      <rPr>
        <vertAlign val="subscript"/>
        <sz val="11"/>
        <rFont val="Calibri"/>
        <family val="2"/>
        <scheme val="minor"/>
      </rPr>
      <t>NO2,OHO</t>
    </r>
    <r>
      <rPr>
        <sz val="11"/>
        <rFont val="Calibri"/>
        <family val="2"/>
        <scheme val="minor"/>
      </rPr>
      <t>)</t>
    </r>
  </si>
  <si>
    <r>
      <t>Minh</t>
    </r>
    <r>
      <rPr>
        <vertAlign val="subscript"/>
        <sz val="11"/>
        <rFont val="Calibri"/>
        <family val="2"/>
        <scheme val="minor"/>
      </rPr>
      <t>SNO3,KNO3,OHO</t>
    </r>
  </si>
  <si>
    <r>
      <t>Minh(S</t>
    </r>
    <r>
      <rPr>
        <vertAlign val="subscript"/>
        <sz val="11"/>
        <rFont val="Calibri"/>
        <family val="2"/>
        <scheme val="minor"/>
      </rPr>
      <t>NO3</t>
    </r>
    <r>
      <rPr>
        <sz val="11"/>
        <rFont val="Calibri"/>
        <family val="2"/>
        <scheme val="minor"/>
      </rPr>
      <t>;K</t>
    </r>
    <r>
      <rPr>
        <vertAlign val="subscript"/>
        <sz val="11"/>
        <rFont val="Calibri"/>
        <family val="2"/>
        <scheme val="minor"/>
      </rPr>
      <t>NO3,OHO</t>
    </r>
    <r>
      <rPr>
        <sz val="11"/>
        <rFont val="Calibri"/>
        <family val="2"/>
        <scheme val="minor"/>
      </rPr>
      <t>)</t>
    </r>
  </si>
  <si>
    <r>
      <t>Minh</t>
    </r>
    <r>
      <rPr>
        <vertAlign val="subscript"/>
        <sz val="11"/>
        <rFont val="Calibri"/>
        <family val="2"/>
        <scheme val="minor"/>
      </rPr>
      <t>SNO2,KNO2,MEOLO</t>
    </r>
  </si>
  <si>
    <r>
      <t>Minh(S</t>
    </r>
    <r>
      <rPr>
        <vertAlign val="subscript"/>
        <sz val="11"/>
        <rFont val="Calibri"/>
        <family val="2"/>
        <scheme val="minor"/>
      </rPr>
      <t>NO2</t>
    </r>
    <r>
      <rPr>
        <sz val="11"/>
        <rFont val="Calibri"/>
        <family val="2"/>
        <scheme val="minor"/>
      </rPr>
      <t>;K</t>
    </r>
    <r>
      <rPr>
        <vertAlign val="subscript"/>
        <sz val="11"/>
        <rFont val="Calibri"/>
        <family val="2"/>
        <scheme val="minor"/>
      </rPr>
      <t>NO2,MEOLO</t>
    </r>
    <r>
      <rPr>
        <sz val="11"/>
        <rFont val="Calibri"/>
        <family val="2"/>
        <scheme val="minor"/>
      </rPr>
      <t>)</t>
    </r>
  </si>
  <si>
    <r>
      <t>Minh</t>
    </r>
    <r>
      <rPr>
        <vertAlign val="subscript"/>
        <sz val="11"/>
        <rFont val="Calibri"/>
        <family val="2"/>
        <scheme val="minor"/>
      </rPr>
      <t>SNO3,KNO3,MEOLO</t>
    </r>
  </si>
  <si>
    <r>
      <t>Minh(S</t>
    </r>
    <r>
      <rPr>
        <vertAlign val="subscript"/>
        <sz val="11"/>
        <rFont val="Calibri"/>
        <family val="2"/>
        <scheme val="minor"/>
      </rPr>
      <t>NO3</t>
    </r>
    <r>
      <rPr>
        <sz val="11"/>
        <rFont val="Calibri"/>
        <family val="2"/>
        <scheme val="minor"/>
      </rPr>
      <t>;K</t>
    </r>
    <r>
      <rPr>
        <vertAlign val="subscript"/>
        <sz val="11"/>
        <rFont val="Calibri"/>
        <family val="2"/>
        <scheme val="minor"/>
      </rPr>
      <t>NO3,MEOLO</t>
    </r>
    <r>
      <rPr>
        <sz val="11"/>
        <rFont val="Calibri"/>
        <family val="2"/>
        <scheme val="minor"/>
      </rPr>
      <t>)</t>
    </r>
  </si>
  <si>
    <r>
      <t>Msat</t>
    </r>
    <r>
      <rPr>
        <vertAlign val="subscript"/>
        <sz val="11"/>
        <rFont val="Calibri"/>
        <family val="2"/>
      </rPr>
      <t>SNO2,KNO2,MEOLO</t>
    </r>
  </si>
  <si>
    <r>
      <t>Msat(S</t>
    </r>
    <r>
      <rPr>
        <vertAlign val="subscript"/>
        <sz val="11"/>
        <rFont val="Calibri"/>
        <family val="2"/>
      </rPr>
      <t>NO2</t>
    </r>
    <r>
      <rPr>
        <sz val="11"/>
        <rFont val="Calibri"/>
        <family val="2"/>
      </rPr>
      <t>;K</t>
    </r>
    <r>
      <rPr>
        <vertAlign val="subscript"/>
        <sz val="11"/>
        <rFont val="Calibri"/>
        <family val="2"/>
      </rPr>
      <t>NO2,MEOLO</t>
    </r>
    <r>
      <rPr>
        <sz val="11"/>
        <rFont val="Calibri"/>
        <family val="2"/>
      </rPr>
      <t>)</t>
    </r>
  </si>
  <si>
    <r>
      <t>Msat</t>
    </r>
    <r>
      <rPr>
        <vertAlign val="subscript"/>
        <sz val="11"/>
        <rFont val="Calibri"/>
        <family val="2"/>
      </rPr>
      <t>SNO3,KNO3,MEOLO</t>
    </r>
  </si>
  <si>
    <r>
      <t>Msat(S</t>
    </r>
    <r>
      <rPr>
        <vertAlign val="subscript"/>
        <sz val="11"/>
        <rFont val="Calibri"/>
        <family val="2"/>
      </rPr>
      <t>NO3</t>
    </r>
    <r>
      <rPr>
        <sz val="11"/>
        <rFont val="Calibri"/>
        <family val="2"/>
      </rPr>
      <t>;K</t>
    </r>
    <r>
      <rPr>
        <vertAlign val="subscript"/>
        <sz val="11"/>
        <rFont val="Calibri"/>
        <family val="2"/>
      </rPr>
      <t>NO3,MEOLO</t>
    </r>
    <r>
      <rPr>
        <sz val="11"/>
        <rFont val="Calibri"/>
        <family val="2"/>
      </rPr>
      <t>)</t>
    </r>
  </si>
  <si>
    <r>
      <t>Minh</t>
    </r>
    <r>
      <rPr>
        <vertAlign val="subscript"/>
        <sz val="11"/>
        <rFont val="Calibri"/>
        <family val="2"/>
      </rPr>
      <t>SO2,KO2,AOB</t>
    </r>
  </si>
  <si>
    <r>
      <t>Minh(S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</si>
  <si>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Msat</t>
    </r>
    <r>
      <rPr>
        <vertAlign val="subscript"/>
        <sz val="11"/>
        <rFont val="Calibri"/>
        <family val="2"/>
      </rPr>
      <t>SNHx,KNHx,AOB</t>
    </r>
  </si>
  <si>
    <r>
      <t>Msat(S</t>
    </r>
    <r>
      <rPr>
        <vertAlign val="subscript"/>
        <sz val="11"/>
        <rFont val="Calibri"/>
        <family val="2"/>
      </rPr>
      <t>NHx</t>
    </r>
    <r>
      <rPr>
        <sz val="11"/>
        <rFont val="Calibri"/>
        <family val="2"/>
      </rPr>
      <t>;K</t>
    </r>
    <r>
      <rPr>
        <vertAlign val="subscript"/>
        <sz val="11"/>
        <rFont val="Calibri"/>
        <family val="2"/>
      </rPr>
      <t>NHx,AOB</t>
    </r>
    <r>
      <rPr>
        <sz val="11"/>
        <rFont val="Calibri"/>
        <family val="2"/>
      </rPr>
      <t>)</t>
    </r>
  </si>
  <si>
    <r>
      <t>Msat</t>
    </r>
    <r>
      <rPr>
        <vertAlign val="subscript"/>
        <sz val="11"/>
        <rFont val="Calibri"/>
        <family val="2"/>
      </rPr>
      <t>SO2,KO2,AOB</t>
    </r>
  </si>
  <si>
    <r>
      <t>Msat(S</t>
    </r>
    <r>
      <rPr>
        <vertAlign val="subscript"/>
        <sz val="11"/>
        <rFont val="Calibri"/>
        <family val="2"/>
      </rPr>
      <t>O2</t>
    </r>
    <r>
      <rPr>
        <sz val="11"/>
        <rFont val="Calibri"/>
        <family val="2"/>
      </rPr>
      <t>;K</t>
    </r>
    <r>
      <rPr>
        <vertAlign val="subscript"/>
        <sz val="11"/>
        <rFont val="Calibri"/>
        <family val="2"/>
      </rPr>
      <t>O2,AOB</t>
    </r>
    <r>
      <rPr>
        <sz val="11"/>
        <rFont val="Calibri"/>
        <family val="2"/>
      </rPr>
      <t>)</t>
    </r>
  </si>
  <si>
    <r>
      <t>Minh</t>
    </r>
    <r>
      <rPr>
        <vertAlign val="subscript"/>
        <sz val="11"/>
        <rFont val="Calibri"/>
        <family val="2"/>
      </rPr>
      <t>SO2,KO2,NOB</t>
    </r>
  </si>
  <si>
    <r>
      <t>Minh(S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</si>
  <si>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SNO2,KNO2,NOB</t>
    </r>
  </si>
  <si>
    <r>
      <t>Msat(S</t>
    </r>
    <r>
      <rPr>
        <vertAlign val="subscript"/>
        <sz val="11"/>
        <rFont val="Calibri"/>
        <family val="2"/>
      </rPr>
      <t>NO2</t>
    </r>
    <r>
      <rPr>
        <sz val="11"/>
        <rFont val="Calibri"/>
        <family val="2"/>
      </rPr>
      <t>;K</t>
    </r>
    <r>
      <rPr>
        <vertAlign val="subscript"/>
        <sz val="11"/>
        <rFont val="Calibri"/>
        <family val="2"/>
      </rPr>
      <t>NO2,NOB</t>
    </r>
    <r>
      <rPr>
        <sz val="11"/>
        <rFont val="Calibri"/>
        <family val="2"/>
      </rPr>
      <t>)</t>
    </r>
  </si>
  <si>
    <r>
      <t>Msat</t>
    </r>
    <r>
      <rPr>
        <vertAlign val="subscript"/>
        <sz val="11"/>
        <rFont val="Calibri"/>
        <family val="2"/>
      </rPr>
      <t>SO2,KO2,NOB</t>
    </r>
  </si>
  <si>
    <r>
      <t>Msat(S</t>
    </r>
    <r>
      <rPr>
        <vertAlign val="subscript"/>
        <sz val="11"/>
        <rFont val="Calibri"/>
        <family val="2"/>
      </rPr>
      <t>O2</t>
    </r>
    <r>
      <rPr>
        <sz val="11"/>
        <rFont val="Calibri"/>
        <family val="2"/>
      </rPr>
      <t>;K</t>
    </r>
    <r>
      <rPr>
        <vertAlign val="subscript"/>
        <sz val="11"/>
        <rFont val="Calibri"/>
        <family val="2"/>
      </rPr>
      <t>O2,NOB</t>
    </r>
    <r>
      <rPr>
        <sz val="11"/>
        <rFont val="Calibri"/>
        <family val="2"/>
      </rPr>
      <t>)</t>
    </r>
  </si>
  <si>
    <r>
      <t>Msat</t>
    </r>
    <r>
      <rPr>
        <vertAlign val="subscript"/>
        <sz val="11"/>
        <rFont val="Calibri"/>
        <family val="2"/>
      </rPr>
      <t>SNHx,KNHx,AMX</t>
    </r>
  </si>
  <si>
    <r>
      <t>Msat(S</t>
    </r>
    <r>
      <rPr>
        <vertAlign val="subscript"/>
        <sz val="11"/>
        <rFont val="Calibri"/>
        <family val="2"/>
      </rPr>
      <t>NHx</t>
    </r>
    <r>
      <rPr>
        <sz val="11"/>
        <rFont val="Calibri"/>
        <family val="2"/>
      </rPr>
      <t>;K</t>
    </r>
    <r>
      <rPr>
        <vertAlign val="subscript"/>
        <sz val="11"/>
        <rFont val="Calibri"/>
        <family val="2"/>
      </rPr>
      <t>NHx,AMX</t>
    </r>
    <r>
      <rPr>
        <sz val="11"/>
        <rFont val="Calibri"/>
        <family val="2"/>
      </rPr>
      <t>)</t>
    </r>
  </si>
  <si>
    <r>
      <t>Msat</t>
    </r>
    <r>
      <rPr>
        <vertAlign val="subscript"/>
        <sz val="11"/>
        <rFont val="Calibri"/>
        <family val="2"/>
      </rPr>
      <t>SNO2,KNO2,AMX</t>
    </r>
  </si>
  <si>
    <r>
      <t>Msat(S</t>
    </r>
    <r>
      <rPr>
        <vertAlign val="subscript"/>
        <sz val="11"/>
        <rFont val="Calibri"/>
        <family val="2"/>
      </rPr>
      <t>NO2</t>
    </r>
    <r>
      <rPr>
        <sz val="11"/>
        <rFont val="Calibri"/>
        <family val="2"/>
      </rPr>
      <t>;K</t>
    </r>
    <r>
      <rPr>
        <vertAlign val="subscript"/>
        <sz val="11"/>
        <rFont val="Calibri"/>
        <family val="2"/>
      </rPr>
      <t>NO2,AMX</t>
    </r>
    <r>
      <rPr>
        <sz val="11"/>
        <rFont val="Calibri"/>
        <family val="2"/>
      </rPr>
      <t>)</t>
    </r>
  </si>
  <si>
    <r>
      <t>µ</t>
    </r>
    <r>
      <rPr>
        <vertAlign val="subscript"/>
        <sz val="11"/>
        <color indexed="8"/>
        <rFont val="Calibri"/>
        <family val="2"/>
        <charset val="238"/>
      </rPr>
      <t>AOB,T</t>
    </r>
  </si>
  <si>
    <r>
      <t>µ</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µ,AOB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</si>
  <si>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AOB,T</t>
    </r>
  </si>
  <si>
    <r>
      <t>b</t>
    </r>
    <r>
      <rPr>
        <vertAlign val="subscript"/>
        <sz val="11"/>
        <color indexed="8"/>
        <rFont val="Calibri"/>
        <family val="2"/>
        <charset val="238"/>
      </rPr>
      <t>AOB</t>
    </r>
    <r>
      <rPr>
        <sz val="11"/>
        <color indexed="8"/>
        <rFont val="Calibri"/>
        <family val="2"/>
      </rPr>
      <t>*Arrh(θ</t>
    </r>
    <r>
      <rPr>
        <vertAlign val="subscript"/>
        <sz val="11"/>
        <color indexed="8"/>
        <rFont val="Calibri"/>
        <family val="2"/>
        <charset val="238"/>
      </rPr>
      <t>b,AOB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</si>
  <si>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NOB,T</t>
    </r>
  </si>
  <si>
    <r>
      <t>µ</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µ,NOB</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</si>
  <si>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NOB,T</t>
    </r>
  </si>
  <si>
    <r>
      <t>b</t>
    </r>
    <r>
      <rPr>
        <vertAlign val="subscript"/>
        <sz val="11"/>
        <color indexed="8"/>
        <rFont val="Calibri"/>
        <family val="2"/>
        <charset val="238"/>
      </rPr>
      <t>NOB</t>
    </r>
    <r>
      <rPr>
        <sz val="11"/>
        <color indexed="8"/>
        <rFont val="Calibri"/>
        <family val="2"/>
      </rPr>
      <t>*Arrh(θ</t>
    </r>
    <r>
      <rPr>
        <vertAlign val="subscript"/>
        <sz val="11"/>
        <color indexed="8"/>
        <rFont val="Calibri"/>
        <family val="2"/>
        <charset val="238"/>
      </rPr>
      <t>b,NOB</t>
    </r>
    <r>
      <rPr>
        <sz val="11"/>
        <color indexed="8"/>
        <rFont val="Calibri"/>
        <family val="2"/>
      </rPr>
      <t>; T; T</t>
    </r>
    <r>
      <rPr>
        <vertAlign val="subscript"/>
        <sz val="11"/>
        <color indexed="8"/>
        <rFont val="Calibri"/>
        <family val="2"/>
        <charset val="238"/>
      </rPr>
      <t>base</t>
    </r>
    <r>
      <rPr>
        <sz val="11"/>
        <color indexed="8"/>
        <rFont val="Calibri"/>
        <family val="2"/>
      </rPr>
      <t>)</t>
    </r>
  </si>
  <si>
    <r>
      <t>µ</t>
    </r>
    <r>
      <rPr>
        <vertAlign val="subscript"/>
        <sz val="11"/>
        <color indexed="8"/>
        <rFont val="Calibri"/>
        <family val="2"/>
        <charset val="238"/>
      </rPr>
      <t>AMX,T</t>
    </r>
  </si>
  <si>
    <r>
      <t>µ</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µ,AMX</t>
    </r>
    <r>
      <rPr>
        <sz val="11"/>
        <color indexed="8"/>
        <rFont val="Calibri"/>
        <family val="2"/>
      </rPr>
      <t>; T; T</t>
    </r>
    <r>
      <rPr>
        <vertAlign val="subscript"/>
        <sz val="11"/>
        <color indexed="8"/>
        <rFont val="Calibri"/>
        <family val="2"/>
        <charset val="238"/>
      </rPr>
      <t>base</t>
    </r>
    <r>
      <rPr>
        <sz val="11"/>
        <color indexed="8"/>
        <rFont val="Calibri"/>
        <family val="2"/>
      </rPr>
      <t>)</t>
    </r>
  </si>
  <si>
    <r>
      <t>b</t>
    </r>
    <r>
      <rPr>
        <vertAlign val="subscript"/>
        <sz val="11"/>
        <color indexed="8"/>
        <rFont val="Calibri"/>
        <family val="2"/>
        <charset val="238"/>
      </rPr>
      <t>AMX,T</t>
    </r>
  </si>
  <si>
    <r>
      <t>b</t>
    </r>
    <r>
      <rPr>
        <vertAlign val="subscript"/>
        <sz val="11"/>
        <color indexed="8"/>
        <rFont val="Calibri"/>
        <family val="2"/>
        <charset val="238"/>
      </rPr>
      <t>AMX</t>
    </r>
    <r>
      <rPr>
        <sz val="11"/>
        <color indexed="8"/>
        <rFont val="Calibri"/>
        <family val="2"/>
      </rPr>
      <t>*Arrh(θ</t>
    </r>
    <r>
      <rPr>
        <vertAlign val="subscript"/>
        <sz val="11"/>
        <color indexed="8"/>
        <rFont val="Calibri"/>
        <family val="2"/>
        <charset val="238"/>
      </rPr>
      <t>b,AMX</t>
    </r>
    <r>
      <rPr>
        <sz val="11"/>
        <color indexed="8"/>
        <rFont val="Calibri"/>
        <family val="2"/>
      </rPr>
      <t>; T; T</t>
    </r>
    <r>
      <rPr>
        <vertAlign val="subscript"/>
        <sz val="11"/>
        <color indexed="8"/>
        <rFont val="Calibri"/>
        <family val="2"/>
        <charset val="238"/>
      </rPr>
      <t>base</t>
    </r>
    <r>
      <rPr>
        <sz val="11"/>
        <color indexed="8"/>
        <rFont val="Calibri"/>
        <family val="2"/>
      </rPr>
      <t>)</t>
    </r>
  </si>
  <si>
    <r>
      <t>K</t>
    </r>
    <r>
      <rPr>
        <vertAlign val="subscript"/>
        <sz val="11"/>
        <color indexed="8"/>
        <rFont val="Calibri"/>
        <family val="2"/>
        <scheme val="minor"/>
      </rPr>
      <t>NO3,ASSIM,AS</t>
    </r>
  </si>
  <si>
    <r>
      <t>K</t>
    </r>
    <r>
      <rPr>
        <vertAlign val="subscript"/>
        <sz val="11"/>
        <color indexed="8"/>
        <rFont val="Calibri"/>
        <family val="2"/>
        <scheme val="minor"/>
      </rPr>
      <t>NO2,ASSIM,AS</t>
    </r>
  </si>
  <si>
    <r>
      <t>Minh</t>
    </r>
    <r>
      <rPr>
        <vertAlign val="subscript"/>
        <sz val="11"/>
        <rFont val="Calibri"/>
        <family val="2"/>
        <scheme val="minor"/>
      </rPr>
      <t>SNO2,KNO2,ASSIM</t>
    </r>
  </si>
  <si>
    <r>
      <t>Minh(S</t>
    </r>
    <r>
      <rPr>
        <vertAlign val="subscript"/>
        <sz val="11"/>
        <rFont val="Calibri"/>
        <family val="2"/>
        <scheme val="minor"/>
      </rPr>
      <t>NO2</t>
    </r>
    <r>
      <rPr>
        <sz val="11"/>
        <rFont val="Calibri"/>
        <family val="2"/>
        <scheme val="minor"/>
      </rPr>
      <t>;K</t>
    </r>
    <r>
      <rPr>
        <vertAlign val="subscript"/>
        <sz val="11"/>
        <rFont val="Calibri"/>
        <family val="2"/>
        <scheme val="minor"/>
      </rPr>
      <t>NO2,ASSIM</t>
    </r>
    <r>
      <rPr>
        <sz val="11"/>
        <rFont val="Calibri"/>
        <family val="2"/>
        <scheme val="minor"/>
      </rPr>
      <t>)</t>
    </r>
  </si>
  <si>
    <r>
      <t>Msat</t>
    </r>
    <r>
      <rPr>
        <vertAlign val="subscript"/>
        <sz val="11"/>
        <rFont val="Calibri"/>
        <family val="2"/>
      </rPr>
      <t>SNO2,KNO2,ASSIM</t>
    </r>
  </si>
  <si>
    <r>
      <t>Msat(S</t>
    </r>
    <r>
      <rPr>
        <vertAlign val="subscript"/>
        <sz val="11"/>
        <rFont val="Calibri"/>
        <family val="2"/>
      </rPr>
      <t>NO2</t>
    </r>
    <r>
      <rPr>
        <sz val="11"/>
        <rFont val="Calibri"/>
        <family val="2"/>
      </rPr>
      <t>;K</t>
    </r>
    <r>
      <rPr>
        <vertAlign val="subscript"/>
        <sz val="11"/>
        <rFont val="Calibri"/>
        <family val="2"/>
      </rPr>
      <t>NO2,ASSIM</t>
    </r>
    <r>
      <rPr>
        <sz val="11"/>
        <rFont val="Calibri"/>
        <family val="2"/>
      </rPr>
      <t>)</t>
    </r>
  </si>
  <si>
    <r>
      <t>Msat</t>
    </r>
    <r>
      <rPr>
        <vertAlign val="subscript"/>
        <sz val="11"/>
        <rFont val="Calibri"/>
        <family val="2"/>
      </rPr>
      <t>SNO3,KNO3,ASSIM</t>
    </r>
  </si>
  <si>
    <r>
      <t>Msat(S</t>
    </r>
    <r>
      <rPr>
        <vertAlign val="subscript"/>
        <sz val="11"/>
        <rFont val="Calibri"/>
        <family val="2"/>
      </rPr>
      <t>NO3</t>
    </r>
    <r>
      <rPr>
        <sz val="11"/>
        <rFont val="Calibri"/>
        <family val="2"/>
      </rPr>
      <t>;K</t>
    </r>
    <r>
      <rPr>
        <vertAlign val="subscript"/>
        <sz val="11"/>
        <rFont val="Calibri"/>
        <family val="2"/>
      </rPr>
      <t>NO3,ASSIM</t>
    </r>
    <r>
      <rPr>
        <sz val="11"/>
        <rFont val="Calibri"/>
        <family val="2"/>
      </rPr>
      <t>)</t>
    </r>
  </si>
  <si>
    <r>
      <t>K</t>
    </r>
    <r>
      <rPr>
        <vertAlign val="subscript"/>
        <sz val="11"/>
        <rFont val="Calibri"/>
        <family val="2"/>
        <scheme val="minor"/>
      </rPr>
      <t>NOx,AMETO,AS</t>
    </r>
  </si>
  <si>
    <r>
      <t>K</t>
    </r>
    <r>
      <rPr>
        <vertAlign val="subscript"/>
        <sz val="11"/>
        <color indexed="8"/>
        <rFont val="Calibri"/>
        <family val="2"/>
        <scheme val="minor"/>
      </rPr>
      <t>NOx,HMETO,AS</t>
    </r>
  </si>
  <si>
    <r>
      <t>K</t>
    </r>
    <r>
      <rPr>
        <vertAlign val="subscript"/>
        <sz val="11"/>
        <rFont val="Calibri"/>
        <family val="2"/>
        <scheme val="minor"/>
      </rPr>
      <t>NOx,AMETO</t>
    </r>
  </si>
  <si>
    <r>
      <t>K</t>
    </r>
    <r>
      <rPr>
        <vertAlign val="subscript"/>
        <sz val="11"/>
        <rFont val="Calibri"/>
        <family val="2"/>
        <scheme val="minor"/>
      </rPr>
      <t>NOx,HMETO</t>
    </r>
  </si>
  <si>
    <r>
      <t>K</t>
    </r>
    <r>
      <rPr>
        <vertAlign val="subscript"/>
        <sz val="11"/>
        <rFont val="Calibri"/>
        <family val="2"/>
        <scheme val="minor"/>
      </rPr>
      <t>NOx,HMETO,AS</t>
    </r>
  </si>
  <si>
    <r>
      <t>[NO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</si>
  <si>
    <t>Nitrite molar concentration in equivalence point</t>
  </si>
  <si>
    <r>
      <t>(3*[PO</t>
    </r>
    <r>
      <rPr>
        <vertAlign val="subscript"/>
        <sz val="11"/>
        <rFont val="Calibri"/>
        <family val="2"/>
        <scheme val="minor"/>
      </rPr>
      <t>4</t>
    </r>
    <r>
      <rPr>
        <vertAlign val="superscript"/>
        <sz val="11"/>
        <rFont val="Calibri"/>
        <family val="2"/>
        <scheme val="minor"/>
      </rPr>
      <t>3-</t>
    </r>
    <r>
      <rPr>
        <sz val="11"/>
        <rFont val="Calibri"/>
        <family val="2"/>
        <scheme val="minor"/>
      </rPr>
      <t>] + 2*[HPO</t>
    </r>
    <r>
      <rPr>
        <vertAlign val="subscript"/>
        <sz val="11"/>
        <rFont val="Calibri"/>
        <family val="2"/>
        <scheme val="minor"/>
      </rPr>
      <t>4</t>
    </r>
    <r>
      <rPr>
        <vertAlign val="superscript"/>
        <sz val="11"/>
        <rFont val="Calibri"/>
        <family val="2"/>
        <scheme val="minor"/>
      </rPr>
      <t>2-</t>
    </r>
    <r>
      <rPr>
        <sz val="11"/>
        <rFont val="Calibri"/>
        <family val="2"/>
        <scheme val="minor"/>
      </rPr>
      <t>])- 2*[HPO</t>
    </r>
    <r>
      <rPr>
        <vertAlign val="subscript"/>
        <sz val="11"/>
        <rFont val="Calibri"/>
        <family val="2"/>
        <scheme val="minor"/>
      </rPr>
      <t>4</t>
    </r>
    <r>
      <rPr>
        <vertAlign val="superscript"/>
        <sz val="11"/>
        <rFont val="Calibri"/>
        <family val="2"/>
        <scheme val="minor"/>
      </rPr>
      <t>2-</t>
    </r>
    <r>
      <rPr>
        <sz val="11"/>
        <rFont val="Calibri"/>
        <family val="2"/>
        <scheme val="minor"/>
      </rPr>
      <t>]</t>
    </r>
    <r>
      <rPr>
        <vertAlign val="subscript"/>
        <sz val="11"/>
        <rFont val="Calibri"/>
        <family val="2"/>
        <scheme val="minor"/>
      </rPr>
      <t>eq</t>
    </r>
    <r>
      <rPr>
        <sz val="11"/>
        <rFont val="Calibri"/>
        <family val="2"/>
        <scheme val="minor"/>
      </rPr>
      <t xml:space="preserve"> +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 [H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[OH</t>
    </r>
    <r>
      <rPr>
        <vertAlign val="superscript"/>
        <sz val="11"/>
        <rFont val="Calibri"/>
        <family val="2"/>
        <scheme val="minor"/>
      </rPr>
      <t>-</t>
    </r>
    <r>
      <rPr>
        <sz val="11"/>
        <rFont val="Calibri"/>
        <family val="2"/>
        <scheme val="minor"/>
      </rPr>
      <t>]+ [NO</t>
    </r>
    <r>
      <rPr>
        <vertAlign val="subscript"/>
        <sz val="11"/>
        <rFont val="Calibri"/>
        <family val="2"/>
        <scheme val="minor"/>
      </rPr>
      <t>2</t>
    </r>
    <r>
      <rPr>
        <vertAlign val="superscript"/>
        <sz val="11"/>
        <rFont val="Calibri"/>
        <family val="2"/>
        <scheme val="minor"/>
      </rPr>
      <t>-</t>
    </r>
    <r>
      <rPr>
        <sz val="11"/>
        <rFont val="Calibri"/>
        <family val="2"/>
        <scheme val="minor"/>
      </rPr>
      <t>] - [NO</t>
    </r>
    <r>
      <rPr>
        <vertAlign val="subscript"/>
        <sz val="11"/>
        <rFont val="Calibri"/>
        <family val="2"/>
        <scheme val="minor"/>
      </rPr>
      <t>2</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[NH</t>
    </r>
    <r>
      <rPr>
        <vertAlign val="subscript"/>
        <sz val="11"/>
        <rFont val="Calibri"/>
        <family val="2"/>
        <scheme val="minor"/>
      </rPr>
      <t>3</t>
    </r>
    <r>
      <rPr>
        <sz val="11"/>
        <rFont val="Calibri"/>
        <family val="2"/>
        <scheme val="minor"/>
      </rPr>
      <t>] + 2*[CO</t>
    </r>
    <r>
      <rPr>
        <vertAlign val="subscript"/>
        <sz val="11"/>
        <rFont val="Calibri"/>
        <family val="2"/>
        <scheme val="minor"/>
      </rPr>
      <t>3</t>
    </r>
    <r>
      <rPr>
        <vertAlign val="superscript"/>
        <sz val="11"/>
        <rFont val="Calibri"/>
        <family val="2"/>
        <scheme val="minor"/>
      </rPr>
      <t>2-</t>
    </r>
    <r>
      <rPr>
        <sz val="11"/>
        <rFont val="Calibri"/>
        <family val="2"/>
        <scheme val="minor"/>
      </rPr>
      <t>]+ [HCO</t>
    </r>
    <r>
      <rPr>
        <vertAlign val="subscript"/>
        <sz val="11"/>
        <rFont val="Calibri"/>
        <family val="2"/>
        <scheme val="minor"/>
      </rPr>
      <t>3</t>
    </r>
    <r>
      <rPr>
        <vertAlign val="superscript"/>
        <sz val="11"/>
        <rFont val="Calibri"/>
        <family val="2"/>
        <scheme val="minor"/>
      </rPr>
      <t>-</t>
    </r>
    <r>
      <rPr>
        <sz val="11"/>
        <rFont val="Calibri"/>
        <family val="2"/>
        <scheme val="minor"/>
      </rPr>
      <t>]+ [Ac</t>
    </r>
    <r>
      <rPr>
        <vertAlign val="superscript"/>
        <sz val="11"/>
        <rFont val="Calibri"/>
        <family val="2"/>
        <scheme val="minor"/>
      </rPr>
      <t>-</t>
    </r>
    <r>
      <rPr>
        <sz val="11"/>
        <rFont val="Calibri"/>
        <family val="2"/>
        <scheme val="minor"/>
      </rPr>
      <t>] - [Ac</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t>
    </r>
    <r>
      <rPr>
        <sz val="11"/>
        <rFont val="Calibri"/>
        <family val="2"/>
        <scheme val="minor"/>
      </rPr>
      <t>- [H</t>
    </r>
    <r>
      <rPr>
        <vertAlign val="superscript"/>
        <sz val="11"/>
        <rFont val="Calibri"/>
        <family val="2"/>
        <scheme val="minor"/>
      </rPr>
      <t>+</t>
    </r>
    <r>
      <rPr>
        <sz val="11"/>
        <rFont val="Calibri"/>
        <family val="2"/>
        <scheme val="minor"/>
      </rPr>
      <t>]</t>
    </r>
  </si>
  <si>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</si>
  <si>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</si>
  <si>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</si>
  <si>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</si>
  <si>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</si>
  <si>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</si>
  <si>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</si>
  <si>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</si>
  <si>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</si>
  <si>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</si>
  <si>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</si>
  <si>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</si>
  <si>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</si>
  <si>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</si>
  <si>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</si>
  <si>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r>
      <t>λ</t>
    </r>
    <r>
      <rPr>
        <vertAlign val="subscript"/>
        <sz val="11"/>
        <rFont val="Calibri"/>
        <family val="2"/>
      </rPr>
      <t>H</t>
    </r>
  </si>
  <si>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</si>
  <si>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</si>
  <si>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</si>
  <si>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</si>
  <si>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</si>
  <si>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</si>
  <si>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</si>
  <si>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</si>
  <si>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</si>
  <si>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</si>
  <si>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</si>
  <si>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</si>
  <si>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PUR</t>
    </r>
    <r>
      <rPr>
        <vertAlign val="subscript"/>
        <sz val="11"/>
        <rFont val="Calibri"/>
        <family val="2"/>
        <scheme val="minor"/>
      </rPr>
      <t>BIO</t>
    </r>
    <r>
      <rPr>
        <sz val="11"/>
        <rFont val="Calibri"/>
        <family val="2"/>
        <scheme val="minor"/>
      </rPr>
      <t>+PUR</t>
    </r>
    <r>
      <rPr>
        <vertAlign val="subscript"/>
        <sz val="11"/>
        <rFont val="Calibri"/>
        <family val="2"/>
        <scheme val="minor"/>
      </rPr>
      <t>CHEM</t>
    </r>
  </si>
  <si>
    <t>r60</t>
  </si>
  <si>
    <t>r61</t>
  </si>
  <si>
    <t>r62</t>
  </si>
  <si>
    <t>r63</t>
  </si>
  <si>
    <t>r64</t>
  </si>
  <si>
    <t>r65</t>
  </si>
  <si>
    <t>r66</t>
  </si>
  <si>
    <t>r67</t>
  </si>
  <si>
    <t>r68</t>
  </si>
  <si>
    <t>r69</t>
  </si>
  <si>
    <t>r70</t>
  </si>
  <si>
    <r>
      <t>Msat</t>
    </r>
    <r>
      <rPr>
        <vertAlign val="subscript"/>
        <sz val="11"/>
        <rFont val="Calibri"/>
        <family val="2"/>
      </rPr>
      <t>SNO2,KNO2,OHO</t>
    </r>
  </si>
  <si>
    <r>
      <t>Msat(S</t>
    </r>
    <r>
      <rPr>
        <vertAlign val="subscript"/>
        <sz val="11"/>
        <rFont val="Calibri"/>
        <family val="2"/>
      </rPr>
      <t>NO2</t>
    </r>
    <r>
      <rPr>
        <sz val="11"/>
        <rFont val="Calibri"/>
        <family val="2"/>
      </rPr>
      <t>;K</t>
    </r>
    <r>
      <rPr>
        <vertAlign val="subscript"/>
        <sz val="11"/>
        <rFont val="Calibri"/>
        <family val="2"/>
      </rPr>
      <t>NO2,OHO</t>
    </r>
    <r>
      <rPr>
        <sz val="11"/>
        <rFont val="Calibri"/>
        <family val="2"/>
      </rPr>
      <t>)</t>
    </r>
  </si>
  <si>
    <r>
      <t>Msat</t>
    </r>
    <r>
      <rPr>
        <vertAlign val="subscript"/>
        <sz val="11"/>
        <rFont val="Calibri"/>
        <family val="2"/>
      </rPr>
      <t>SNO3,KNO3,OHO</t>
    </r>
  </si>
  <si>
    <r>
      <t>Msat(S</t>
    </r>
    <r>
      <rPr>
        <vertAlign val="subscript"/>
        <sz val="11"/>
        <rFont val="Calibri"/>
        <family val="2"/>
      </rPr>
      <t>NO3</t>
    </r>
    <r>
      <rPr>
        <sz val="11"/>
        <rFont val="Calibri"/>
        <family val="2"/>
      </rPr>
      <t>;K</t>
    </r>
    <r>
      <rPr>
        <vertAlign val="subscript"/>
        <sz val="11"/>
        <rFont val="Calibri"/>
        <family val="2"/>
      </rPr>
      <t>NO3,OHO</t>
    </r>
    <r>
      <rPr>
        <sz val="11"/>
        <rFont val="Calibri"/>
        <family val="2"/>
      </rPr>
      <t>)</t>
    </r>
  </si>
  <si>
    <r>
      <t>q</t>
    </r>
    <r>
      <rPr>
        <vertAlign val="subscript"/>
        <sz val="11"/>
        <rFont val="Calibri"/>
        <family val="2"/>
      </rPr>
      <t>MEOL</t>
    </r>
    <r>
      <rPr>
        <sz val="11"/>
        <rFont val="Calibri"/>
        <family val="2"/>
      </rPr>
      <t>*S</t>
    </r>
    <r>
      <rPr>
        <vertAlign val="subscript"/>
        <sz val="11"/>
        <rFont val="Calibri"/>
        <family val="2"/>
      </rPr>
      <t>MEOL</t>
    </r>
    <r>
      <rPr>
        <sz val="11"/>
        <rFont val="Calibri"/>
        <family val="2"/>
      </rPr>
      <t>*Msat</t>
    </r>
    <r>
      <rPr>
        <vertAlign val="subscript"/>
        <sz val="11"/>
        <rFont val="Calibri"/>
        <family val="2"/>
      </rPr>
      <t>SCO2,KCO2,BIO</t>
    </r>
    <r>
      <rPr>
        <sz val="11"/>
        <rFont val="Calibri"/>
        <family val="2"/>
      </rPr>
      <t>*Minh</t>
    </r>
    <r>
      <rPr>
        <vertAlign val="subscript"/>
        <sz val="11"/>
        <rFont val="Calibri"/>
        <family val="2"/>
      </rPr>
      <t>SO2,KO2,OHO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</si>
  <si>
    <r>
      <t>-EEQ</t>
    </r>
    <r>
      <rPr>
        <vertAlign val="subscript"/>
        <sz val="11"/>
        <rFont val="Calibri"/>
        <family val="2"/>
        <scheme val="minor"/>
      </rPr>
      <t>NO2</t>
    </r>
  </si>
  <si>
    <r>
      <t>-1/EEQ</t>
    </r>
    <r>
      <rPr>
        <vertAlign val="subscript"/>
        <sz val="11"/>
        <rFont val="Calibri"/>
        <family val="2"/>
      </rPr>
      <t>N2,NO2</t>
    </r>
  </si>
  <si>
    <r>
      <t>1/EEQ</t>
    </r>
    <r>
      <rPr>
        <vertAlign val="subscript"/>
        <sz val="11"/>
        <rFont val="Calibri"/>
        <family val="2"/>
      </rPr>
      <t>N2,NO2</t>
    </r>
  </si>
  <si>
    <r>
      <t>-1/EEQ</t>
    </r>
    <r>
      <rPr>
        <vertAlign val="subscript"/>
        <sz val="11"/>
        <rFont val="Calibri"/>
        <family val="2"/>
      </rPr>
      <t>NO2,NO3</t>
    </r>
    <r>
      <rPr>
        <sz val="11"/>
        <rFont val="Calibri"/>
        <family val="2"/>
      </rPr>
      <t/>
    </r>
  </si>
  <si>
    <r>
      <t>1/EEQ</t>
    </r>
    <r>
      <rPr>
        <vertAlign val="subscript"/>
        <sz val="11"/>
        <rFont val="Calibri"/>
        <family val="2"/>
      </rPr>
      <t>NO2,NO3</t>
    </r>
    <r>
      <rPr>
        <sz val="11"/>
        <rFont val="Calibri"/>
        <family val="2"/>
      </rPr>
      <t/>
    </r>
  </si>
  <si>
    <t>r71</t>
  </si>
  <si>
    <t>r72</t>
  </si>
  <si>
    <t>Key(995)</t>
  </si>
  <si>
    <t>Key(994)</t>
  </si>
  <si>
    <r>
      <t>T</t>
    </r>
    <r>
      <rPr>
        <vertAlign val="subscript"/>
        <sz val="11"/>
        <rFont val="Calibri"/>
        <family val="2"/>
        <scheme val="minor"/>
      </rPr>
      <t>COD,Th</t>
    </r>
  </si>
  <si>
    <t>Theoretical total chemical oxygen demand</t>
  </si>
  <si>
    <t>Calculated only for influent</t>
  </si>
  <si>
    <r>
      <t>S</t>
    </r>
    <r>
      <rPr>
        <vertAlign val="subscript"/>
        <sz val="11"/>
        <rFont val="Calibri"/>
        <family val="2"/>
        <scheme val="minor"/>
      </rPr>
      <t>AN</t>
    </r>
  </si>
  <si>
    <r>
      <t>S</t>
    </r>
    <r>
      <rPr>
        <i/>
        <vertAlign val="subscript"/>
        <sz val="11"/>
        <rFont val="Calibri"/>
        <family val="2"/>
        <scheme val="minor"/>
      </rPr>
      <t>CAT,ini</t>
    </r>
  </si>
  <si>
    <t>Strong cations</t>
  </si>
  <si>
    <r>
      <t>S</t>
    </r>
    <r>
      <rPr>
        <i/>
        <vertAlign val="subscript"/>
        <sz val="11"/>
        <rFont val="Calibri"/>
        <family val="2"/>
        <scheme val="minor"/>
      </rPr>
      <t>AN,ini</t>
    </r>
  </si>
  <si>
    <t>Strong anions</t>
  </si>
  <si>
    <t>Inorganics in influent and biomass</t>
  </si>
  <si>
    <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</si>
  <si>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NO2</t>
    </r>
    <r>
      <rPr>
        <sz val="11"/>
        <rFont val="Calibri"/>
        <family val="2"/>
      </rPr>
      <t>)</t>
    </r>
  </si>
  <si>
    <r>
      <t>(K</t>
    </r>
    <r>
      <rPr>
        <vertAlign val="subscript"/>
        <sz val="11"/>
        <rFont val="Calibri"/>
        <family val="2"/>
      </rPr>
      <t>NO2</t>
    </r>
    <r>
      <rPr>
        <sz val="11"/>
        <rFont val="Calibri"/>
        <family val="2"/>
      </rPr>
      <t>*S</t>
    </r>
    <r>
      <rPr>
        <vertAlign val="subscript"/>
        <sz val="11"/>
        <rFont val="Calibri"/>
        <family val="2"/>
      </rPr>
      <t>NO2</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]+K</t>
    </r>
    <r>
      <rPr>
        <vertAlign val="subscript"/>
        <sz val="11"/>
        <rFont val="Calibri"/>
        <family val="2"/>
      </rPr>
      <t>NO2</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</si>
  <si>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</si>
  <si>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*1000))*[H</t>
    </r>
    <r>
      <rPr>
        <vertAlign val="superscript"/>
        <sz val="11"/>
        <rFont val="Calibri"/>
        <family val="2"/>
      </rPr>
      <t>+</t>
    </r>
    <r>
      <rPr>
        <sz val="11"/>
        <rFont val="Calibri"/>
        <family val="2"/>
      </rPr>
      <t>]/([H</t>
    </r>
    <r>
      <rPr>
        <vertAlign val="superscript"/>
        <sz val="11"/>
        <rFont val="Calibri"/>
        <family val="2"/>
      </rPr>
      <t>+</t>
    </r>
    <r>
      <rPr>
        <sz val="11"/>
        <rFont val="Calibri"/>
        <family val="2"/>
      </rPr>
      <t>]+K</t>
    </r>
    <r>
      <rPr>
        <vertAlign val="subscript"/>
        <sz val="11"/>
        <rFont val="Calibri"/>
        <family val="2"/>
      </rPr>
      <t>NH3</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</si>
  <si>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</si>
  <si>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/(AM</t>
    </r>
    <r>
      <rPr>
        <vertAlign val="subscript"/>
        <sz val="11"/>
        <rFont val="Calibri"/>
        <family val="2"/>
      </rPr>
      <t>C</t>
    </r>
    <r>
      <rPr>
        <sz val="11"/>
        <rFont val="Calibri"/>
        <family val="2"/>
      </rPr>
      <t>*1000)/([H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</si>
  <si>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diss</t>
    </r>
    <r>
      <rPr>
        <vertAlign val="subscript"/>
        <sz val="11"/>
        <rFont val="Calibri"/>
        <family val="2"/>
      </rPr>
      <t>NH3</t>
    </r>
  </si>
  <si>
    <r>
      <t>-AM</t>
    </r>
    <r>
      <rPr>
        <vertAlign val="subscript"/>
        <sz val="11"/>
        <rFont val="Calibri"/>
        <family val="2"/>
      </rPr>
      <t>C</t>
    </r>
    <r>
      <rPr>
        <sz val="11"/>
        <rFont val="Calibri"/>
        <family val="2"/>
      </rPr>
      <t>/MM</t>
    </r>
    <r>
      <rPr>
        <vertAlign val="subscript"/>
        <sz val="11"/>
        <rFont val="Calibri"/>
        <family val="2"/>
      </rPr>
      <t>CaCO3</t>
    </r>
  </si>
  <si>
    <r>
      <t>AM</t>
    </r>
    <r>
      <rPr>
        <vertAlign val="subscript"/>
        <sz val="11"/>
        <rFont val="Calibri"/>
        <family val="2"/>
        <scheme val="minor"/>
      </rPr>
      <t>C</t>
    </r>
    <r>
      <rPr>
        <sz val="11"/>
        <rFont val="Calibri"/>
        <family val="2"/>
        <scheme val="minor"/>
      </rPr>
      <t>/MM</t>
    </r>
    <r>
      <rPr>
        <vertAlign val="subscript"/>
        <sz val="11"/>
        <rFont val="Calibri"/>
        <family val="2"/>
        <scheme val="minor"/>
      </rPr>
      <t>CaCO3</t>
    </r>
  </si>
  <si>
    <r>
      <t>i</t>
    </r>
    <r>
      <rPr>
        <vertAlign val="subscript"/>
        <sz val="11"/>
        <rFont val="Calibri"/>
        <family val="2"/>
      </rPr>
      <t>INORG</t>
    </r>
    <r>
      <rPr>
        <sz val="11"/>
        <color indexed="8"/>
        <rFont val="Calibri"/>
        <family val="2"/>
      </rPr>
      <t/>
    </r>
  </si>
  <si>
    <r>
      <t>-i</t>
    </r>
    <r>
      <rPr>
        <vertAlign val="subscript"/>
        <sz val="11"/>
        <rFont val="Calibri"/>
        <family val="2"/>
      </rPr>
      <t>INORG</t>
    </r>
    <r>
      <rPr>
        <sz val="11"/>
        <color indexed="8"/>
        <rFont val="Calibri"/>
        <family val="2"/>
      </rPr>
      <t/>
    </r>
  </si>
  <si>
    <r>
      <t>i</t>
    </r>
    <r>
      <rPr>
        <vertAlign val="subscript"/>
        <sz val="11"/>
        <rFont val="Calibri"/>
        <family val="2"/>
        <scheme val="minor"/>
      </rPr>
      <t>INORG</t>
    </r>
  </si>
  <si>
    <t>Fermentation growth rate of OHOs</t>
  </si>
  <si>
    <t>Decay rate of OHOs</t>
  </si>
  <si>
    <t>Half-saturation of readily biodegradable substrate for OHOs (AS)</t>
  </si>
  <si>
    <r>
      <t>Half-saturation of O</t>
    </r>
    <r>
      <rPr>
        <vertAlign val="subscript"/>
        <sz val="11"/>
        <color rgb="FF000000"/>
        <rFont val="Calibri"/>
        <family val="2"/>
        <scheme val="minor"/>
      </rPr>
      <t>2</t>
    </r>
    <r>
      <rPr>
        <sz val="11"/>
        <color rgb="FF000000"/>
        <rFont val="Calibri"/>
        <family val="2"/>
        <charset val="238"/>
        <scheme val="minor"/>
      </rPr>
      <t xml:space="preserve"> for OHOs (AS)</t>
    </r>
  </si>
  <si>
    <t>Half-saturation of VFA for OHOs (AS)</t>
  </si>
  <si>
    <t>Half-saturation of methanol for OHOs (AS)</t>
  </si>
  <si>
    <r>
      <t>Half-saturation of NO</t>
    </r>
    <r>
      <rPr>
        <vertAlign val="subscript"/>
        <sz val="11"/>
        <color rgb="FF000000"/>
        <rFont val="Calibri"/>
        <family val="2"/>
        <scheme val="minor"/>
      </rPr>
      <t>3</t>
    </r>
    <r>
      <rPr>
        <sz val="11"/>
        <color rgb="FF000000"/>
        <rFont val="Calibri"/>
        <family val="2"/>
        <charset val="238"/>
        <scheme val="minor"/>
      </rPr>
      <t xml:space="preserve"> for OHOs (AS)</t>
    </r>
  </si>
  <si>
    <r>
      <t>Half-saturation of NO</t>
    </r>
    <r>
      <rPr>
        <vertAlign val="subscript"/>
        <sz val="11"/>
        <color rgb="FF000000"/>
        <rFont val="Calibri"/>
        <family val="2"/>
        <scheme val="minor"/>
      </rPr>
      <t>2</t>
    </r>
    <r>
      <rPr>
        <sz val="11"/>
        <color rgb="FF000000"/>
        <rFont val="Calibri"/>
        <family val="2"/>
        <charset val="238"/>
        <scheme val="minor"/>
      </rPr>
      <t xml:space="preserve"> for OHOs (AS)</t>
    </r>
  </si>
  <si>
    <t>Half-saturation of readily biodegradable substrate in fermentation by OHOs (AS)</t>
  </si>
  <si>
    <t>Maximum specific growth rate of MEOLOs</t>
  </si>
  <si>
    <t>Decay rate of MEOLOs</t>
  </si>
  <si>
    <t xml:space="preserve">Rate of methanol degradation by MEOLOs under anaerobic conditions </t>
  </si>
  <si>
    <t>Half-saturation of methanol for MEOLOs (AS)</t>
  </si>
  <si>
    <r>
      <t>Half-saturation of NO</t>
    </r>
    <r>
      <rPr>
        <vertAlign val="subscript"/>
        <sz val="11"/>
        <color rgb="FF000000"/>
        <rFont val="Calibri"/>
        <family val="2"/>
        <scheme val="minor"/>
      </rPr>
      <t>3</t>
    </r>
    <r>
      <rPr>
        <sz val="11"/>
        <color rgb="FF000000"/>
        <rFont val="Calibri"/>
        <family val="2"/>
        <charset val="238"/>
        <scheme val="minor"/>
      </rPr>
      <t xml:space="preserve"> for MEOLOs (AS)</t>
    </r>
  </si>
  <si>
    <r>
      <t>Half-saturation of NO</t>
    </r>
    <r>
      <rPr>
        <vertAlign val="subscript"/>
        <sz val="11"/>
        <color rgb="FF000000"/>
        <rFont val="Calibri"/>
        <family val="2"/>
        <scheme val="minor"/>
      </rPr>
      <t>2</t>
    </r>
    <r>
      <rPr>
        <sz val="11"/>
        <color rgb="FF000000"/>
        <rFont val="Calibri"/>
        <family val="2"/>
        <charset val="238"/>
        <scheme val="minor"/>
      </rPr>
      <t xml:space="preserve"> for MEOLOs (AS)</t>
    </r>
  </si>
  <si>
    <t>Fermentation growth rate of PAOs</t>
  </si>
  <si>
    <t>Maximum specific growth rate of PAOs under P limited</t>
  </si>
  <si>
    <t>Rate of PAOs maintenance under anaerobic conditions (PP cleavage)</t>
  </si>
  <si>
    <t>Rate of VFA storage into PHA for PAOs</t>
  </si>
  <si>
    <t>Reduction factor for aerobic maintenance of PAOs on PP</t>
  </si>
  <si>
    <t>Reduction factor for anoxic maintenance of PAOs on PP</t>
  </si>
  <si>
    <r>
      <t>Half-saturation of PO</t>
    </r>
    <r>
      <rPr>
        <vertAlign val="subscript"/>
        <sz val="11"/>
        <color rgb="FF000000"/>
        <rFont val="Calibri"/>
        <family val="2"/>
        <scheme val="minor"/>
      </rPr>
      <t>4</t>
    </r>
    <r>
      <rPr>
        <sz val="11"/>
        <color rgb="FF000000"/>
        <rFont val="Calibri"/>
        <family val="2"/>
        <charset val="238"/>
        <scheme val="minor"/>
      </rPr>
      <t xml:space="preserve"> for PAOs (AS)</t>
    </r>
  </si>
  <si>
    <t>Half-saturation of PHA for PAOs</t>
  </si>
  <si>
    <r>
      <t>µ</t>
    </r>
    <r>
      <rPr>
        <vertAlign val="subscript"/>
        <sz val="11"/>
        <rFont val="Calibri"/>
        <family val="2"/>
        <scheme val="minor"/>
      </rPr>
      <t>FERM,PAO</t>
    </r>
  </si>
  <si>
    <r>
      <t>Ki</t>
    </r>
    <r>
      <rPr>
        <vertAlign val="subscript"/>
        <sz val="11"/>
        <rFont val="Calibri"/>
        <family val="2"/>
        <scheme val="minor"/>
      </rPr>
      <t>PO4,lim,AS</t>
    </r>
  </si>
  <si>
    <r>
      <t>Logsat</t>
    </r>
    <r>
      <rPr>
        <vertAlign val="subscript"/>
        <sz val="11"/>
        <rFont val="Calibri"/>
        <family val="2"/>
        <scheme val="minor"/>
      </rPr>
      <t>ORP,PAO,Half</t>
    </r>
  </si>
  <si>
    <t>Logistic half-saturation of ORP switching in fermentation of PAO</t>
  </si>
  <si>
    <r>
      <t>Logsat</t>
    </r>
    <r>
      <rPr>
        <vertAlign val="subscript"/>
        <sz val="11"/>
        <rFont val="Calibri"/>
        <family val="2"/>
        <scheme val="minor"/>
      </rPr>
      <t>ORP,PAO,Slope</t>
    </r>
  </si>
  <si>
    <t>Logistic slope of ORP switching in fermentation of PAO</t>
  </si>
  <si>
    <t>Half-inhibition of maximum PP content of PAOs</t>
  </si>
  <si>
    <t>Half-inhibition of maximum PHA content of PAOs</t>
  </si>
  <si>
    <t>Half-saturation of Mg (counter-ion in PP storage) for PAOs (AS)</t>
  </si>
  <si>
    <t>Half-saturation of K (counter-ion in PP storage) for PAOs (AS)</t>
  </si>
  <si>
    <t>Half-saturation of Ca (counter-ion in PP storage) for PAOs (AS)</t>
  </si>
  <si>
    <t>Half-saturation of PP (nutrient) for PAOs under PO4 limitation (AS)</t>
  </si>
  <si>
    <r>
      <t>Half-inhibition of PO</t>
    </r>
    <r>
      <rPr>
        <vertAlign val="subscript"/>
        <sz val="11"/>
        <color rgb="FF000000"/>
        <rFont val="Calibri"/>
        <family val="2"/>
        <scheme val="minor"/>
      </rPr>
      <t>4</t>
    </r>
    <r>
      <rPr>
        <sz val="11"/>
        <color rgb="FF000000"/>
        <rFont val="Calibri"/>
        <family val="2"/>
        <charset val="238"/>
        <scheme val="minor"/>
      </rPr>
      <t xml:space="preserve"> for PAOs under PO4 limitation (AS)</t>
    </r>
  </si>
  <si>
    <t>Logistic slope of ORP switching of GAOs</t>
  </si>
  <si>
    <t>Decay rate of AOBs</t>
  </si>
  <si>
    <r>
      <t>Half-saturation of NH</t>
    </r>
    <r>
      <rPr>
        <vertAlign val="subscript"/>
        <sz val="11"/>
        <color rgb="FF000000"/>
        <rFont val="Calibri"/>
        <family val="2"/>
        <scheme val="minor"/>
      </rPr>
      <t>x</t>
    </r>
    <r>
      <rPr>
        <sz val="11"/>
        <color rgb="FF000000"/>
        <rFont val="Calibri"/>
        <family val="2"/>
        <charset val="238"/>
        <scheme val="minor"/>
      </rPr>
      <t xml:space="preserve"> for AOBs (AS)</t>
    </r>
  </si>
  <si>
    <t>Half-saturation of bicarbonate for AOBs (Sidestream)</t>
  </si>
  <si>
    <t>Half-saturation of bicarbonate for AOBs (AS)</t>
  </si>
  <si>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 (AS)</t>
    </r>
  </si>
  <si>
    <r>
      <t>Ki</t>
    </r>
    <r>
      <rPr>
        <vertAlign val="subscript"/>
        <sz val="11"/>
        <color indexed="8"/>
        <rFont val="Calibri"/>
        <family val="2"/>
        <scheme val="minor"/>
      </rPr>
      <t>NH3,NOB,pH,AS</t>
    </r>
  </si>
  <si>
    <t>Decay rate of NOBs</t>
  </si>
  <si>
    <r>
      <t>Half-saturation of NO</t>
    </r>
    <r>
      <rPr>
        <vertAlign val="subscript"/>
        <sz val="11"/>
        <color rgb="FF000000"/>
        <rFont val="Calibri"/>
        <family val="2"/>
        <scheme val="minor"/>
      </rPr>
      <t>2</t>
    </r>
    <r>
      <rPr>
        <sz val="11"/>
        <color rgb="FF000000"/>
        <rFont val="Calibri"/>
        <family val="2"/>
        <charset val="238"/>
        <scheme val="minor"/>
      </rPr>
      <t xml:space="preserve"> for NOBs (AS)</t>
    </r>
  </si>
  <si>
    <t>Half-saturation of bicarbonate for NOBs (AS)</t>
  </si>
  <si>
    <r>
      <t>Half-saturation of O</t>
    </r>
    <r>
      <rPr>
        <vertAlign val="subscript"/>
        <sz val="11"/>
        <color rgb="FF000000"/>
        <rFont val="Calibri"/>
        <family val="2"/>
        <scheme val="minor"/>
      </rPr>
      <t>2</t>
    </r>
    <r>
      <rPr>
        <sz val="11"/>
        <color rgb="FF000000"/>
        <rFont val="Calibri"/>
        <family val="2"/>
        <charset val="238"/>
        <scheme val="minor"/>
      </rPr>
      <t xml:space="preserve"> for NOBs (Sidestream)</t>
    </r>
  </si>
  <si>
    <r>
      <t>Half-saturation of O</t>
    </r>
    <r>
      <rPr>
        <vertAlign val="subscript"/>
        <sz val="11"/>
        <color rgb="FF000000"/>
        <rFont val="Calibri"/>
        <family val="2"/>
        <scheme val="minor"/>
      </rPr>
      <t>2</t>
    </r>
    <r>
      <rPr>
        <sz val="11"/>
        <color rgb="FF000000"/>
        <rFont val="Calibri"/>
        <family val="2"/>
        <charset val="238"/>
        <scheme val="minor"/>
      </rPr>
      <t xml:space="preserve"> for NOBs (AS)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</si>
  <si>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 (AS)</t>
    </r>
  </si>
  <si>
    <r>
      <t>Half-inhibition of NH</t>
    </r>
    <r>
      <rPr>
        <vertAlign val="subscript"/>
        <sz val="11"/>
        <color rgb="FF000000"/>
        <rFont val="Calibri"/>
        <family val="2"/>
        <scheme val="minor"/>
      </rPr>
      <t>3</t>
    </r>
    <r>
      <rPr>
        <sz val="11"/>
        <color rgb="FF000000"/>
        <rFont val="Calibri"/>
        <family val="2"/>
        <charset val="238"/>
        <scheme val="minor"/>
      </rPr>
      <t xml:space="preserve"> for NOBs (AS)</t>
    </r>
  </si>
  <si>
    <r>
      <t>Ki</t>
    </r>
    <r>
      <rPr>
        <vertAlign val="subscript"/>
        <sz val="11"/>
        <color indexed="8"/>
        <rFont val="Calibri"/>
        <family val="2"/>
        <scheme val="minor"/>
      </rPr>
      <t>HNO2,AMX,pH,AS</t>
    </r>
  </si>
  <si>
    <t>Maximum specific growth rate of AMX</t>
  </si>
  <si>
    <t>Decay rate of AMXs</t>
  </si>
  <si>
    <r>
      <t>Half-saturation of NH</t>
    </r>
    <r>
      <rPr>
        <vertAlign val="subscript"/>
        <sz val="11"/>
        <color rgb="FF000000"/>
        <rFont val="Calibri"/>
        <family val="2"/>
        <scheme val="minor"/>
      </rPr>
      <t>x</t>
    </r>
    <r>
      <rPr>
        <sz val="11"/>
        <color rgb="FF000000"/>
        <rFont val="Calibri"/>
        <family val="2"/>
        <charset val="238"/>
        <scheme val="minor"/>
      </rPr>
      <t xml:space="preserve"> for AMX</t>
    </r>
  </si>
  <si>
    <r>
      <t>Half-saturation of N</t>
    </r>
    <r>
      <rPr>
        <vertAlign val="subscript"/>
        <sz val="11"/>
        <color rgb="FF000000"/>
        <rFont val="Calibri"/>
        <family val="2"/>
        <scheme val="minor"/>
      </rPr>
      <t>O2</t>
    </r>
    <r>
      <rPr>
        <sz val="11"/>
        <color rgb="FF000000"/>
        <rFont val="Calibri"/>
        <family val="2"/>
        <charset val="238"/>
        <scheme val="minor"/>
      </rPr>
      <t xml:space="preserve"> for AMX</t>
    </r>
  </si>
  <si>
    <t>Half-saturation of bicarbonate for AMX</t>
  </si>
  <si>
    <r>
      <t>Half-saturation of NO</t>
    </r>
    <r>
      <rPr>
        <vertAlign val="subscript"/>
        <sz val="11"/>
        <color rgb="FF000000"/>
        <rFont val="Calibri"/>
        <family val="2"/>
        <scheme val="minor"/>
      </rPr>
      <t>x</t>
    </r>
    <r>
      <rPr>
        <sz val="11"/>
        <color rgb="FF000000"/>
        <rFont val="Calibri"/>
        <family val="2"/>
        <charset val="238"/>
        <scheme val="minor"/>
      </rPr>
      <t xml:space="preserve"> for AMX</t>
    </r>
  </si>
  <si>
    <t>Half-inhibition of nitrous acid for AMX</t>
  </si>
  <si>
    <r>
      <t>Ki</t>
    </r>
    <r>
      <rPr>
        <vertAlign val="subscript"/>
        <sz val="11"/>
        <rFont val="Calibri"/>
        <family val="2"/>
        <scheme val="minor"/>
      </rPr>
      <t>VFA,AMETO,AS</t>
    </r>
  </si>
  <si>
    <t>Decay rate of AMETOs</t>
  </si>
  <si>
    <t>Half-saturation of VFA for AMETOs (AS)</t>
  </si>
  <si>
    <t>Haldane inhibition of VFA for AMETOs (AS)</t>
  </si>
  <si>
    <r>
      <t>Half-saturation of NO</t>
    </r>
    <r>
      <rPr>
        <vertAlign val="subscript"/>
        <sz val="11"/>
        <color rgb="FF000000"/>
        <rFont val="Calibri"/>
        <family val="2"/>
        <scheme val="minor"/>
      </rPr>
      <t>x</t>
    </r>
    <r>
      <rPr>
        <sz val="11"/>
        <color rgb="FF000000"/>
        <rFont val="Calibri"/>
        <family val="2"/>
        <charset val="238"/>
        <scheme val="minor"/>
      </rPr>
      <t xml:space="preserve"> for AMETOs (AS)</t>
    </r>
  </si>
  <si>
    <t>pH inhibition low value for AMETOs</t>
  </si>
  <si>
    <t>pH inhibition high value for AMETOs</t>
  </si>
  <si>
    <t>Decay rate of HMETOs</t>
  </si>
  <si>
    <r>
      <t>Half-saturation of H</t>
    </r>
    <r>
      <rPr>
        <vertAlign val="subscript"/>
        <sz val="11"/>
        <color rgb="FF000000"/>
        <rFont val="Calibri"/>
        <family val="2"/>
        <scheme val="minor"/>
      </rPr>
      <t>2</t>
    </r>
    <r>
      <rPr>
        <sz val="11"/>
        <color rgb="FF000000"/>
        <rFont val="Calibri"/>
        <family val="2"/>
        <charset val="238"/>
        <scheme val="minor"/>
      </rPr>
      <t xml:space="preserve"> for HMETOs (AS)</t>
    </r>
  </si>
  <si>
    <r>
      <t>Half-saturation of NO</t>
    </r>
    <r>
      <rPr>
        <vertAlign val="subscript"/>
        <sz val="11"/>
        <color rgb="FF000000"/>
        <rFont val="Calibri"/>
        <family val="2"/>
        <scheme val="minor"/>
      </rPr>
      <t>x</t>
    </r>
    <r>
      <rPr>
        <sz val="11"/>
        <color rgb="FF000000"/>
        <rFont val="Calibri"/>
        <family val="2"/>
        <charset val="238"/>
        <scheme val="minor"/>
      </rPr>
      <t xml:space="preserve"> for HMETOs (AS)</t>
    </r>
  </si>
  <si>
    <t>pH inhibition low value for HMETOs</t>
  </si>
  <si>
    <t>pH inhibition high value for HMETOs</t>
  </si>
  <si>
    <r>
      <t>Rate of CaCO</t>
    </r>
    <r>
      <rPr>
        <vertAlign val="subscript"/>
        <sz val="11"/>
        <color rgb="FF000000"/>
        <rFont val="Calibri"/>
        <family val="2"/>
        <scheme val="minor"/>
      </rPr>
      <t>3</t>
    </r>
    <r>
      <rPr>
        <sz val="11"/>
        <color rgb="FF000000"/>
        <rFont val="Calibri"/>
        <family val="2"/>
        <charset val="238"/>
        <scheme val="minor"/>
      </rPr>
      <t xml:space="preserve"> precipitation</t>
    </r>
  </si>
  <si>
    <r>
      <t>Rate of CaCO</t>
    </r>
    <r>
      <rPr>
        <vertAlign val="subscript"/>
        <sz val="11"/>
        <color rgb="FF000000"/>
        <rFont val="Calibri"/>
        <family val="2"/>
        <scheme val="minor"/>
      </rPr>
      <t>3</t>
    </r>
    <r>
      <rPr>
        <sz val="11"/>
        <color rgb="FF000000"/>
        <rFont val="Calibri"/>
        <family val="2"/>
        <charset val="238"/>
        <scheme val="minor"/>
      </rPr>
      <t xml:space="preserve"> dissolution</t>
    </r>
  </si>
  <si>
    <t>Rate of struvite precipitation</t>
  </si>
  <si>
    <t>Rate of struvite dissolution</t>
  </si>
  <si>
    <t>Rate of ACP precipitation</t>
  </si>
  <si>
    <t>Rate of ACP dissolution</t>
  </si>
  <si>
    <t>Rate of vivianite precipitation</t>
  </si>
  <si>
    <t>Rate of vivianite dissolution</t>
  </si>
  <si>
    <t>Half-saturation of struvite redissolution</t>
  </si>
  <si>
    <t>Half-saturation of ACP redissolution</t>
  </si>
  <si>
    <r>
      <t>Half-saturation of CaCO</t>
    </r>
    <r>
      <rPr>
        <vertAlign val="subscript"/>
        <sz val="11"/>
        <color rgb="FF000000"/>
        <rFont val="Calibri"/>
        <family val="2"/>
        <scheme val="minor"/>
      </rPr>
      <t>3</t>
    </r>
    <r>
      <rPr>
        <sz val="11"/>
        <color rgb="FF000000"/>
        <rFont val="Calibri"/>
        <family val="2"/>
        <charset val="238"/>
        <scheme val="minor"/>
      </rPr>
      <t xml:space="preserve"> redissolution</t>
    </r>
  </si>
  <si>
    <t>Half-saturation of vivianite redissolution</t>
  </si>
  <si>
    <r>
      <t>q</t>
    </r>
    <r>
      <rPr>
        <vertAlign val="subscript"/>
        <sz val="11"/>
        <color indexed="8"/>
        <rFont val="Calibri"/>
        <family val="2"/>
        <scheme val="minor"/>
      </rPr>
      <t>Fe2,OX</t>
    </r>
  </si>
  <si>
    <r>
      <t>Rate of X</t>
    </r>
    <r>
      <rPr>
        <vertAlign val="subscript"/>
        <sz val="11"/>
        <color rgb="FF000000"/>
        <rFont val="Calibri"/>
        <family val="2"/>
        <scheme val="minor"/>
      </rPr>
      <t>HFO,H</t>
    </r>
    <r>
      <rPr>
        <sz val="11"/>
        <color rgb="FF000000"/>
        <rFont val="Calibri"/>
        <family val="2"/>
        <charset val="238"/>
        <scheme val="minor"/>
      </rPr>
      <t xml:space="preserve"> aging</t>
    </r>
  </si>
  <si>
    <r>
      <t>Rate of X</t>
    </r>
    <r>
      <rPr>
        <vertAlign val="subscript"/>
        <sz val="11"/>
        <color rgb="FF000000"/>
        <rFont val="Calibri"/>
        <family val="2"/>
        <scheme val="minor"/>
      </rPr>
      <t>HFO,L</t>
    </r>
    <r>
      <rPr>
        <sz val="11"/>
        <color rgb="FF000000"/>
        <rFont val="Calibri"/>
        <family val="2"/>
        <charset val="238"/>
        <scheme val="minor"/>
      </rPr>
      <t xml:space="preserve"> aging</t>
    </r>
  </si>
  <si>
    <t>Rate of P binding and coprecipitation on XHFO,H</t>
  </si>
  <si>
    <t>Rate of P binding on XHFO,L</t>
  </si>
  <si>
    <t>Rate of HFO reduction with organics</t>
  </si>
  <si>
    <r>
      <t>Rate of Fe</t>
    </r>
    <r>
      <rPr>
        <vertAlign val="subscript"/>
        <sz val="11"/>
        <color rgb="FF000000"/>
        <rFont val="Calibri"/>
        <family val="2"/>
        <scheme val="minor"/>
      </rPr>
      <t>2</t>
    </r>
    <r>
      <rPr>
        <sz val="11"/>
        <color rgb="FF000000"/>
        <rFont val="Calibri"/>
        <family val="2"/>
        <charset val="238"/>
        <scheme val="minor"/>
      </rPr>
      <t xml:space="preserve"> oxidation</t>
    </r>
  </si>
  <si>
    <r>
      <t>Half-inhibition of PO</t>
    </r>
    <r>
      <rPr>
        <vertAlign val="subscript"/>
        <sz val="11"/>
        <color rgb="FF000000"/>
        <rFont val="Calibri"/>
        <family val="2"/>
        <scheme val="minor"/>
      </rPr>
      <t>4</t>
    </r>
    <r>
      <rPr>
        <sz val="11"/>
        <color rgb="FF000000"/>
        <rFont val="Calibri"/>
        <family val="2"/>
        <charset val="238"/>
        <scheme val="minor"/>
      </rPr>
      <t xml:space="preserve"> in HFO redissolution</t>
    </r>
  </si>
  <si>
    <r>
      <t>Half-saturation of PO</t>
    </r>
    <r>
      <rPr>
        <vertAlign val="subscript"/>
        <sz val="11"/>
        <color rgb="FF000000"/>
        <rFont val="Calibri"/>
        <family val="2"/>
        <scheme val="minor"/>
      </rPr>
      <t>4</t>
    </r>
    <r>
      <rPr>
        <sz val="11"/>
        <color rgb="FF000000"/>
        <rFont val="Calibri"/>
        <family val="2"/>
        <charset val="238"/>
        <scheme val="minor"/>
      </rPr>
      <t xml:space="preserve"> in binding on HFO</t>
    </r>
  </si>
  <si>
    <r>
      <t>Half-saturation of NH</t>
    </r>
    <r>
      <rPr>
        <vertAlign val="subscript"/>
        <sz val="11"/>
        <color rgb="FF000000"/>
        <rFont val="Calibri"/>
        <family val="2"/>
        <scheme val="minor"/>
      </rPr>
      <t>x</t>
    </r>
    <r>
      <rPr>
        <sz val="11"/>
        <color rgb="FF000000"/>
        <rFont val="Calibri"/>
        <family val="2"/>
        <charset val="238"/>
        <scheme val="minor"/>
      </rPr>
      <t xml:space="preserve"> as nutrient for biomasses (AS)</t>
    </r>
  </si>
  <si>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 (AS)</t>
    </r>
  </si>
  <si>
    <r>
      <t>Half-saturation of CO</t>
    </r>
    <r>
      <rPr>
        <vertAlign val="subscript"/>
        <sz val="11"/>
        <color rgb="FF000000"/>
        <rFont val="Calibri"/>
        <family val="2"/>
        <scheme val="minor"/>
      </rPr>
      <t>2</t>
    </r>
    <r>
      <rPr>
        <sz val="11"/>
        <color rgb="FF000000"/>
        <rFont val="Calibri"/>
        <family val="2"/>
        <charset val="238"/>
        <scheme val="minor"/>
      </rPr>
      <t xml:space="preserve"> for biomasses (except NITOs)</t>
    </r>
  </si>
  <si>
    <t>Half-saturation of strong cations (as Na+)</t>
  </si>
  <si>
    <t>Half-saturation of strong anions (as Cl-)</t>
  </si>
  <si>
    <t>Reduction factor for anoxic decay</t>
  </si>
  <si>
    <t>Reduction factor for anaerobic decay</t>
  </si>
  <si>
    <t>Reduction factor for anoxic hydrolysis</t>
  </si>
  <si>
    <t>Reduction factor for anaerobic hydrolysis</t>
  </si>
  <si>
    <t>Toxicity factor of anaerobes under anoxic conditions</t>
  </si>
  <si>
    <t>Toxicity factor of anaerobes under aerobic conditions</t>
  </si>
  <si>
    <t>Toxicity factor of aerobes under anaerobic conditions (maximum)</t>
  </si>
  <si>
    <t>pH inhibition low value</t>
  </si>
  <si>
    <t>pH inhibition high value</t>
  </si>
  <si>
    <r>
      <t>Ki</t>
    </r>
    <r>
      <rPr>
        <vertAlign val="subscript"/>
        <sz val="11"/>
        <color indexed="8"/>
        <rFont val="Calibri"/>
        <family val="2"/>
        <scheme val="minor"/>
      </rPr>
      <t>NHx,ASSIM,AS</t>
    </r>
  </si>
  <si>
    <t>Rate of flocculation</t>
  </si>
  <si>
    <t>Half-saturation of particulates in hydrolysis (AS)</t>
  </si>
  <si>
    <t>Rate of ammonification</t>
  </si>
  <si>
    <t>Rate of soluble biodegradable organic P conversion</t>
  </si>
  <si>
    <t>Rate of endogenous decay products conversion</t>
  </si>
  <si>
    <t>Rate of assimilative nutrient production</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</si>
  <si>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 (AS)</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</si>
  <si>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 (AS)</t>
    </r>
  </si>
  <si>
    <r>
      <t>θ</t>
    </r>
    <r>
      <rPr>
        <vertAlign val="subscript"/>
        <sz val="11"/>
        <color indexed="8"/>
        <rFont val="Calibri"/>
        <family val="2"/>
        <scheme val="minor"/>
      </rPr>
      <t>FERM,PAO</t>
    </r>
  </si>
  <si>
    <t>Arrhenius coefficient for fermentation (PAO)</t>
  </si>
  <si>
    <t>Diffusion factor for half-saturation coefficients</t>
  </si>
  <si>
    <t>Yield of OHOs on VFA under aerobic conditions</t>
  </si>
  <si>
    <t>Yield of OHOs on readily biodegradable substrate under aerobic conditions</t>
  </si>
  <si>
    <t>Yield of OHOs on readily biodegradable substrate under anaerobic conditions</t>
  </si>
  <si>
    <t>Yield of H2 production in fermentation with high VFA concentration (OHO)</t>
  </si>
  <si>
    <t>Yield of H2 production in fermentation with low VFA concentration (OHO)</t>
  </si>
  <si>
    <t>Yield of OHOs on methanol under aerobic conditions</t>
  </si>
  <si>
    <t>Yield of MEOLOs on methanol</t>
  </si>
  <si>
    <t>Ratio of P released per VFA stored</t>
  </si>
  <si>
    <t>Yield of AMETOs on VFA</t>
  </si>
  <si>
    <r>
      <t>Yield of HMETOs on H</t>
    </r>
    <r>
      <rPr>
        <vertAlign val="subscript"/>
        <sz val="11"/>
        <color rgb="FF000000"/>
        <rFont val="Calibri"/>
        <family val="2"/>
        <scheme val="minor"/>
      </rPr>
      <t>2</t>
    </r>
  </si>
  <si>
    <r>
      <t>Yield of AOBs on NH</t>
    </r>
    <r>
      <rPr>
        <vertAlign val="subscript"/>
        <sz val="11"/>
        <color rgb="FF000000"/>
        <rFont val="Calibri"/>
        <family val="2"/>
        <scheme val="minor"/>
      </rPr>
      <t>x</t>
    </r>
  </si>
  <si>
    <r>
      <t>Yield of NOBs on NO</t>
    </r>
    <r>
      <rPr>
        <vertAlign val="subscript"/>
        <sz val="11"/>
        <color rgb="FF000000"/>
        <rFont val="Calibri"/>
        <family val="2"/>
        <scheme val="minor"/>
      </rPr>
      <t>2</t>
    </r>
  </si>
  <si>
    <r>
      <t>Yield of AMX on NO</t>
    </r>
    <r>
      <rPr>
        <vertAlign val="subscript"/>
        <sz val="11"/>
        <color rgb="FF000000"/>
        <rFont val="Calibri"/>
        <family val="2"/>
        <scheme val="minor"/>
      </rPr>
      <t>2</t>
    </r>
  </si>
  <si>
    <r>
      <t>Yield of AMX on NO</t>
    </r>
    <r>
      <rPr>
        <vertAlign val="subscript"/>
        <sz val="11"/>
        <color rgb="FF000000"/>
        <rFont val="Calibri"/>
        <family val="2"/>
        <scheme val="minor"/>
      </rPr>
      <t>3</t>
    </r>
  </si>
  <si>
    <r>
      <t>i</t>
    </r>
    <r>
      <rPr>
        <vertAlign val="subscript"/>
        <sz val="11"/>
        <rFont val="Calibri"/>
        <family val="2"/>
        <scheme val="minor"/>
      </rPr>
      <t>CV,XB</t>
    </r>
  </si>
  <si>
    <r>
      <t>i</t>
    </r>
    <r>
      <rPr>
        <vertAlign val="subscript"/>
        <sz val="11"/>
        <rFont val="Calibri"/>
        <family val="2"/>
        <scheme val="minor"/>
      </rPr>
      <t>CV,XU</t>
    </r>
  </si>
  <si>
    <r>
      <t>i</t>
    </r>
    <r>
      <rPr>
        <vertAlign val="subscript"/>
        <sz val="11"/>
        <rFont val="Calibri"/>
        <family val="2"/>
        <scheme val="minor"/>
      </rPr>
      <t>CV,XE</t>
    </r>
  </si>
  <si>
    <t>Fraction of endogenous products produced in biomass decay</t>
  </si>
  <si>
    <t>N content of colloidal biodegradable substrate</t>
  </si>
  <si>
    <t>N content of colloidal unbiodegradable organics</t>
  </si>
  <si>
    <t>N content of soluble unbiodegradable organics</t>
  </si>
  <si>
    <t>N content of struvite</t>
  </si>
  <si>
    <t>P content of colloidal biodegradable substrate</t>
  </si>
  <si>
    <t>P content of colloidal unbiodegradable organics</t>
  </si>
  <si>
    <t>P content of soluble unbiodegradable organics</t>
  </si>
  <si>
    <t>P content of struvite</t>
  </si>
  <si>
    <t>P content of ACP</t>
  </si>
  <si>
    <t>P content of vivianite</t>
  </si>
  <si>
    <t>COD of biomass in volatile solids</t>
  </si>
  <si>
    <t>COD of biodegradable substrate in volatile solids</t>
  </si>
  <si>
    <t>COD of particulate unbiodegradable organics in volatile solids</t>
  </si>
  <si>
    <t>COD of VFA in volatile solids</t>
  </si>
  <si>
    <t>COD of readily biodegradable substrate in volatile solids</t>
  </si>
  <si>
    <t>COD of soluble unbiodegradable organics in volatile solids</t>
  </si>
  <si>
    <t>COD of colloidal biodegradable substrate in volatile solids</t>
  </si>
  <si>
    <t>COD of colloidal unbiodegradable organics in volatile solids</t>
  </si>
  <si>
    <t>COD of PHA in volatile solids</t>
  </si>
  <si>
    <t>COD of endogenous products in volatile solids</t>
  </si>
  <si>
    <t>Inorganic carbon content of biomass</t>
  </si>
  <si>
    <r>
      <t>Inorganic carbon content of S</t>
    </r>
    <r>
      <rPr>
        <vertAlign val="subscript"/>
        <sz val="11"/>
        <color rgb="FF000000"/>
        <rFont val="Calibri"/>
        <family val="2"/>
        <scheme val="minor"/>
      </rPr>
      <t>B</t>
    </r>
    <r>
      <rPr>
        <sz val="11"/>
        <color rgb="FF000000"/>
        <rFont val="Calibri"/>
        <family val="2"/>
        <charset val="238"/>
        <scheme val="minor"/>
      </rPr>
      <t xml:space="preserve"> and S</t>
    </r>
    <r>
      <rPr>
        <vertAlign val="subscript"/>
        <sz val="11"/>
        <color rgb="FF000000"/>
        <rFont val="Calibri"/>
        <family val="2"/>
        <scheme val="minor"/>
      </rPr>
      <t>U</t>
    </r>
  </si>
  <si>
    <t>Inorganic carbon content of methanol</t>
  </si>
  <si>
    <t>Inorganic carbon content of CH4</t>
  </si>
  <si>
    <t>Inorganic carbon content of VFA</t>
  </si>
  <si>
    <t>Inorganic carbon content of PHA</t>
  </si>
  <si>
    <t>Inorganic content of biomass</t>
  </si>
  <si>
    <t>Calcium content of PP</t>
  </si>
  <si>
    <t>Magnesium content of PP</t>
  </si>
  <si>
    <t>Potassium content of PP</t>
  </si>
  <si>
    <t>Fraction of Na in NaCl</t>
  </si>
  <si>
    <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</si>
  <si>
    <r>
      <t>ratio</t>
    </r>
    <r>
      <rPr>
        <vertAlign val="subscript"/>
        <sz val="11"/>
        <rFont val="Calibri"/>
        <family val="2"/>
        <scheme val="minor"/>
      </rPr>
      <t>VSS,TSS</t>
    </r>
  </si>
  <si>
    <r>
      <t>Correction factor for mass transfer of N</t>
    </r>
    <r>
      <rPr>
        <vertAlign val="subscript"/>
        <sz val="11"/>
        <color rgb="FF000000"/>
        <rFont val="Calibri"/>
        <family val="2"/>
        <scheme val="minor"/>
      </rPr>
      <t>2</t>
    </r>
  </si>
  <si>
    <r>
      <t>Correction factor for mass transfer of CO</t>
    </r>
    <r>
      <rPr>
        <vertAlign val="subscript"/>
        <sz val="11"/>
        <color rgb="FF000000"/>
        <rFont val="Calibri"/>
        <family val="2"/>
        <scheme val="minor"/>
      </rPr>
      <t>2</t>
    </r>
  </si>
  <si>
    <r>
      <t>Correction factor for mass transfer of CH</t>
    </r>
    <r>
      <rPr>
        <vertAlign val="subscript"/>
        <sz val="11"/>
        <color rgb="FF000000"/>
        <rFont val="Calibri"/>
        <family val="2"/>
        <scheme val="minor"/>
      </rPr>
      <t>4</t>
    </r>
  </si>
  <si>
    <r>
      <t>Correction factor for mass transfer of H</t>
    </r>
    <r>
      <rPr>
        <vertAlign val="subscript"/>
        <sz val="11"/>
        <color rgb="FF000000"/>
        <rFont val="Calibri"/>
        <family val="2"/>
        <scheme val="minor"/>
      </rPr>
      <t>2</t>
    </r>
  </si>
  <si>
    <r>
      <t>Correction factor for mass transfer of NH</t>
    </r>
    <r>
      <rPr>
        <vertAlign val="subscript"/>
        <sz val="11"/>
        <color rgb="FF000000"/>
        <rFont val="Calibri"/>
        <family val="2"/>
        <scheme val="minor"/>
      </rPr>
      <t>3</t>
    </r>
  </si>
  <si>
    <t>COD of particulates</t>
  </si>
  <si>
    <t>Volatile suspended solids of biomasses</t>
  </si>
  <si>
    <t>Volatile ultimately degradable solids</t>
  </si>
  <si>
    <t>Total inorganic suspended solids (ISS)</t>
  </si>
  <si>
    <t>Total suspended solids (TSS)</t>
  </si>
  <si>
    <t>Filtered ultimate biochemical oxygen demand</t>
  </si>
  <si>
    <t>Filtered biochemical oxygen demand (5 days)</t>
  </si>
  <si>
    <t>Filtered chemical oxygen demand</t>
  </si>
  <si>
    <r>
      <t>Nitrate and nitrite (NO</t>
    </r>
    <r>
      <rPr>
        <vertAlign val="subscript"/>
        <sz val="11"/>
        <color rgb="FF000000"/>
        <rFont val="Calibri"/>
        <family val="2"/>
        <scheme val="minor"/>
      </rPr>
      <t>x</t>
    </r>
    <r>
      <rPr>
        <sz val="11"/>
        <color rgb="FF000000"/>
        <rFont val="Calibri"/>
        <family val="2"/>
        <charset val="238"/>
        <scheme val="minor"/>
      </rPr>
      <t>)</t>
    </r>
  </si>
  <si>
    <t>Total phosphorus in HFOs</t>
  </si>
  <si>
    <t>Rate expression of struvite precipitation (driving force)</t>
  </si>
  <si>
    <r>
      <t>If(PrecipDrivingForce</t>
    </r>
    <r>
      <rPr>
        <vertAlign val="subscript"/>
        <sz val="11"/>
        <color theme="1"/>
        <rFont val="Calibri"/>
        <family val="2"/>
        <scheme val="minor"/>
      </rPr>
      <t>STR</t>
    </r>
    <r>
      <rPr>
        <sz val="11"/>
        <color theme="1"/>
        <rFont val="Calibri"/>
        <family val="2"/>
        <scheme val="minor"/>
      </rPr>
      <t>&gt;0;q</t>
    </r>
    <r>
      <rPr>
        <vertAlign val="subscript"/>
        <sz val="11"/>
        <color theme="1"/>
        <rFont val="Calibri"/>
        <family val="2"/>
        <scheme val="minor"/>
      </rPr>
      <t>STR,PREC</t>
    </r>
    <r>
      <rPr>
        <sz val="11"/>
        <color theme="1"/>
        <rFont val="Calibri"/>
        <family val="2"/>
        <scheme val="minor"/>
      </rPr>
      <t>;q</t>
    </r>
    <r>
      <rPr>
        <vertAlign val="subscript"/>
        <sz val="11"/>
        <color theme="1"/>
        <rFont val="Calibri"/>
        <family val="2"/>
        <scheme val="minor"/>
      </rPr>
      <t>STR,DISS</t>
    </r>
    <r>
      <rPr>
        <sz val="11"/>
        <color theme="1"/>
        <rFont val="Calibri"/>
        <family val="2"/>
        <scheme val="minor"/>
      </rPr>
      <t>*Msat</t>
    </r>
    <r>
      <rPr>
        <vertAlign val="subscript"/>
        <sz val="11"/>
        <color theme="1"/>
        <rFont val="Calibri"/>
        <family val="2"/>
        <scheme val="minor"/>
      </rPr>
      <t>XSTR,KSTR,DISS</t>
    </r>
    <r>
      <rPr>
        <sz val="11"/>
        <color theme="1"/>
        <rFont val="Calibri"/>
        <family val="2"/>
        <scheme val="minor"/>
      </rPr>
      <t>)</t>
    </r>
  </si>
  <si>
    <t>Rate expression of ACP precipitation (driving force)</t>
  </si>
  <si>
    <r>
      <t>If(PrecipDrivingForce</t>
    </r>
    <r>
      <rPr>
        <vertAlign val="subscript"/>
        <sz val="11"/>
        <color theme="1"/>
        <rFont val="Calibri"/>
        <family val="2"/>
        <scheme val="minor"/>
      </rPr>
      <t>ACP</t>
    </r>
    <r>
      <rPr>
        <sz val="11"/>
        <color theme="1"/>
        <rFont val="Calibri"/>
        <family val="2"/>
        <scheme val="minor"/>
      </rPr>
      <t>&gt;0;q</t>
    </r>
    <r>
      <rPr>
        <vertAlign val="subscript"/>
        <sz val="11"/>
        <color theme="1"/>
        <rFont val="Calibri"/>
        <family val="2"/>
        <scheme val="minor"/>
      </rPr>
      <t>ACP,PREC</t>
    </r>
    <r>
      <rPr>
        <sz val="11"/>
        <color theme="1"/>
        <rFont val="Calibri"/>
        <family val="2"/>
        <scheme val="minor"/>
      </rPr>
      <t>;-q</t>
    </r>
    <r>
      <rPr>
        <vertAlign val="subscript"/>
        <sz val="11"/>
        <color theme="1"/>
        <rFont val="Calibri"/>
        <family val="2"/>
        <scheme val="minor"/>
      </rPr>
      <t>ACP,DISS</t>
    </r>
    <r>
      <rPr>
        <sz val="11"/>
        <color theme="1"/>
        <rFont val="Calibri"/>
        <family val="2"/>
        <scheme val="minor"/>
      </rPr>
      <t>*Msat</t>
    </r>
    <r>
      <rPr>
        <vertAlign val="subscript"/>
        <sz val="11"/>
        <color theme="1"/>
        <rFont val="Calibri"/>
        <family val="2"/>
        <scheme val="minor"/>
      </rPr>
      <t>XACP,KACP,DISS</t>
    </r>
    <r>
      <rPr>
        <sz val="11"/>
        <color theme="1"/>
        <rFont val="Calibri"/>
        <family val="2"/>
        <scheme val="minor"/>
      </rPr>
      <t>)</t>
    </r>
  </si>
  <si>
    <r>
      <t>Rate expression of CaCO</t>
    </r>
    <r>
      <rPr>
        <vertAlign val="subscript"/>
        <sz val="11"/>
        <color rgb="FF000000"/>
        <rFont val="Calibri"/>
        <family val="2"/>
        <scheme val="minor"/>
      </rPr>
      <t>3</t>
    </r>
    <r>
      <rPr>
        <sz val="11"/>
        <color rgb="FF000000"/>
        <rFont val="Calibri"/>
        <family val="2"/>
        <charset val="238"/>
        <scheme val="minor"/>
      </rPr>
      <t xml:space="preserve"> precipitation (driving force)</t>
    </r>
  </si>
  <si>
    <r>
      <t>If(PrecipDrivingForce</t>
    </r>
    <r>
      <rPr>
        <vertAlign val="subscript"/>
        <sz val="11"/>
        <color theme="1"/>
        <rFont val="Calibri"/>
        <family val="2"/>
        <scheme val="minor"/>
      </rPr>
      <t>CaCO3</t>
    </r>
    <r>
      <rPr>
        <sz val="11"/>
        <color theme="1"/>
        <rFont val="Calibri"/>
        <family val="2"/>
        <scheme val="minor"/>
      </rPr>
      <t>&gt;0;q</t>
    </r>
    <r>
      <rPr>
        <vertAlign val="subscript"/>
        <sz val="11"/>
        <color theme="1"/>
        <rFont val="Calibri"/>
        <family val="2"/>
        <scheme val="minor"/>
      </rPr>
      <t>CaCO3,PREC</t>
    </r>
    <r>
      <rPr>
        <sz val="11"/>
        <color theme="1"/>
        <rFont val="Calibri"/>
        <family val="2"/>
        <scheme val="minor"/>
      </rPr>
      <t>;-q</t>
    </r>
    <r>
      <rPr>
        <vertAlign val="subscript"/>
        <sz val="11"/>
        <color theme="1"/>
        <rFont val="Calibri"/>
        <family val="2"/>
        <scheme val="minor"/>
      </rPr>
      <t>CaCO3,DISS</t>
    </r>
    <r>
      <rPr>
        <sz val="11"/>
        <color theme="1"/>
        <rFont val="Calibri"/>
        <family val="2"/>
        <scheme val="minor"/>
      </rPr>
      <t>*Msat</t>
    </r>
    <r>
      <rPr>
        <vertAlign val="subscript"/>
        <sz val="11"/>
        <color theme="1"/>
        <rFont val="Calibri"/>
        <family val="2"/>
        <scheme val="minor"/>
      </rPr>
      <t>XCaCO3,KCaCO3,DISS</t>
    </r>
    <r>
      <rPr>
        <sz val="11"/>
        <color theme="1"/>
        <rFont val="Calibri"/>
        <family val="2"/>
        <scheme val="minor"/>
      </rPr>
      <t>)</t>
    </r>
  </si>
  <si>
    <t>Rate expression of vivianite precipitation (driving force)</t>
  </si>
  <si>
    <r>
      <t>If(PrecipDrivingForce</t>
    </r>
    <r>
      <rPr>
        <vertAlign val="subscript"/>
        <sz val="11"/>
        <color theme="1"/>
        <rFont val="Calibri"/>
        <family val="2"/>
        <scheme val="minor"/>
      </rPr>
      <t>Vivi</t>
    </r>
    <r>
      <rPr>
        <sz val="11"/>
        <color theme="1"/>
        <rFont val="Calibri"/>
        <family val="2"/>
        <scheme val="minor"/>
      </rPr>
      <t>&gt;0;q</t>
    </r>
    <r>
      <rPr>
        <vertAlign val="subscript"/>
        <sz val="11"/>
        <color theme="1"/>
        <rFont val="Calibri"/>
        <family val="2"/>
        <scheme val="minor"/>
      </rPr>
      <t>Vivi,PREC</t>
    </r>
    <r>
      <rPr>
        <sz val="11"/>
        <color theme="1"/>
        <rFont val="Calibri"/>
        <family val="2"/>
        <scheme val="minor"/>
      </rPr>
      <t>;-q</t>
    </r>
    <r>
      <rPr>
        <vertAlign val="subscript"/>
        <sz val="11"/>
        <color theme="1"/>
        <rFont val="Calibri"/>
        <family val="2"/>
        <scheme val="minor"/>
      </rPr>
      <t>Vivi,DISS</t>
    </r>
    <r>
      <rPr>
        <sz val="11"/>
        <color theme="1"/>
        <rFont val="Calibri"/>
        <family val="2"/>
        <scheme val="minor"/>
      </rPr>
      <t>*Msat</t>
    </r>
    <r>
      <rPr>
        <vertAlign val="subscript"/>
        <sz val="11"/>
        <color theme="1"/>
        <rFont val="Calibri"/>
        <family val="2"/>
        <scheme val="minor"/>
      </rPr>
      <t>XVivi,KVivi,DISS</t>
    </r>
    <r>
      <rPr>
        <sz val="11"/>
        <color theme="1"/>
        <rFont val="Calibri"/>
        <family val="2"/>
        <scheme val="minor"/>
      </rPr>
      <t>)</t>
    </r>
  </si>
  <si>
    <t>N3UR</t>
  </si>
  <si>
    <t>N2UR</t>
  </si>
  <si>
    <t>Carbonaceous oxygen uptake rate (COUR)</t>
  </si>
  <si>
    <t>Nitrification oxygen uptake rate (NOUR)</t>
  </si>
  <si>
    <t>Toxicity factor of aerobes under anaerobic conditions (in digester)</t>
  </si>
  <si>
    <t>Toxicity factor of aerobes under anaerobic conditions (not in digester)</t>
  </si>
  <si>
    <r>
      <t>Half-saturation of NH</t>
    </r>
    <r>
      <rPr>
        <vertAlign val="subscript"/>
        <sz val="11"/>
        <color rgb="FF000000"/>
        <rFont val="Calibri"/>
        <family val="2"/>
        <scheme val="minor"/>
      </rPr>
      <t>x</t>
    </r>
    <r>
      <rPr>
        <sz val="11"/>
        <color rgb="FF000000"/>
        <rFont val="Calibri"/>
        <family val="2"/>
        <charset val="238"/>
        <scheme val="minor"/>
      </rPr>
      <t xml:space="preserve"> for AOBs</t>
    </r>
  </si>
  <si>
    <t>Half-saturation of bicarbonate for AOBs</t>
  </si>
  <si>
    <r>
      <t>Half-saturation of O</t>
    </r>
    <r>
      <rPr>
        <vertAlign val="subscript"/>
        <sz val="11"/>
        <color rgb="FF000000"/>
        <rFont val="Calibri"/>
        <family val="2"/>
        <scheme val="minor"/>
      </rPr>
      <t>2</t>
    </r>
    <r>
      <rPr>
        <sz val="11"/>
        <color rgb="FF000000"/>
        <rFont val="Calibri"/>
        <family val="2"/>
        <charset val="238"/>
        <scheme val="minor"/>
      </rPr>
      <t xml:space="preserve"> for AOBs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</si>
  <si>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AOBs</t>
    </r>
  </si>
  <si>
    <r>
      <t>Ki</t>
    </r>
    <r>
      <rPr>
        <vertAlign val="subscript"/>
        <sz val="11"/>
        <rFont val="Calibri"/>
        <family val="2"/>
        <scheme val="minor"/>
      </rPr>
      <t>NH3,NOB,pH</t>
    </r>
  </si>
  <si>
    <r>
      <t>Half-inhibition of NH</t>
    </r>
    <r>
      <rPr>
        <vertAlign val="subscript"/>
        <sz val="11"/>
        <color rgb="FF000000"/>
        <rFont val="Calibri"/>
        <family val="2"/>
        <scheme val="minor"/>
      </rPr>
      <t>3</t>
    </r>
    <r>
      <rPr>
        <sz val="11"/>
        <color rgb="FF000000"/>
        <rFont val="Calibri"/>
        <family val="2"/>
        <charset val="238"/>
        <scheme val="minor"/>
      </rPr>
      <t xml:space="preserve"> for NOBs</t>
    </r>
  </si>
  <si>
    <r>
      <t>Ki</t>
    </r>
    <r>
      <rPr>
        <vertAlign val="subscript"/>
        <sz val="11"/>
        <rFont val="Calibri"/>
        <family val="2"/>
      </rPr>
      <t>NH3,NOB,pH,AS</t>
    </r>
  </si>
  <si>
    <r>
      <t>Half-saturation of NO</t>
    </r>
    <r>
      <rPr>
        <vertAlign val="subscript"/>
        <sz val="11"/>
        <color rgb="FF000000"/>
        <rFont val="Calibri"/>
        <family val="2"/>
        <scheme val="minor"/>
      </rPr>
      <t>2</t>
    </r>
    <r>
      <rPr>
        <sz val="11"/>
        <color rgb="FF000000"/>
        <rFont val="Calibri"/>
        <family val="2"/>
        <charset val="238"/>
        <scheme val="minor"/>
      </rPr>
      <t xml:space="preserve"> for NOBs</t>
    </r>
  </si>
  <si>
    <t>Half-saturation of bicarbonate for NOBs</t>
  </si>
  <si>
    <r>
      <t>Half-saturation of O</t>
    </r>
    <r>
      <rPr>
        <vertAlign val="subscript"/>
        <sz val="11"/>
        <color rgb="FF000000"/>
        <rFont val="Calibri"/>
        <family val="2"/>
        <scheme val="minor"/>
      </rPr>
      <t>2</t>
    </r>
    <r>
      <rPr>
        <sz val="11"/>
        <color rgb="FF000000"/>
        <rFont val="Calibri"/>
        <family val="2"/>
        <charset val="238"/>
        <scheme val="minor"/>
      </rPr>
      <t xml:space="preserve"> for NOBs</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</si>
  <si>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NOBs</t>
    </r>
  </si>
  <si>
    <t>Half-saturations for nitrite oxidizers (NOB)</t>
  </si>
  <si>
    <t>Half-saturations for anammox organisms (AMX)</t>
  </si>
  <si>
    <t>Half-saturations for ordinary heterotrophic organisms (OHO)</t>
  </si>
  <si>
    <t>Half-saturations for anoxic methanol utilizers (MEOLO)</t>
  </si>
  <si>
    <t>Half-saturation of readily biodegradable substrate for OHOs</t>
  </si>
  <si>
    <t>Half-saturation of VFA for OHOs</t>
  </si>
  <si>
    <r>
      <t>Half-saturation of O</t>
    </r>
    <r>
      <rPr>
        <vertAlign val="subscript"/>
        <sz val="11"/>
        <color rgb="FF000000"/>
        <rFont val="Calibri"/>
        <family val="2"/>
        <scheme val="minor"/>
      </rPr>
      <t>2</t>
    </r>
    <r>
      <rPr>
        <sz val="11"/>
        <color rgb="FF000000"/>
        <rFont val="Calibri"/>
        <family val="2"/>
        <charset val="238"/>
        <scheme val="minor"/>
      </rPr>
      <t xml:space="preserve"> for OHOs</t>
    </r>
  </si>
  <si>
    <t>Half-saturation of methanol for OHOs</t>
  </si>
  <si>
    <r>
      <t>Half-saturation of NO</t>
    </r>
    <r>
      <rPr>
        <vertAlign val="subscript"/>
        <sz val="11"/>
        <color rgb="FF000000"/>
        <rFont val="Calibri"/>
        <family val="2"/>
        <scheme val="minor"/>
      </rPr>
      <t>2</t>
    </r>
    <r>
      <rPr>
        <sz val="11"/>
        <color rgb="FF000000"/>
        <rFont val="Calibri"/>
        <family val="2"/>
        <charset val="238"/>
        <scheme val="minor"/>
      </rPr>
      <t xml:space="preserve"> for OHOs</t>
    </r>
  </si>
  <si>
    <r>
      <t>Half-saturation of NO</t>
    </r>
    <r>
      <rPr>
        <vertAlign val="subscript"/>
        <sz val="11"/>
        <color rgb="FF000000"/>
        <rFont val="Calibri"/>
        <family val="2"/>
        <scheme val="minor"/>
      </rPr>
      <t>3</t>
    </r>
    <r>
      <rPr>
        <sz val="11"/>
        <color rgb="FF000000"/>
        <rFont val="Calibri"/>
        <family val="2"/>
        <charset val="238"/>
        <scheme val="minor"/>
      </rPr>
      <t xml:space="preserve"> for OHOs</t>
    </r>
  </si>
  <si>
    <t>Half-saturation of readily biodegradable substrate in fermentation by OHOs</t>
  </si>
  <si>
    <t>Half-saturation of VFA in fermentation of OHOs (AS)</t>
  </si>
  <si>
    <t>Half-saturation of VFA in fermentation of OHOs</t>
  </si>
  <si>
    <t>Half-saturation of methanol for MEOLOs</t>
  </si>
  <si>
    <r>
      <t>Half-saturation of NO</t>
    </r>
    <r>
      <rPr>
        <vertAlign val="subscript"/>
        <sz val="11"/>
        <color rgb="FF000000"/>
        <rFont val="Calibri"/>
        <family val="2"/>
        <scheme val="minor"/>
      </rPr>
      <t>2</t>
    </r>
    <r>
      <rPr>
        <sz val="11"/>
        <color rgb="FF000000"/>
        <rFont val="Calibri"/>
        <family val="2"/>
        <charset val="238"/>
        <scheme val="minor"/>
      </rPr>
      <t xml:space="preserve"> for MEOLOs</t>
    </r>
  </si>
  <si>
    <r>
      <t>Half-saturation of NO</t>
    </r>
    <r>
      <rPr>
        <vertAlign val="subscript"/>
        <sz val="11"/>
        <color rgb="FF000000"/>
        <rFont val="Calibri"/>
        <family val="2"/>
        <scheme val="minor"/>
      </rPr>
      <t>3</t>
    </r>
    <r>
      <rPr>
        <sz val="11"/>
        <color rgb="FF000000"/>
        <rFont val="Calibri"/>
        <family val="2"/>
        <charset val="238"/>
        <scheme val="minor"/>
      </rPr>
      <t xml:space="preserve"> for MEOLOs</t>
    </r>
  </si>
  <si>
    <t>Half-saturation of PP for PAOs</t>
  </si>
  <si>
    <r>
      <t>Half-saturation of PO</t>
    </r>
    <r>
      <rPr>
        <vertAlign val="subscript"/>
        <sz val="11"/>
        <color rgb="FF000000"/>
        <rFont val="Calibri"/>
        <family val="2"/>
        <scheme val="minor"/>
      </rPr>
      <t>4</t>
    </r>
    <r>
      <rPr>
        <sz val="11"/>
        <color rgb="FF000000"/>
        <rFont val="Calibri"/>
        <family val="2"/>
        <charset val="238"/>
        <scheme val="minor"/>
      </rPr>
      <t xml:space="preserve"> for PAOs</t>
    </r>
  </si>
  <si>
    <t>Half-saturation of Mg (counter-ion in PP storage) for PAOs</t>
  </si>
  <si>
    <t>Half-saturation of K (counter-ion in PP storage) for PAOs</t>
  </si>
  <si>
    <t>Half-saturation of Ca (counter-ion in PP storage) for PAOs</t>
  </si>
  <si>
    <r>
      <t>Half-inhibition of PO</t>
    </r>
    <r>
      <rPr>
        <vertAlign val="subscript"/>
        <sz val="11"/>
        <color rgb="FF000000"/>
        <rFont val="Calibri"/>
        <family val="2"/>
        <scheme val="minor"/>
      </rPr>
      <t>4</t>
    </r>
    <r>
      <rPr>
        <sz val="11"/>
        <color rgb="FF000000"/>
        <rFont val="Calibri"/>
        <family val="2"/>
        <charset val="238"/>
        <scheme val="minor"/>
      </rPr>
      <t xml:space="preserve"> for PP use as nutrient for PAOs</t>
    </r>
  </si>
  <si>
    <r>
      <t>Ki</t>
    </r>
    <r>
      <rPr>
        <vertAlign val="subscript"/>
        <sz val="11"/>
        <rFont val="Calibri"/>
        <family val="2"/>
        <scheme val="minor"/>
      </rPr>
      <t>PP,PAO,max</t>
    </r>
  </si>
  <si>
    <r>
      <t>Ki</t>
    </r>
    <r>
      <rPr>
        <vertAlign val="subscript"/>
        <sz val="11"/>
        <rFont val="Calibri"/>
        <family val="2"/>
        <scheme val="minor"/>
      </rPr>
      <t>PHA,PAO,max</t>
    </r>
  </si>
  <si>
    <r>
      <t>Ki</t>
    </r>
    <r>
      <rPr>
        <vertAlign val="subscript"/>
        <sz val="11"/>
        <rFont val="Calibri"/>
        <family val="2"/>
        <scheme val="minor"/>
      </rPr>
      <t>PO4,lim</t>
    </r>
  </si>
  <si>
    <t>Half-saturations for acidoclastic methanogens (AMETO)</t>
  </si>
  <si>
    <t>Half-saturations for hydrogenotrophic methanogens (HMETO)</t>
  </si>
  <si>
    <t>Half-saturation of VFA for AMETOs</t>
  </si>
  <si>
    <t>Haldane inhibition of VFA for AMETOs</t>
  </si>
  <si>
    <r>
      <t>Half-saturation of NO</t>
    </r>
    <r>
      <rPr>
        <vertAlign val="subscript"/>
        <sz val="11"/>
        <color rgb="FF000000"/>
        <rFont val="Calibri"/>
        <family val="2"/>
        <scheme val="minor"/>
      </rPr>
      <t>x</t>
    </r>
    <r>
      <rPr>
        <sz val="11"/>
        <color rgb="FF000000"/>
        <rFont val="Calibri"/>
        <family val="2"/>
        <charset val="238"/>
        <scheme val="minor"/>
      </rPr>
      <t xml:space="preserve"> for AMETOs</t>
    </r>
  </si>
  <si>
    <r>
      <t>Ki</t>
    </r>
    <r>
      <rPr>
        <vertAlign val="subscript"/>
        <sz val="11"/>
        <rFont val="Calibri"/>
        <family val="2"/>
        <scheme val="minor"/>
      </rPr>
      <t>VFA,AMETO</t>
    </r>
  </si>
  <si>
    <r>
      <t>Half-saturation of H</t>
    </r>
    <r>
      <rPr>
        <vertAlign val="subscript"/>
        <sz val="11"/>
        <color rgb="FF000000"/>
        <rFont val="Calibri"/>
        <family val="2"/>
        <scheme val="minor"/>
      </rPr>
      <t>2</t>
    </r>
    <r>
      <rPr>
        <sz val="11"/>
        <color rgb="FF000000"/>
        <rFont val="Calibri"/>
        <family val="2"/>
        <charset val="238"/>
        <scheme val="minor"/>
      </rPr>
      <t xml:space="preserve"> for HMETOs</t>
    </r>
  </si>
  <si>
    <r>
      <t>Half-saturation of NO</t>
    </r>
    <r>
      <rPr>
        <vertAlign val="subscript"/>
        <sz val="11"/>
        <color rgb="FF000000"/>
        <rFont val="Calibri"/>
        <family val="2"/>
        <scheme val="minor"/>
      </rPr>
      <t>x</t>
    </r>
    <r>
      <rPr>
        <sz val="11"/>
        <color rgb="FF000000"/>
        <rFont val="Calibri"/>
        <family val="2"/>
        <charset val="238"/>
        <scheme val="minor"/>
      </rPr>
      <t xml:space="preserve"> for HMETOs</t>
    </r>
  </si>
  <si>
    <r>
      <t>Ki</t>
    </r>
    <r>
      <rPr>
        <vertAlign val="subscript"/>
        <sz val="11"/>
        <rFont val="Calibri"/>
        <family val="2"/>
        <scheme val="minor"/>
      </rPr>
      <t>NHx,ASSIM</t>
    </r>
  </si>
  <si>
    <r>
      <t>Ki</t>
    </r>
    <r>
      <rPr>
        <vertAlign val="subscript"/>
        <sz val="11"/>
        <rFont val="Calibri"/>
        <family val="2"/>
        <scheme val="minor"/>
      </rPr>
      <t>NHx,ASSIM,AS</t>
    </r>
  </si>
  <si>
    <t>Half-saturation of NHx as nutrient for biomasses</t>
  </si>
  <si>
    <r>
      <t>Half-saturation of PO</t>
    </r>
    <r>
      <rPr>
        <vertAlign val="subscript"/>
        <sz val="11"/>
        <color rgb="FF000000"/>
        <rFont val="Calibri"/>
        <family val="2"/>
        <scheme val="minor"/>
      </rPr>
      <t>4</t>
    </r>
    <r>
      <rPr>
        <sz val="11"/>
        <color rgb="FF000000"/>
        <rFont val="Calibri"/>
        <family val="2"/>
        <charset val="238"/>
        <scheme val="minor"/>
      </rPr>
      <t xml:space="preserve"> as nutrient for biomasses</t>
    </r>
  </si>
  <si>
    <t>Half-saturation of particulates in hydrolysis</t>
  </si>
  <si>
    <r>
      <t>Half-saturation of NO</t>
    </r>
    <r>
      <rPr>
        <vertAlign val="subscript"/>
        <sz val="11"/>
        <color rgb="FF000000"/>
        <rFont val="Calibri"/>
        <family val="2"/>
        <scheme val="minor"/>
      </rPr>
      <t>2</t>
    </r>
    <r>
      <rPr>
        <sz val="11"/>
        <color rgb="FF000000"/>
        <rFont val="Calibri"/>
        <family val="2"/>
        <charset val="238"/>
        <scheme val="minor"/>
      </rPr>
      <t xml:space="preserve"> in NO</t>
    </r>
    <r>
      <rPr>
        <vertAlign val="subscript"/>
        <sz val="11"/>
        <color rgb="FF000000"/>
        <rFont val="Calibri"/>
        <family val="2"/>
        <scheme val="minor"/>
      </rPr>
      <t>2</t>
    </r>
    <r>
      <rPr>
        <sz val="11"/>
        <color rgb="FF000000"/>
        <rFont val="Calibri"/>
        <family val="2"/>
        <charset val="238"/>
        <scheme val="minor"/>
      </rPr>
      <t xml:space="preserve"> assimilative reduction</t>
    </r>
  </si>
  <si>
    <r>
      <t>Half-saturation of NO</t>
    </r>
    <r>
      <rPr>
        <vertAlign val="subscript"/>
        <sz val="11"/>
        <color rgb="FF000000"/>
        <rFont val="Calibri"/>
        <family val="2"/>
        <scheme val="minor"/>
      </rPr>
      <t>3</t>
    </r>
    <r>
      <rPr>
        <sz val="11"/>
        <color rgb="FF000000"/>
        <rFont val="Calibri"/>
        <family val="2"/>
        <charset val="238"/>
        <scheme val="minor"/>
      </rPr>
      <t xml:space="preserve"> in NO</t>
    </r>
    <r>
      <rPr>
        <vertAlign val="subscript"/>
        <sz val="11"/>
        <color rgb="FF000000"/>
        <rFont val="Calibri"/>
        <family val="2"/>
        <scheme val="minor"/>
      </rPr>
      <t>3</t>
    </r>
    <r>
      <rPr>
        <sz val="11"/>
        <color rgb="FF000000"/>
        <rFont val="Calibri"/>
        <family val="2"/>
        <charset val="238"/>
        <scheme val="minor"/>
      </rPr>
      <t xml:space="preserve"> assimilative reduction</t>
    </r>
  </si>
  <si>
    <t>pH inhibition (Bell shaped)</t>
  </si>
  <si>
    <t>pH inhibition (Bell shaped) (AMETO)</t>
  </si>
  <si>
    <t>pH inhibition (Bell shaped) (HMETO)</t>
  </si>
  <si>
    <t>Logistic saturation term for bicarbonate (AOB)</t>
  </si>
  <si>
    <r>
      <t>Inhibition term for NH</t>
    </r>
    <r>
      <rPr>
        <vertAlign val="subscript"/>
        <sz val="11"/>
        <color rgb="FF000000"/>
        <rFont val="Calibri"/>
        <family val="2"/>
        <scheme val="minor"/>
      </rPr>
      <t>3</t>
    </r>
    <r>
      <rPr>
        <sz val="11"/>
        <color rgb="FF000000"/>
        <rFont val="Calibri"/>
        <family val="2"/>
        <charset val="238"/>
        <scheme val="minor"/>
      </rPr>
      <t xml:space="preserve"> (NOB)</t>
    </r>
  </si>
  <si>
    <t>Logistic saturation term for bicarbonate (NOB)</t>
  </si>
  <si>
    <t>Logistic saturation term for bicarbonate (AMX)</t>
  </si>
  <si>
    <t>Inhibition term for nitrous acid (AMX)</t>
  </si>
  <si>
    <r>
      <t>Minh([HNO</t>
    </r>
    <r>
      <rPr>
        <vertAlign val="subscript"/>
        <sz val="11"/>
        <rFont val="Calibri"/>
        <family val="2"/>
      </rPr>
      <t>2</t>
    </r>
    <r>
      <rPr>
        <sz val="11"/>
        <rFont val="Calibri"/>
        <family val="2"/>
      </rPr>
      <t>]; Ki</t>
    </r>
    <r>
      <rPr>
        <vertAlign val="subscript"/>
        <sz val="11"/>
        <rFont val="Calibri"/>
        <family val="2"/>
      </rPr>
      <t>HNO2,AMX,pH</t>
    </r>
    <r>
      <rPr>
        <sz val="11"/>
        <rFont val="Calibri"/>
        <family val="2"/>
      </rPr>
      <t>)</t>
    </r>
  </si>
  <si>
    <r>
      <t>Minh([NH</t>
    </r>
    <r>
      <rPr>
        <vertAlign val="subscript"/>
        <sz val="11"/>
        <rFont val="Calibri"/>
        <family val="2"/>
        <scheme val="minor"/>
      </rPr>
      <t>3</t>
    </r>
    <r>
      <rPr>
        <sz val="11"/>
        <rFont val="Calibri"/>
        <family val="2"/>
        <scheme val="minor"/>
      </rPr>
      <t>];Ki</t>
    </r>
    <r>
      <rPr>
        <vertAlign val="subscript"/>
        <sz val="11"/>
        <rFont val="Calibri"/>
        <family val="2"/>
        <scheme val="minor"/>
      </rPr>
      <t>NH3,NOB,pH</t>
    </r>
    <r>
      <rPr>
        <sz val="11"/>
        <rFont val="Calibri"/>
        <family val="2"/>
        <scheme val="minor"/>
      </rPr>
      <t>)</t>
    </r>
  </si>
  <si>
    <r>
      <t>Loginh</t>
    </r>
    <r>
      <rPr>
        <vertAlign val="subscript"/>
        <sz val="11"/>
        <rFont val="Calibri"/>
        <family val="2"/>
      </rPr>
      <t>ORP,PAO</t>
    </r>
  </si>
  <si>
    <t>ORP switch of fermentation by PAOs</t>
  </si>
  <si>
    <r>
      <t>Saturation term for strong anion (as Cl</t>
    </r>
    <r>
      <rPr>
        <vertAlign val="superscript"/>
        <sz val="11"/>
        <color rgb="FF000000"/>
        <rFont val="Calibri"/>
        <family val="2"/>
        <scheme val="minor"/>
      </rPr>
      <t>-</t>
    </r>
    <r>
      <rPr>
        <sz val="11"/>
        <color rgb="FF000000"/>
        <rFont val="Calibri"/>
        <family val="2"/>
        <charset val="238"/>
        <scheme val="minor"/>
      </rPr>
      <t>)</t>
    </r>
  </si>
  <si>
    <r>
      <t>Saturation term for strong cation (as Na</t>
    </r>
    <r>
      <rPr>
        <vertAlign val="superscript"/>
        <sz val="11"/>
        <color rgb="FF000000"/>
        <rFont val="Calibri"/>
        <family val="2"/>
        <scheme val="minor"/>
      </rPr>
      <t>+</t>
    </r>
    <r>
      <rPr>
        <sz val="11"/>
        <color rgb="FF000000"/>
        <rFont val="Calibri"/>
        <family val="2"/>
        <charset val="238"/>
        <scheme val="minor"/>
      </rPr>
      <t>)</t>
    </r>
  </si>
  <si>
    <t>Saturation term for inorganic carbon (BIO except NITO)</t>
  </si>
  <si>
    <r>
      <t>Saturation term for NH</t>
    </r>
    <r>
      <rPr>
        <vertAlign val="subscript"/>
        <sz val="11"/>
        <color rgb="FF000000"/>
        <rFont val="Calibri"/>
        <family val="2"/>
        <scheme val="minor"/>
      </rPr>
      <t>x</t>
    </r>
    <r>
      <rPr>
        <sz val="11"/>
        <color rgb="FF000000"/>
        <rFont val="Calibri"/>
        <family val="2"/>
        <charset val="238"/>
        <scheme val="minor"/>
      </rPr>
      <t xml:space="preserve"> (biomass)</t>
    </r>
  </si>
  <si>
    <r>
      <t>Saturation term for PO</t>
    </r>
    <r>
      <rPr>
        <vertAlign val="subscript"/>
        <sz val="11"/>
        <color rgb="FF000000"/>
        <rFont val="Calibri"/>
        <family val="2"/>
        <scheme val="minor"/>
      </rPr>
      <t>4</t>
    </r>
    <r>
      <rPr>
        <sz val="11"/>
        <color rgb="FF000000"/>
        <rFont val="Calibri"/>
        <family val="2"/>
        <charset val="238"/>
        <scheme val="minor"/>
      </rPr>
      <t xml:space="preserve"> (biomass)</t>
    </r>
  </si>
  <si>
    <r>
      <t>Inhibition term for O</t>
    </r>
    <r>
      <rPr>
        <vertAlign val="subscript"/>
        <sz val="11"/>
        <color rgb="FF000000"/>
        <rFont val="Calibri"/>
        <family val="2"/>
        <scheme val="minor"/>
      </rPr>
      <t>2</t>
    </r>
    <r>
      <rPr>
        <sz val="11"/>
        <color rgb="FF000000"/>
        <rFont val="Calibri"/>
        <family val="2"/>
        <charset val="238"/>
        <scheme val="minor"/>
      </rPr>
      <t xml:space="preserve"> (OHO)</t>
    </r>
  </si>
  <si>
    <t>Inhibition term for VFA</t>
  </si>
  <si>
    <t>Saturation term for readily biodegradable substrate (OHO)</t>
  </si>
  <si>
    <t>Saturation term for readily biodegradable substrate (OHO, anaerobic)</t>
  </si>
  <si>
    <t>Saturation term for methanol (OHO)</t>
  </si>
  <si>
    <r>
      <t>Saturation term for O</t>
    </r>
    <r>
      <rPr>
        <vertAlign val="subscript"/>
        <sz val="11"/>
        <color rgb="FF000000"/>
        <rFont val="Calibri"/>
        <family val="2"/>
        <scheme val="minor"/>
      </rPr>
      <t>2</t>
    </r>
    <r>
      <rPr>
        <sz val="11"/>
        <color rgb="FF000000"/>
        <rFont val="Calibri"/>
        <family val="2"/>
        <charset val="238"/>
        <scheme val="minor"/>
      </rPr>
      <t xml:space="preserve"> (OHO)</t>
    </r>
  </si>
  <si>
    <t>Saturation term for VFA</t>
  </si>
  <si>
    <r>
      <t>Inhibition term for O</t>
    </r>
    <r>
      <rPr>
        <vertAlign val="subscript"/>
        <sz val="11"/>
        <color rgb="FF000000"/>
        <rFont val="Calibri"/>
        <family val="2"/>
        <scheme val="minor"/>
      </rPr>
      <t>2</t>
    </r>
    <r>
      <rPr>
        <sz val="11"/>
        <color rgb="FF000000"/>
        <rFont val="Calibri"/>
        <family val="2"/>
        <charset val="238"/>
        <scheme val="minor"/>
      </rPr>
      <t xml:space="preserve"> (MEOLO)</t>
    </r>
  </si>
  <si>
    <t>Saturation term for methanol (MEOLO)</t>
  </si>
  <si>
    <r>
      <t>Saturation term for 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</si>
  <si>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(OHO)</t>
    </r>
  </si>
  <si>
    <r>
      <t>Saturation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</si>
  <si>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2</t>
    </r>
    <r>
      <rPr>
        <sz val="11"/>
        <color rgb="FF000000"/>
        <rFont val="Calibri"/>
        <family val="2"/>
        <charset val="238"/>
        <scheme val="minor"/>
      </rPr>
      <t xml:space="preserve"> (MEOLO)</t>
    </r>
  </si>
  <si>
    <r>
      <t>Inhibition term for NO</t>
    </r>
    <r>
      <rPr>
        <vertAlign val="subscript"/>
        <sz val="11"/>
        <color rgb="FF000000"/>
        <rFont val="Calibri"/>
        <family val="2"/>
        <scheme val="minor"/>
      </rPr>
      <t>3</t>
    </r>
    <r>
      <rPr>
        <sz val="11"/>
        <color rgb="FF000000"/>
        <rFont val="Calibri"/>
        <family val="2"/>
        <charset val="238"/>
        <scheme val="minor"/>
      </rPr>
      <t xml:space="preserve"> (MEOLO)</t>
    </r>
  </si>
  <si>
    <r>
      <t>Saturation term for NO</t>
    </r>
    <r>
      <rPr>
        <vertAlign val="subscript"/>
        <sz val="11"/>
        <color rgb="FF000000"/>
        <rFont val="Calibri"/>
        <family val="2"/>
        <scheme val="minor"/>
      </rPr>
      <t>2</t>
    </r>
    <r>
      <rPr>
        <sz val="11"/>
        <color rgb="FF000000"/>
        <rFont val="Calibri"/>
        <family val="2"/>
        <charset val="238"/>
        <scheme val="minor"/>
      </rPr>
      <t xml:space="preserve"> (MEOLO)</t>
    </r>
  </si>
  <si>
    <r>
      <t>Saturation term for NO</t>
    </r>
    <r>
      <rPr>
        <vertAlign val="subscript"/>
        <sz val="11"/>
        <color rgb="FF000000"/>
        <rFont val="Calibri"/>
        <family val="2"/>
        <scheme val="minor"/>
      </rPr>
      <t>3</t>
    </r>
    <r>
      <rPr>
        <sz val="11"/>
        <color rgb="FF000000"/>
        <rFont val="Calibri"/>
        <family val="2"/>
        <charset val="238"/>
        <scheme val="minor"/>
      </rPr>
      <t xml:space="preserve"> (MEOLO)</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</si>
  <si>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</si>
  <si>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Inhibition term for O</t>
    </r>
    <r>
      <rPr>
        <vertAlign val="subscript"/>
        <sz val="11"/>
        <color rgb="FF000000"/>
        <rFont val="Calibri"/>
        <family val="2"/>
        <scheme val="minor"/>
      </rPr>
      <t>2</t>
    </r>
    <r>
      <rPr>
        <sz val="11"/>
        <color rgb="FF000000"/>
        <rFont val="Calibri"/>
        <family val="2"/>
        <charset val="238"/>
        <scheme val="minor"/>
      </rPr>
      <t xml:space="preserve"> (AOB)</t>
    </r>
  </si>
  <si>
    <r>
      <t>Saturation term for NH</t>
    </r>
    <r>
      <rPr>
        <vertAlign val="subscript"/>
        <sz val="11"/>
        <color rgb="FF000000"/>
        <rFont val="Calibri"/>
        <family val="2"/>
        <scheme val="minor"/>
      </rPr>
      <t>x</t>
    </r>
    <r>
      <rPr>
        <sz val="11"/>
        <color rgb="FF000000"/>
        <rFont val="Calibri"/>
        <family val="2"/>
        <charset val="238"/>
        <scheme val="minor"/>
      </rPr>
      <t xml:space="preserve"> (AOB)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</si>
  <si>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(AOB)</t>
    </r>
  </si>
  <si>
    <r>
      <t>Saturation term for O</t>
    </r>
    <r>
      <rPr>
        <vertAlign val="subscript"/>
        <sz val="11"/>
        <color rgb="FF000000"/>
        <rFont val="Calibri"/>
        <family val="2"/>
        <scheme val="minor"/>
      </rPr>
      <t>2</t>
    </r>
    <r>
      <rPr>
        <sz val="11"/>
        <color rgb="FF000000"/>
        <rFont val="Calibri"/>
        <family val="2"/>
        <charset val="238"/>
        <scheme val="minor"/>
      </rPr>
      <t xml:space="preserve"> (AOB)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</si>
  <si>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(NOB)</t>
    </r>
  </si>
  <si>
    <r>
      <t>Inhibition term for 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</si>
  <si>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2</t>
    </r>
    <r>
      <rPr>
        <sz val="11"/>
        <color rgb="FF000000"/>
        <rFont val="Calibri"/>
        <family val="2"/>
        <charset val="238"/>
        <scheme val="minor"/>
      </rPr>
      <t xml:space="preserve"> (NOB)</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</si>
  <si>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(NOB )</t>
    </r>
  </si>
  <si>
    <r>
      <t>Saturation term for O</t>
    </r>
    <r>
      <rPr>
        <vertAlign val="subscript"/>
        <sz val="11"/>
        <color rgb="FF000000"/>
        <rFont val="Calibri"/>
        <family val="2"/>
        <scheme val="minor"/>
      </rPr>
      <t>2</t>
    </r>
    <r>
      <rPr>
        <sz val="11"/>
        <color rgb="FF000000"/>
        <rFont val="Calibri"/>
        <family val="2"/>
        <charset val="238"/>
        <scheme val="minor"/>
      </rPr>
      <t xml:space="preserve"> (NOB)</t>
    </r>
  </si>
  <si>
    <r>
      <t>Inhibition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</si>
  <si>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Inhibition term for O</t>
    </r>
    <r>
      <rPr>
        <vertAlign val="subscript"/>
        <sz val="11"/>
        <color rgb="FF000000"/>
        <rFont val="Calibri"/>
        <family val="2"/>
        <scheme val="minor"/>
      </rPr>
      <t>2</t>
    </r>
    <r>
      <rPr>
        <sz val="11"/>
        <color rgb="FF000000"/>
        <rFont val="Calibri"/>
        <family val="2"/>
        <charset val="238"/>
        <scheme val="minor"/>
      </rPr>
      <t xml:space="preserve"> (AMX)</t>
    </r>
  </si>
  <si>
    <r>
      <t>Saturation term for NH</t>
    </r>
    <r>
      <rPr>
        <vertAlign val="subscript"/>
        <sz val="11"/>
        <color rgb="FF000000"/>
        <rFont val="Calibri"/>
        <family val="2"/>
        <scheme val="minor"/>
      </rPr>
      <t>x</t>
    </r>
    <r>
      <rPr>
        <sz val="11"/>
        <color rgb="FF000000"/>
        <rFont val="Calibri"/>
        <family val="2"/>
        <charset val="238"/>
        <scheme val="minor"/>
      </rPr>
      <t xml:space="preserve"> (AMX)</t>
    </r>
  </si>
  <si>
    <r>
      <t>Saturation term for NO</t>
    </r>
    <r>
      <rPr>
        <vertAlign val="subscript"/>
        <sz val="11"/>
        <color rgb="FF000000"/>
        <rFont val="Calibri"/>
        <family val="2"/>
        <scheme val="minor"/>
      </rPr>
      <t>2</t>
    </r>
    <r>
      <rPr>
        <sz val="11"/>
        <color rgb="FF000000"/>
        <rFont val="Calibri"/>
        <family val="2"/>
        <charset val="238"/>
        <scheme val="minor"/>
      </rPr>
      <t xml:space="preserve"> (AMX)</t>
    </r>
  </si>
  <si>
    <r>
      <t>Saturation term for NO</t>
    </r>
    <r>
      <rPr>
        <vertAlign val="subscript"/>
        <sz val="11"/>
        <color rgb="FF000000"/>
        <rFont val="Calibri"/>
        <family val="2"/>
        <scheme val="minor"/>
      </rPr>
      <t>x</t>
    </r>
    <r>
      <rPr>
        <sz val="11"/>
        <color rgb="FF000000"/>
        <rFont val="Calibri"/>
        <family val="2"/>
        <charset val="238"/>
        <scheme val="minor"/>
      </rPr>
      <t xml:space="preserve"> (anoxic condition) (AMX)</t>
    </r>
  </si>
  <si>
    <r>
      <t>Saturation term for O</t>
    </r>
    <r>
      <rPr>
        <vertAlign val="subscript"/>
        <sz val="11"/>
        <color rgb="FF000000"/>
        <rFont val="Calibri"/>
        <family val="2"/>
        <scheme val="minor"/>
      </rPr>
      <t>2</t>
    </r>
    <r>
      <rPr>
        <sz val="11"/>
        <color rgb="FF000000"/>
        <rFont val="Calibri"/>
        <family val="2"/>
        <charset val="238"/>
        <scheme val="minor"/>
      </rPr>
      <t xml:space="preserve"> (AMX)</t>
    </r>
  </si>
  <si>
    <r>
      <t>Minh</t>
    </r>
    <r>
      <rPr>
        <vertAlign val="subscript"/>
        <sz val="11"/>
        <rFont val="Calibri"/>
        <family val="2"/>
        <scheme val="minor"/>
      </rPr>
      <t>SPO4,KiPO4,lim</t>
    </r>
  </si>
  <si>
    <t>Inhibition term for PO4 (PAO)</t>
  </si>
  <si>
    <r>
      <t>Minh(S</t>
    </r>
    <r>
      <rPr>
        <vertAlign val="subscript"/>
        <sz val="11"/>
        <rFont val="Calibri"/>
        <family val="2"/>
        <scheme val="minor"/>
      </rPr>
      <t>PO4</t>
    </r>
    <r>
      <rPr>
        <sz val="11"/>
        <rFont val="Calibri"/>
        <family val="2"/>
        <scheme val="minor"/>
      </rPr>
      <t>;Ki</t>
    </r>
    <r>
      <rPr>
        <vertAlign val="subscript"/>
        <sz val="11"/>
        <rFont val="Calibri"/>
        <family val="2"/>
        <scheme val="minor"/>
      </rPr>
      <t>PO4,lim</t>
    </r>
    <r>
      <rPr>
        <sz val="11"/>
        <rFont val="Calibri"/>
        <family val="2"/>
        <scheme val="minor"/>
      </rPr>
      <t>)</t>
    </r>
  </si>
  <si>
    <t>Saturation term for Ca as counter ion for PP (PAO)</t>
  </si>
  <si>
    <t>Saturation term for K as counter ion for PP (PAO)</t>
  </si>
  <si>
    <t>Saturation term for Mg as counter ion for PP (PAO)</t>
  </si>
  <si>
    <r>
      <t>Saturation term for PO</t>
    </r>
    <r>
      <rPr>
        <vertAlign val="subscript"/>
        <sz val="11"/>
        <color rgb="FF000000"/>
        <rFont val="Calibri"/>
        <family val="2"/>
        <scheme val="minor"/>
      </rPr>
      <t>4</t>
    </r>
    <r>
      <rPr>
        <sz val="11"/>
        <color rgb="FF000000"/>
        <rFont val="Calibri"/>
        <family val="2"/>
        <charset val="238"/>
        <scheme val="minor"/>
      </rPr>
      <t xml:space="preserve"> (PAO)</t>
    </r>
  </si>
  <si>
    <t>Saturation term for PP as nutrient (PAO)</t>
  </si>
  <si>
    <r>
      <t>Inhibition term for NO</t>
    </r>
    <r>
      <rPr>
        <vertAlign val="subscript"/>
        <sz val="11"/>
        <color rgb="FF000000"/>
        <rFont val="Calibri"/>
        <family val="2"/>
        <scheme val="minor"/>
      </rPr>
      <t>x</t>
    </r>
    <r>
      <rPr>
        <sz val="11"/>
        <color rgb="FF000000"/>
        <rFont val="Calibri"/>
        <family val="2"/>
        <charset val="238"/>
        <scheme val="minor"/>
      </rPr>
      <t xml:space="preserve"> (AMETO)</t>
    </r>
  </si>
  <si>
    <r>
      <t>Inhibition term for O</t>
    </r>
    <r>
      <rPr>
        <vertAlign val="subscript"/>
        <sz val="11"/>
        <color rgb="FF000000"/>
        <rFont val="Calibri"/>
        <family val="2"/>
        <scheme val="minor"/>
      </rPr>
      <t>2</t>
    </r>
    <r>
      <rPr>
        <sz val="11"/>
        <color rgb="FF000000"/>
        <rFont val="Calibri"/>
        <family val="2"/>
        <charset val="238"/>
        <scheme val="minor"/>
      </rPr>
      <t xml:space="preserve"> (AMETO)</t>
    </r>
  </si>
  <si>
    <r>
      <t>Saturation term for NO</t>
    </r>
    <r>
      <rPr>
        <vertAlign val="subscript"/>
        <sz val="11"/>
        <color rgb="FF000000"/>
        <rFont val="Calibri"/>
        <family val="2"/>
        <scheme val="minor"/>
      </rPr>
      <t>x</t>
    </r>
    <r>
      <rPr>
        <sz val="11"/>
        <color rgb="FF000000"/>
        <rFont val="Calibri"/>
        <family val="2"/>
        <charset val="238"/>
        <scheme val="minor"/>
      </rPr>
      <t xml:space="preserve"> (AMETO)</t>
    </r>
  </si>
  <si>
    <r>
      <t>Saturation term for O</t>
    </r>
    <r>
      <rPr>
        <vertAlign val="subscript"/>
        <sz val="11"/>
        <color rgb="FF000000"/>
        <rFont val="Calibri"/>
        <family val="2"/>
        <scheme val="minor"/>
      </rPr>
      <t>2</t>
    </r>
    <r>
      <rPr>
        <sz val="11"/>
        <color rgb="FF000000"/>
        <rFont val="Calibri"/>
        <family val="2"/>
        <charset val="238"/>
        <scheme val="minor"/>
      </rPr>
      <t xml:space="preserve"> (AMETO)</t>
    </r>
  </si>
  <si>
    <t>Haldane term for VFA (AMETO)</t>
  </si>
  <si>
    <r>
      <t>Inhibition term for NO</t>
    </r>
    <r>
      <rPr>
        <vertAlign val="subscript"/>
        <sz val="11"/>
        <color rgb="FF000000"/>
        <rFont val="Calibri"/>
        <family val="2"/>
        <scheme val="minor"/>
      </rPr>
      <t>x</t>
    </r>
    <r>
      <rPr>
        <sz val="11"/>
        <color rgb="FF000000"/>
        <rFont val="Calibri"/>
        <family val="2"/>
        <charset val="238"/>
        <scheme val="minor"/>
      </rPr>
      <t xml:space="preserve"> (HMETO)</t>
    </r>
  </si>
  <si>
    <r>
      <t>Inhibition term for O</t>
    </r>
    <r>
      <rPr>
        <vertAlign val="subscript"/>
        <sz val="11"/>
        <color rgb="FF000000"/>
        <rFont val="Calibri"/>
        <family val="2"/>
        <scheme val="minor"/>
      </rPr>
      <t>2</t>
    </r>
    <r>
      <rPr>
        <sz val="11"/>
        <color rgb="FF000000"/>
        <rFont val="Calibri"/>
        <family val="2"/>
        <charset val="238"/>
        <scheme val="minor"/>
      </rPr>
      <t xml:space="preserve"> (HMETO)</t>
    </r>
  </si>
  <si>
    <r>
      <t>Saturation term for H</t>
    </r>
    <r>
      <rPr>
        <vertAlign val="subscript"/>
        <sz val="11"/>
        <color rgb="FF000000"/>
        <rFont val="Calibri"/>
        <family val="2"/>
        <scheme val="minor"/>
      </rPr>
      <t>2</t>
    </r>
    <r>
      <rPr>
        <sz val="11"/>
        <color rgb="FF000000"/>
        <rFont val="Calibri"/>
        <family val="2"/>
        <charset val="238"/>
        <scheme val="minor"/>
      </rPr>
      <t xml:space="preserve"> (HMETO)</t>
    </r>
  </si>
  <si>
    <r>
      <t>Saturation term for NO</t>
    </r>
    <r>
      <rPr>
        <vertAlign val="subscript"/>
        <sz val="11"/>
        <color rgb="FF000000"/>
        <rFont val="Calibri"/>
        <family val="2"/>
        <scheme val="minor"/>
      </rPr>
      <t>x</t>
    </r>
    <r>
      <rPr>
        <sz val="11"/>
        <color rgb="FF000000"/>
        <rFont val="Calibri"/>
        <family val="2"/>
        <charset val="238"/>
        <scheme val="minor"/>
      </rPr>
      <t xml:space="preserve"> (HMETO)</t>
    </r>
  </si>
  <si>
    <r>
      <t>Saturation term for O</t>
    </r>
    <r>
      <rPr>
        <vertAlign val="subscript"/>
        <sz val="11"/>
        <color rgb="FF000000"/>
        <rFont val="Calibri"/>
        <family val="2"/>
        <scheme val="minor"/>
      </rPr>
      <t>2</t>
    </r>
    <r>
      <rPr>
        <sz val="11"/>
        <color rgb="FF000000"/>
        <rFont val="Calibri"/>
        <family val="2"/>
        <charset val="238"/>
        <scheme val="minor"/>
      </rPr>
      <t xml:space="preserve"> (HMETO)</t>
    </r>
  </si>
  <si>
    <r>
      <t>Hsat(S</t>
    </r>
    <r>
      <rPr>
        <vertAlign val="subscript"/>
        <sz val="11"/>
        <rFont val="Calibri"/>
        <family val="2"/>
        <scheme val="minor"/>
      </rPr>
      <t>VFA</t>
    </r>
    <r>
      <rPr>
        <sz val="11"/>
        <rFont val="Calibri"/>
        <family val="2"/>
        <scheme val="minor"/>
      </rPr>
      <t>;K</t>
    </r>
    <r>
      <rPr>
        <vertAlign val="subscript"/>
        <sz val="11"/>
        <rFont val="Calibri"/>
        <family val="2"/>
        <scheme val="minor"/>
      </rPr>
      <t>VFA,AMETO</t>
    </r>
    <r>
      <rPr>
        <sz val="11"/>
        <rFont val="Calibri"/>
        <family val="2"/>
        <scheme val="minor"/>
      </rPr>
      <t>;Ki</t>
    </r>
    <r>
      <rPr>
        <vertAlign val="subscript"/>
        <sz val="11"/>
        <rFont val="Calibri"/>
        <family val="2"/>
        <scheme val="minor"/>
      </rPr>
      <t>VFA,AMETO</t>
    </r>
    <r>
      <rPr>
        <sz val="11"/>
        <rFont val="Calibri"/>
        <family val="2"/>
        <scheme val="minor"/>
      </rPr>
      <t>)</t>
    </r>
  </si>
  <si>
    <r>
      <t>Minh</t>
    </r>
    <r>
      <rPr>
        <vertAlign val="subscript"/>
        <sz val="11"/>
        <rFont val="Calibri"/>
        <family val="2"/>
        <scheme val="minor"/>
      </rPr>
      <t>SNHx,KiNHx,ASSIM</t>
    </r>
  </si>
  <si>
    <r>
      <t>Minh(S</t>
    </r>
    <r>
      <rPr>
        <vertAlign val="subscript"/>
        <sz val="11"/>
        <rFont val="Calibri"/>
        <family val="2"/>
        <scheme val="minor"/>
      </rPr>
      <t>NHx</t>
    </r>
    <r>
      <rPr>
        <sz val="11"/>
        <rFont val="Calibri"/>
        <family val="2"/>
        <scheme val="minor"/>
      </rPr>
      <t>;Ki</t>
    </r>
    <r>
      <rPr>
        <vertAlign val="subscript"/>
        <sz val="11"/>
        <rFont val="Calibri"/>
        <family val="2"/>
        <scheme val="minor"/>
      </rPr>
      <t>NHx,ASSIM</t>
    </r>
    <r>
      <rPr>
        <sz val="11"/>
        <rFont val="Calibri"/>
        <family val="2"/>
        <scheme val="minor"/>
      </rPr>
      <t>)</t>
    </r>
  </si>
  <si>
    <t>Saturation term for slowly biodegradable substrate (hydrolysis)</t>
  </si>
  <si>
    <t>Saturation term for anaerobic endogenous decay products (hydrolysis)</t>
  </si>
  <si>
    <r>
      <t>Saturation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</si>
  <si>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Saturation term for NO</t>
    </r>
    <r>
      <rPr>
        <vertAlign val="subscript"/>
        <sz val="11"/>
        <color rgb="FF000000"/>
        <rFont val="Calibri"/>
        <family val="2"/>
        <scheme val="minor"/>
      </rPr>
      <t>3</t>
    </r>
    <r>
      <rPr>
        <sz val="11"/>
        <color rgb="FF000000"/>
        <rFont val="Calibri"/>
        <family val="2"/>
        <charset val="238"/>
        <scheme val="minor"/>
      </rPr>
      <t xml:space="preserve"> (assimilative reduction)</t>
    </r>
  </si>
  <si>
    <r>
      <t>Inhibition term for NO</t>
    </r>
    <r>
      <rPr>
        <vertAlign val="subscript"/>
        <sz val="11"/>
        <color rgb="FF000000"/>
        <rFont val="Calibri"/>
        <family val="2"/>
        <scheme val="minor"/>
      </rPr>
      <t>2</t>
    </r>
    <r>
      <rPr>
        <sz val="11"/>
        <color rgb="FF000000"/>
        <rFont val="Calibri"/>
        <family val="2"/>
        <charset val="238"/>
        <scheme val="minor"/>
      </rPr>
      <t xml:space="preserve"> (assimilative reduction)</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</si>
  <si>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HFO</t>
    </r>
  </si>
  <si>
    <r>
      <t>Saturation term for PO</t>
    </r>
    <r>
      <rPr>
        <vertAlign val="subscript"/>
        <sz val="11"/>
        <color rgb="FF000000"/>
        <rFont val="Calibri"/>
        <family val="2"/>
        <scheme val="minor"/>
      </rPr>
      <t>4</t>
    </r>
    <r>
      <rPr>
        <sz val="11"/>
        <color rgb="FF000000"/>
        <rFont val="Calibri"/>
        <family val="2"/>
        <charset val="238"/>
        <scheme val="minor"/>
      </rPr>
      <t xml:space="preserve"> binding on HFO</t>
    </r>
  </si>
  <si>
    <r>
      <t>Msat</t>
    </r>
    <r>
      <rPr>
        <vertAlign val="subscript"/>
        <sz val="11"/>
        <rFont val="Calibri"/>
        <family val="2"/>
        <scheme val="minor"/>
      </rPr>
      <t>XACP,KACP,DISS</t>
    </r>
  </si>
  <si>
    <t>Saturation term for ACP dissolution</t>
  </si>
  <si>
    <r>
      <t>Msat(X</t>
    </r>
    <r>
      <rPr>
        <vertAlign val="subscript"/>
        <sz val="11"/>
        <rFont val="Calibri"/>
        <family val="2"/>
        <scheme val="minor"/>
      </rPr>
      <t>ACP</t>
    </r>
    <r>
      <rPr>
        <sz val="11"/>
        <rFont val="Calibri"/>
        <family val="2"/>
        <scheme val="minor"/>
      </rPr>
      <t>;K</t>
    </r>
    <r>
      <rPr>
        <vertAlign val="subscript"/>
        <sz val="11"/>
        <rFont val="Calibri"/>
        <family val="2"/>
        <scheme val="minor"/>
      </rPr>
      <t>ACP,DISS</t>
    </r>
    <r>
      <rPr>
        <sz val="11"/>
        <rFont val="Calibri"/>
        <family val="2"/>
        <scheme val="minor"/>
      </rPr>
      <t>)</t>
    </r>
  </si>
  <si>
    <r>
      <t>Msat</t>
    </r>
    <r>
      <rPr>
        <vertAlign val="subscript"/>
        <sz val="11"/>
        <rFont val="Calibri"/>
        <family val="2"/>
        <scheme val="minor"/>
      </rPr>
      <t>XCaCO3,KCaCO3,DISS</t>
    </r>
  </si>
  <si>
    <t>Saturation term for calcium carbonate dissolution</t>
  </si>
  <si>
    <r>
      <t>Msat(X</t>
    </r>
    <r>
      <rPr>
        <vertAlign val="subscript"/>
        <sz val="11"/>
        <rFont val="Calibri"/>
        <family val="2"/>
        <scheme val="minor"/>
      </rPr>
      <t>CaCO3</t>
    </r>
    <r>
      <rPr>
        <sz val="11"/>
        <rFont val="Calibri"/>
        <family val="2"/>
        <scheme val="minor"/>
      </rPr>
      <t>;K</t>
    </r>
    <r>
      <rPr>
        <vertAlign val="subscript"/>
        <sz val="11"/>
        <rFont val="Calibri"/>
        <family val="2"/>
        <scheme val="minor"/>
      </rPr>
      <t>CaCO3,DISS</t>
    </r>
    <r>
      <rPr>
        <sz val="11"/>
        <rFont val="Calibri"/>
        <family val="2"/>
        <scheme val="minor"/>
      </rPr>
      <t>)</t>
    </r>
  </si>
  <si>
    <r>
      <t>Msat</t>
    </r>
    <r>
      <rPr>
        <vertAlign val="subscript"/>
        <sz val="11"/>
        <rFont val="Calibri"/>
        <family val="2"/>
        <scheme val="minor"/>
      </rPr>
      <t>XSTR,KSTR,DISS</t>
    </r>
  </si>
  <si>
    <t>Saturation term for struvite dissolution</t>
  </si>
  <si>
    <r>
      <t>Msat(X</t>
    </r>
    <r>
      <rPr>
        <vertAlign val="subscript"/>
        <sz val="11"/>
        <rFont val="Calibri"/>
        <family val="2"/>
        <scheme val="minor"/>
      </rPr>
      <t>STR</t>
    </r>
    <r>
      <rPr>
        <sz val="11"/>
        <rFont val="Calibri"/>
        <family val="2"/>
        <scheme val="minor"/>
      </rPr>
      <t>;K</t>
    </r>
    <r>
      <rPr>
        <vertAlign val="subscript"/>
        <sz val="11"/>
        <rFont val="Calibri"/>
        <family val="2"/>
        <scheme val="minor"/>
      </rPr>
      <t>STR,DISS</t>
    </r>
    <r>
      <rPr>
        <sz val="11"/>
        <rFont val="Calibri"/>
        <family val="2"/>
        <scheme val="minor"/>
      </rPr>
      <t>)</t>
    </r>
  </si>
  <si>
    <r>
      <t>Msat</t>
    </r>
    <r>
      <rPr>
        <vertAlign val="subscript"/>
        <sz val="11"/>
        <rFont val="Calibri"/>
        <family val="2"/>
        <scheme val="minor"/>
      </rPr>
      <t>XVivi,KVivi,DISS</t>
    </r>
  </si>
  <si>
    <t>Saturation term for vivianite dissolution</t>
  </si>
  <si>
    <r>
      <t>Msat(X</t>
    </r>
    <r>
      <rPr>
        <vertAlign val="subscript"/>
        <sz val="11"/>
        <rFont val="Calibri"/>
        <family val="2"/>
        <scheme val="minor"/>
      </rPr>
      <t>Vivi</t>
    </r>
    <r>
      <rPr>
        <sz val="11"/>
        <rFont val="Calibri"/>
        <family val="2"/>
        <scheme val="minor"/>
      </rPr>
      <t>;K</t>
    </r>
    <r>
      <rPr>
        <vertAlign val="subscript"/>
        <sz val="11"/>
        <rFont val="Calibri"/>
        <family val="2"/>
        <scheme val="minor"/>
      </rPr>
      <t>Vivi,DISS</t>
    </r>
    <r>
      <rPr>
        <sz val="11"/>
        <rFont val="Calibri"/>
        <family val="2"/>
        <scheme val="minor"/>
      </rPr>
      <t>)</t>
    </r>
  </si>
  <si>
    <r>
      <t>µ</t>
    </r>
    <r>
      <rPr>
        <vertAlign val="subscript"/>
        <sz val="11"/>
        <color indexed="8"/>
        <rFont val="Calibri"/>
        <family val="2"/>
        <scheme val="minor"/>
      </rPr>
      <t>FERM,PAO,T</t>
    </r>
  </si>
  <si>
    <t>Fermentation growth rate of PAOs (temperature corrected)</t>
  </si>
  <si>
    <r>
      <t>µ</t>
    </r>
    <r>
      <rPr>
        <vertAlign val="subscript"/>
        <sz val="11"/>
        <color indexed="8"/>
        <rFont val="Calibri"/>
        <family val="2"/>
        <scheme val="minor"/>
      </rPr>
      <t>FERM,PAO</t>
    </r>
    <r>
      <rPr>
        <sz val="11"/>
        <color indexed="8"/>
        <rFont val="Calibri"/>
        <family val="2"/>
        <scheme val="minor"/>
      </rPr>
      <t>*Arrh(θ</t>
    </r>
    <r>
      <rPr>
        <vertAlign val="subscript"/>
        <sz val="11"/>
        <color indexed="8"/>
        <rFont val="Calibri"/>
        <family val="2"/>
        <scheme val="minor"/>
      </rPr>
      <t>FERM,PAO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</si>
  <si>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Maximum specific growth rate of OHOs (temperature corrected)</t>
  </si>
  <si>
    <t>Fermentation growth rate of OHOs (temperature corrected)</t>
  </si>
  <si>
    <t>Decay rate of OHOs (temperature corrected)</t>
  </si>
  <si>
    <t>Maximum specific growth rate of MEOLOs (temperature corrected)</t>
  </si>
  <si>
    <t>Decay rate of MEOLOs (temperature corrected)</t>
  </si>
  <si>
    <t>Maximum specific growth rate of PAOs under P limited (temperature corrected)</t>
  </si>
  <si>
    <t>Rate of VFA storage into PHA for PAOs (temperature corrected)</t>
  </si>
  <si>
    <t>Rate of maintenance under anaerobic conditions (PP cleavage) of PAOs (temperature corrected)</t>
  </si>
  <si>
    <t>Maximum specific growth rate of AOBs (temperature corrected)</t>
  </si>
  <si>
    <t>Decay rate of AOBs (temperature corrected)</t>
  </si>
  <si>
    <t>Maximum specific growth rate of NOBs (temperature corrected)</t>
  </si>
  <si>
    <t>Decay rate of NOBs (temperature corrected)</t>
  </si>
  <si>
    <t>Maximum specific growth rate of AMXs (temperature corrected)</t>
  </si>
  <si>
    <t>Decay rate of AMXs (temperature corrected)</t>
  </si>
  <si>
    <t>Maximum specific growth rate of AMETOs (temperature corrected)</t>
  </si>
  <si>
    <t>Decay rate of AMETOs (temperature corrected)</t>
  </si>
  <si>
    <t>Maximum specific growth rate of HMETOs (temperature corrected)</t>
  </si>
  <si>
    <t>Decay rate of HMETOs (temperature corrected)</t>
  </si>
  <si>
    <t>Rate of flocculation (temperature corrected)</t>
  </si>
  <si>
    <t>Rate of hydrolysis (temperature corrected)</t>
  </si>
  <si>
    <t>Rate of ammonification (temperature corrected)</t>
  </si>
  <si>
    <t>Rate of soluble biodegradable organic P conversion (temperature corrected)</t>
  </si>
  <si>
    <t>Rate of endogenous decay products conversion (temperature corrected)</t>
  </si>
  <si>
    <t>Rate of assimilative nutrient reduction (temperature corrected)</t>
  </si>
  <si>
    <r>
      <t>Rate of Fe</t>
    </r>
    <r>
      <rPr>
        <vertAlign val="subscript"/>
        <sz val="11"/>
        <color rgb="FF000000"/>
        <rFont val="Calibri"/>
        <family val="2"/>
        <scheme val="minor"/>
      </rPr>
      <t>2</t>
    </r>
    <r>
      <rPr>
        <sz val="11"/>
        <color rgb="FF000000"/>
        <rFont val="Calibri"/>
        <family val="2"/>
        <charset val="238"/>
        <scheme val="minor"/>
      </rPr>
      <t xml:space="preserve"> oxidation (temperature corrected)</t>
    </r>
  </si>
  <si>
    <t>Rate of HFO reduction with organics (temperature corrected)</t>
  </si>
  <si>
    <r>
      <t>q</t>
    </r>
    <r>
      <rPr>
        <vertAlign val="subscript"/>
        <sz val="11"/>
        <color indexed="8"/>
        <rFont val="Calibri"/>
        <family val="2"/>
        <scheme val="minor"/>
      </rPr>
      <t>Fe2,OX,T</t>
    </r>
  </si>
  <si>
    <r>
      <t>q</t>
    </r>
    <r>
      <rPr>
        <vertAlign val="subscript"/>
        <sz val="11"/>
        <color indexed="8"/>
        <rFont val="Calibri"/>
        <family val="2"/>
        <scheme val="minor"/>
      </rPr>
      <t>Fe2,OX</t>
    </r>
    <r>
      <rPr>
        <sz val="11"/>
        <color indexed="8"/>
        <rFont val="Calibri"/>
        <family val="2"/>
        <scheme val="minor"/>
      </rPr>
      <t>*Arrh(θ</t>
    </r>
    <r>
      <rPr>
        <vertAlign val="subscript"/>
        <sz val="11"/>
        <color indexed="8"/>
        <rFont val="Calibri"/>
        <family val="2"/>
        <scheme val="minor"/>
      </rPr>
      <t>q,Fe2,OX</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</si>
  <si>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q,Fe2,OX</t>
    </r>
  </si>
  <si>
    <t>Dissociation constant of water (temperature corrected)</t>
  </si>
  <si>
    <t>Dissociation constant of carbonate first step (temperature corrected)</t>
  </si>
  <si>
    <t>Dissociation constant of carbonate second step (temperature corrected)</t>
  </si>
  <si>
    <t>Dissociation constant of phosphate first step (temperature corrected)</t>
  </si>
  <si>
    <t>Dissociation constant of phosphate second step (temperature corrected)</t>
  </si>
  <si>
    <t>Dissociation constant of phosphate third step (temperature corrected)</t>
  </si>
  <si>
    <t>Dissociation constant of acetate (temperature corrected)</t>
  </si>
  <si>
    <t>Dissociation constant of ammonia (temperature corrected)</t>
  </si>
  <si>
    <t>Dissociation constant of water (activity corrected)</t>
  </si>
  <si>
    <t>Dissociation constant of carbonate first step (activity corrected)</t>
  </si>
  <si>
    <t>Dissociation constant of carbonate second step (activity corrected)</t>
  </si>
  <si>
    <t>Dissociation constant of phosphate first step (activity corrected)</t>
  </si>
  <si>
    <t>Dissociation constant of phosphate second step (activity corrected)</t>
  </si>
  <si>
    <t>Dissociation constant of phosphate third step (activity corrected)</t>
  </si>
  <si>
    <t>Dissociation constant of acetate (activity corrected)</t>
  </si>
  <si>
    <t>Dissociation constant of ammonia (activity corrected)</t>
  </si>
  <si>
    <t>Dissociation constant of nitrous acid (temperature corrected)</t>
  </si>
  <si>
    <r>
      <t>K</t>
    </r>
    <r>
      <rPr>
        <vertAlign val="subscript"/>
        <sz val="11"/>
        <rFont val="Calibri"/>
        <family val="2"/>
        <scheme val="minor"/>
      </rPr>
      <t>Ac</t>
    </r>
  </si>
  <si>
    <r>
      <t>K</t>
    </r>
    <r>
      <rPr>
        <vertAlign val="subscript"/>
        <sz val="11"/>
        <rFont val="Calibri"/>
        <family val="2"/>
        <scheme val="minor"/>
      </rPr>
      <t>Ac,T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</si>
  <si>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NO2</t>
    </r>
  </si>
  <si>
    <r>
      <t>K</t>
    </r>
    <r>
      <rPr>
        <vertAlign val="subscript"/>
        <sz val="11"/>
        <rFont val="Calibri"/>
        <family val="2"/>
        <scheme val="minor"/>
      </rPr>
      <t>NO2,T</t>
    </r>
    <r>
      <rPr>
        <sz val="11"/>
        <rFont val="Calibri"/>
        <family val="2"/>
        <scheme val="minor"/>
      </rPr>
      <t>/f</t>
    </r>
    <r>
      <rPr>
        <vertAlign val="subscript"/>
        <sz val="11"/>
        <rFont val="Calibri"/>
        <family val="2"/>
        <scheme val="minor"/>
      </rPr>
      <t>mono</t>
    </r>
    <r>
      <rPr>
        <sz val="11"/>
        <rFont val="Calibri"/>
        <family val="2"/>
        <scheme val="minor"/>
      </rPr>
      <t>^2</t>
    </r>
  </si>
  <si>
    <r>
      <t>K</t>
    </r>
    <r>
      <rPr>
        <vertAlign val="subscript"/>
        <sz val="11"/>
        <rFont val="Calibri"/>
        <family val="2"/>
        <scheme val="minor"/>
      </rPr>
      <t>NH3</t>
    </r>
  </si>
  <si>
    <r>
      <t>K</t>
    </r>
    <r>
      <rPr>
        <vertAlign val="subscript"/>
        <sz val="11"/>
        <rFont val="Calibri"/>
        <family val="2"/>
        <scheme val="minor"/>
      </rPr>
      <t>NH3,T</t>
    </r>
  </si>
  <si>
    <t>r73</t>
  </si>
  <si>
    <t>r74</t>
  </si>
  <si>
    <r>
      <t>Ki</t>
    </r>
    <r>
      <rPr>
        <vertAlign val="subscript"/>
        <sz val="11"/>
        <rFont val="Calibri"/>
        <family val="2"/>
        <scheme val="minor"/>
      </rPr>
      <t>HNO2,AMX,pH</t>
    </r>
  </si>
  <si>
    <r>
      <t>Ki</t>
    </r>
    <r>
      <rPr>
        <vertAlign val="subscript"/>
        <sz val="11"/>
        <rFont val="Calibri"/>
        <family val="2"/>
      </rPr>
      <t>HNO2,AMX,pH,AS</t>
    </r>
  </si>
  <si>
    <r>
      <t>K</t>
    </r>
    <r>
      <rPr>
        <vertAlign val="subscript"/>
        <sz val="11"/>
        <color indexed="8"/>
        <rFont val="Calibri"/>
        <family val="2"/>
        <scheme val="minor"/>
      </rPr>
      <t>STR,DISS</t>
    </r>
  </si>
  <si>
    <r>
      <t>K</t>
    </r>
    <r>
      <rPr>
        <vertAlign val="subscript"/>
        <sz val="11"/>
        <color indexed="8"/>
        <rFont val="Calibri"/>
        <family val="2"/>
        <scheme val="minor"/>
      </rPr>
      <t>ACP,DISS</t>
    </r>
  </si>
  <si>
    <r>
      <t>K</t>
    </r>
    <r>
      <rPr>
        <vertAlign val="subscript"/>
        <sz val="11"/>
        <color indexed="8"/>
        <rFont val="Calibri"/>
        <family val="2"/>
        <scheme val="minor"/>
      </rPr>
      <t>CaCO3,DISS</t>
    </r>
  </si>
  <si>
    <r>
      <t>K</t>
    </r>
    <r>
      <rPr>
        <vertAlign val="subscript"/>
        <sz val="11"/>
        <color indexed="8"/>
        <rFont val="Calibri"/>
        <family val="2"/>
        <scheme val="minor"/>
      </rPr>
      <t>Vivi,DISS</t>
    </r>
  </si>
  <si>
    <r>
      <t>K</t>
    </r>
    <r>
      <rPr>
        <vertAlign val="subscript"/>
        <sz val="11"/>
        <rFont val="Calibri"/>
        <family val="2"/>
        <scheme val="minor"/>
      </rPr>
      <t>Ac,T</t>
    </r>
  </si>
  <si>
    <r>
      <t>K</t>
    </r>
    <r>
      <rPr>
        <vertAlign val="subscript"/>
        <sz val="11"/>
        <rFont val="Calibri"/>
        <family val="2"/>
      </rPr>
      <t>NO2,T</t>
    </r>
  </si>
  <si>
    <r>
      <t>S</t>
    </r>
    <r>
      <rPr>
        <vertAlign val="subscript"/>
        <sz val="11"/>
        <rFont val="Calibri"/>
        <family val="2"/>
        <scheme val="minor"/>
      </rPr>
      <t>VFA</t>
    </r>
    <r>
      <rPr>
        <sz val="11"/>
        <rFont val="Calibri"/>
        <family val="2"/>
        <scheme val="minor"/>
      </rPr>
      <t>/(4*AM</t>
    </r>
    <r>
      <rPr>
        <vertAlign val="subscript"/>
        <sz val="11"/>
        <rFont val="Calibri"/>
        <family val="2"/>
        <scheme val="minor"/>
      </rPr>
      <t>O</t>
    </r>
    <r>
      <rPr>
        <sz val="11"/>
        <rFont val="Calibri"/>
        <family val="2"/>
        <scheme val="minor"/>
      </rPr>
      <t>*1000)*K</t>
    </r>
    <r>
      <rPr>
        <vertAlign val="subscript"/>
        <sz val="11"/>
        <rFont val="Calibri"/>
        <family val="2"/>
        <scheme val="minor"/>
      </rPr>
      <t>Ac</t>
    </r>
    <r>
      <rPr>
        <sz val="11"/>
        <rFont val="Calibri"/>
        <family val="2"/>
        <scheme val="minor"/>
      </rPr>
      <t>/([H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 xml:space="preserve"> + K</t>
    </r>
    <r>
      <rPr>
        <vertAlign val="subscript"/>
        <sz val="11"/>
        <rFont val="Calibri"/>
        <family val="2"/>
        <scheme val="minor"/>
      </rPr>
      <t>Ac</t>
    </r>
    <r>
      <rPr>
        <sz val="11"/>
        <rFont val="Calibri"/>
        <family val="2"/>
        <scheme val="minor"/>
      </rPr>
      <t>)</t>
    </r>
  </si>
  <si>
    <r>
      <t>K</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*1000)/([H</t>
    </r>
    <r>
      <rPr>
        <vertAlign val="superscript"/>
        <sz val="11"/>
        <rFont val="Calibri"/>
        <family val="2"/>
        <scheme val="minor"/>
      </rPr>
      <t>+</t>
    </r>
    <r>
      <rPr>
        <sz val="11"/>
        <rFont val="Calibri"/>
        <family val="2"/>
        <scheme val="minor"/>
      </rPr>
      <t>]</t>
    </r>
    <r>
      <rPr>
        <vertAlign val="subscript"/>
        <sz val="11"/>
        <rFont val="Calibri"/>
        <family val="2"/>
        <scheme val="minor"/>
      </rPr>
      <t>eq</t>
    </r>
    <r>
      <rPr>
        <sz val="11"/>
        <rFont val="Calibri"/>
        <family val="2"/>
        <scheme val="minor"/>
      </rPr>
      <t>+K</t>
    </r>
    <r>
      <rPr>
        <vertAlign val="subscript"/>
        <sz val="11"/>
        <rFont val="Calibri"/>
        <family val="2"/>
        <scheme val="minor"/>
      </rPr>
      <t>NO2</t>
    </r>
    <r>
      <rPr>
        <sz val="11"/>
        <rFont val="Calibri"/>
        <family val="2"/>
        <scheme val="minor"/>
      </rPr>
      <t>)</t>
    </r>
  </si>
  <si>
    <r>
      <t>[H</t>
    </r>
    <r>
      <rPr>
        <vertAlign val="superscript"/>
        <sz val="11"/>
        <rFont val="Calibri"/>
        <family val="2"/>
      </rPr>
      <t>+</t>
    </r>
    <r>
      <rPr>
        <sz val="11"/>
        <rFont val="Calibri"/>
        <family val="2"/>
      </rPr>
      <t>]*S</t>
    </r>
    <r>
      <rPr>
        <vertAlign val="subscript"/>
        <sz val="11"/>
        <rFont val="Calibri"/>
        <family val="2"/>
      </rPr>
      <t>VFA</t>
    </r>
    <r>
      <rPr>
        <sz val="11"/>
        <rFont val="Calibri"/>
        <family val="2"/>
      </rPr>
      <t>/(4*AM</t>
    </r>
    <r>
      <rPr>
        <vertAlign val="subscript"/>
        <sz val="11"/>
        <rFont val="Calibri"/>
        <family val="2"/>
      </rPr>
      <t>O</t>
    </r>
    <r>
      <rPr>
        <sz val="11"/>
        <rFont val="Calibri"/>
        <family val="2"/>
      </rPr>
      <t>*1000)/([H</t>
    </r>
    <r>
      <rPr>
        <vertAlign val="superscript"/>
        <sz val="11"/>
        <rFont val="Calibri"/>
        <family val="2"/>
      </rPr>
      <t>+</t>
    </r>
    <r>
      <rPr>
        <sz val="11"/>
        <rFont val="Calibri"/>
        <family val="2"/>
      </rPr>
      <t>]+K</t>
    </r>
    <r>
      <rPr>
        <vertAlign val="subscript"/>
        <sz val="11"/>
        <rFont val="Calibri"/>
        <family val="2"/>
      </rPr>
      <t>Ac</t>
    </r>
    <r>
      <rPr>
        <sz val="11"/>
        <rFont val="Calibri"/>
        <family val="2"/>
      </rPr>
      <t>)</t>
    </r>
  </si>
  <si>
    <r>
      <t>S</t>
    </r>
    <r>
      <rPr>
        <vertAlign val="subscript"/>
        <sz val="11"/>
        <rFont val="Calibri"/>
        <family val="2"/>
      </rPr>
      <t>VFA</t>
    </r>
    <r>
      <rPr>
        <sz val="11"/>
        <rFont val="Calibri"/>
        <family val="2"/>
      </rPr>
      <t>/(4*AM</t>
    </r>
    <r>
      <rPr>
        <vertAlign val="subscript"/>
        <sz val="11"/>
        <rFont val="Calibri"/>
        <family val="2"/>
      </rPr>
      <t>O</t>
    </r>
    <r>
      <rPr>
        <sz val="11"/>
        <rFont val="Calibri"/>
        <family val="2"/>
      </rPr>
      <t>*1000)*K</t>
    </r>
    <r>
      <rPr>
        <vertAlign val="subscript"/>
        <sz val="11"/>
        <rFont val="Calibri"/>
        <family val="2"/>
      </rPr>
      <t>Ac</t>
    </r>
    <r>
      <rPr>
        <sz val="11"/>
        <rFont val="Calibri"/>
        <family val="2"/>
      </rPr>
      <t>/([H</t>
    </r>
    <r>
      <rPr>
        <vertAlign val="superscript"/>
        <sz val="11"/>
        <rFont val="Calibri"/>
        <family val="2"/>
      </rPr>
      <t>+</t>
    </r>
    <r>
      <rPr>
        <sz val="11"/>
        <rFont val="Calibri"/>
        <family val="2"/>
      </rPr>
      <t>]+K</t>
    </r>
    <r>
      <rPr>
        <vertAlign val="subscript"/>
        <sz val="11"/>
        <rFont val="Calibri"/>
        <family val="2"/>
      </rPr>
      <t>Ac</t>
    </r>
    <r>
      <rPr>
        <sz val="11"/>
        <rFont val="Calibri"/>
        <family val="2"/>
      </rPr>
      <t>)</t>
    </r>
  </si>
  <si>
    <r>
      <t>Inhibition term for NO</t>
    </r>
    <r>
      <rPr>
        <vertAlign val="subscript"/>
        <sz val="11"/>
        <color rgb="FF000000"/>
        <rFont val="Calibri"/>
        <family val="2"/>
        <scheme val="minor"/>
      </rPr>
      <t>2</t>
    </r>
    <r>
      <rPr>
        <sz val="11"/>
        <color rgb="FF000000"/>
        <rFont val="Calibri"/>
        <family val="2"/>
        <charset val="238"/>
        <scheme val="minor"/>
      </rPr>
      <t xml:space="preserve"> (OHO)</t>
    </r>
  </si>
  <si>
    <r>
      <t>Inhibition term for NO</t>
    </r>
    <r>
      <rPr>
        <vertAlign val="subscript"/>
        <sz val="11"/>
        <color rgb="FF000000"/>
        <rFont val="Calibri"/>
        <family val="2"/>
        <scheme val="minor"/>
      </rPr>
      <t>3</t>
    </r>
    <r>
      <rPr>
        <sz val="11"/>
        <color rgb="FF000000"/>
        <rFont val="Calibri"/>
        <family val="2"/>
        <charset val="238"/>
        <scheme val="minor"/>
      </rPr>
      <t xml:space="preserve"> (OHO)</t>
    </r>
  </si>
  <si>
    <r>
      <t>S</t>
    </r>
    <r>
      <rPr>
        <vertAlign val="subscript"/>
        <sz val="11"/>
        <rFont val="Calibri"/>
        <family val="2"/>
      </rPr>
      <t>B</t>
    </r>
    <r>
      <rPr>
        <sz val="11"/>
        <rFont val="Calibri"/>
        <family val="2"/>
      </rPr>
      <t xml:space="preserve"> fermentation with low VFA (OHO growth, anaerobic)</t>
    </r>
  </si>
  <si>
    <t>Aging of active HFO,H</t>
  </si>
  <si>
    <t>Aging of active HFO,L</t>
  </si>
  <si>
    <t>Fast binding of P on active HFO,H</t>
  </si>
  <si>
    <t>Slow binding of P on active HFO,L</t>
  </si>
  <si>
    <t>Volatile fatty acids (VFA)</t>
  </si>
  <si>
    <t>Methanol (MEOL)</t>
  </si>
  <si>
    <t>Ordinary heterotrophic organisms (OHO)</t>
  </si>
  <si>
    <t>Anoxic methanol utilizers (MEOLO)</t>
  </si>
  <si>
    <t>Aerobic ammonia oxidizers (AOB)</t>
  </si>
  <si>
    <t>Nitrite oxidizers (NOB)</t>
  </si>
  <si>
    <t>Anammox organisms (AMX)</t>
  </si>
  <si>
    <t>Acidoclastic methanogens (AMETO)</t>
  </si>
  <si>
    <t>Hydrogenotrophic methanogens (HMETO)</t>
  </si>
  <si>
    <r>
      <t>Total ammonia (NH</t>
    </r>
    <r>
      <rPr>
        <vertAlign val="subscript"/>
        <sz val="11"/>
        <color theme="1"/>
        <rFont val="Calibri"/>
        <family val="2"/>
        <scheme val="minor"/>
      </rPr>
      <t>x</t>
    </r>
    <r>
      <rPr>
        <sz val="11"/>
        <color indexed="8"/>
        <rFont val="Calibri"/>
        <family val="2"/>
      </rPr>
      <t>)</t>
    </r>
  </si>
  <si>
    <r>
      <t>Nitrite (NO</t>
    </r>
    <r>
      <rPr>
        <vertAlign val="subscript"/>
        <sz val="11"/>
        <color rgb="FF000000"/>
        <rFont val="Calibri"/>
        <family val="2"/>
        <scheme val="minor"/>
      </rPr>
      <t>2</t>
    </r>
    <r>
      <rPr>
        <sz val="11"/>
        <color rgb="FF000000"/>
        <rFont val="Calibri"/>
        <family val="2"/>
        <charset val="238"/>
        <scheme val="minor"/>
      </rPr>
      <t>)</t>
    </r>
  </si>
  <si>
    <r>
      <t>Nitrate (NO</t>
    </r>
    <r>
      <rPr>
        <vertAlign val="subscript"/>
        <sz val="11"/>
        <color rgb="FF000000"/>
        <rFont val="Calibri"/>
        <family val="2"/>
        <scheme val="minor"/>
      </rPr>
      <t>3</t>
    </r>
    <r>
      <rPr>
        <sz val="11"/>
        <color rgb="FF000000"/>
        <rFont val="Calibri"/>
        <family val="2"/>
        <charset val="238"/>
        <scheme val="minor"/>
      </rPr>
      <t>)</t>
    </r>
  </si>
  <si>
    <r>
      <t>Dissolved nitrogen (N</t>
    </r>
    <r>
      <rPr>
        <vertAlign val="subscript"/>
        <sz val="11"/>
        <color rgb="FF000000"/>
        <rFont val="Calibri"/>
        <family val="2"/>
        <scheme val="minor"/>
      </rPr>
      <t>2</t>
    </r>
    <r>
      <rPr>
        <sz val="11"/>
        <color rgb="FF000000"/>
        <rFont val="Calibri"/>
        <family val="2"/>
        <charset val="238"/>
        <scheme val="minor"/>
      </rPr>
      <t>)</t>
    </r>
  </si>
  <si>
    <r>
      <t>Particulate biodegradable organic N (from X</t>
    </r>
    <r>
      <rPr>
        <vertAlign val="subscript"/>
        <sz val="11"/>
        <color rgb="FF000000"/>
        <rFont val="Calibri"/>
        <family val="2"/>
        <scheme val="minor"/>
      </rPr>
      <t>B</t>
    </r>
    <r>
      <rPr>
        <sz val="11"/>
        <color rgb="FF000000"/>
        <rFont val="Calibri"/>
        <family val="2"/>
        <charset val="238"/>
        <scheme val="minor"/>
      </rPr>
      <t>)</t>
    </r>
  </si>
  <si>
    <r>
      <t>Orthophosphate (PO</t>
    </r>
    <r>
      <rPr>
        <vertAlign val="subscript"/>
        <sz val="11"/>
        <color rgb="FF000000"/>
        <rFont val="Calibri"/>
        <family val="2"/>
        <scheme val="minor"/>
      </rPr>
      <t>4</t>
    </r>
    <r>
      <rPr>
        <sz val="11"/>
        <color rgb="FF000000"/>
        <rFont val="Calibri"/>
        <family val="2"/>
        <charset val="238"/>
        <scheme val="minor"/>
      </rPr>
      <t>)</t>
    </r>
  </si>
  <si>
    <t>Stored polyphosphate (PP)</t>
  </si>
  <si>
    <t>Soluble biodegradable organic P (from SB)</t>
  </si>
  <si>
    <r>
      <t>Particulate biodegradable organic P (from X</t>
    </r>
    <r>
      <rPr>
        <vertAlign val="subscript"/>
        <sz val="11"/>
        <color rgb="FF000000"/>
        <rFont val="Calibri"/>
        <family val="2"/>
        <scheme val="minor"/>
      </rPr>
      <t>B</t>
    </r>
    <r>
      <rPr>
        <sz val="11"/>
        <color rgb="FF000000"/>
        <rFont val="Calibri"/>
        <family val="2"/>
        <charset val="238"/>
        <scheme val="minor"/>
      </rPr>
      <t>)</t>
    </r>
  </si>
  <si>
    <t>Particulate unbiodegradable organic P</t>
  </si>
  <si>
    <r>
      <t>Dissolved oxygen (O</t>
    </r>
    <r>
      <rPr>
        <vertAlign val="subscript"/>
        <sz val="11"/>
        <color rgb="FF000000"/>
        <rFont val="Calibri"/>
        <family val="2"/>
        <scheme val="minor"/>
      </rPr>
      <t>2</t>
    </r>
    <r>
      <rPr>
        <sz val="11"/>
        <color rgb="FF000000"/>
        <rFont val="Calibri"/>
        <family val="2"/>
        <charset val="238"/>
        <scheme val="minor"/>
      </rPr>
      <t>)</t>
    </r>
  </si>
  <si>
    <r>
      <t>Dissolved methane (CH</t>
    </r>
    <r>
      <rPr>
        <vertAlign val="subscript"/>
        <sz val="11"/>
        <color rgb="FF000000"/>
        <rFont val="Calibri"/>
        <family val="2"/>
        <scheme val="minor"/>
      </rPr>
      <t>4</t>
    </r>
    <r>
      <rPr>
        <sz val="11"/>
        <color rgb="FF000000"/>
        <rFont val="Calibri"/>
        <family val="2"/>
        <charset val="238"/>
        <scheme val="minor"/>
      </rPr>
      <t>)</t>
    </r>
  </si>
  <si>
    <r>
      <t>Dissolved hydrogen (H</t>
    </r>
    <r>
      <rPr>
        <vertAlign val="subscript"/>
        <sz val="11"/>
        <color rgb="FF000000"/>
        <rFont val="Calibri"/>
        <family val="2"/>
        <scheme val="minor"/>
      </rPr>
      <t>2</t>
    </r>
    <r>
      <rPr>
        <sz val="11"/>
        <color rgb="FF000000"/>
        <rFont val="Calibri"/>
        <family val="2"/>
        <charset val="238"/>
        <scheme val="minor"/>
      </rPr>
      <t>)</t>
    </r>
  </si>
  <si>
    <r>
      <t>Total inorganic carbon (CO</t>
    </r>
    <r>
      <rPr>
        <vertAlign val="subscript"/>
        <sz val="11"/>
        <color rgb="FF000000"/>
        <rFont val="Calibri"/>
        <family val="2"/>
        <scheme val="minor"/>
      </rPr>
      <t>2</t>
    </r>
    <r>
      <rPr>
        <sz val="11"/>
        <color rgb="FF000000"/>
        <rFont val="Calibri"/>
        <family val="2"/>
        <charset val="238"/>
        <scheme val="minor"/>
      </rPr>
      <t>)</t>
    </r>
  </si>
  <si>
    <r>
      <t>Other strong cations (as Na</t>
    </r>
    <r>
      <rPr>
        <vertAlign val="superscript"/>
        <sz val="11"/>
        <color rgb="FF000000"/>
        <rFont val="Calibri"/>
        <family val="2"/>
        <scheme val="minor"/>
      </rPr>
      <t>+</t>
    </r>
    <r>
      <rPr>
        <sz val="11"/>
        <color rgb="FF000000"/>
        <rFont val="Calibri"/>
        <family val="2"/>
        <charset val="238"/>
        <scheme val="minor"/>
      </rPr>
      <t>)</t>
    </r>
  </si>
  <si>
    <r>
      <t>Other strong anions (as Cl</t>
    </r>
    <r>
      <rPr>
        <vertAlign val="superscript"/>
        <sz val="11"/>
        <color rgb="FF000000"/>
        <rFont val="Calibri"/>
        <family val="2"/>
        <scheme val="minor"/>
      </rPr>
      <t>-</t>
    </r>
    <r>
      <rPr>
        <sz val="11"/>
        <color rgb="FF000000"/>
        <rFont val="Calibri"/>
        <family val="2"/>
        <charset val="238"/>
        <scheme val="minor"/>
      </rPr>
      <t>)</t>
    </r>
  </si>
  <si>
    <r>
      <t>Ferrous ion (Fe</t>
    </r>
    <r>
      <rPr>
        <vertAlign val="subscript"/>
        <sz val="11"/>
        <color rgb="FF000000"/>
        <rFont val="Calibri"/>
        <family val="2"/>
        <scheme val="minor"/>
      </rPr>
      <t>2</t>
    </r>
    <r>
      <rPr>
        <sz val="11"/>
        <color rgb="FF000000"/>
        <rFont val="Calibri"/>
        <family val="2"/>
        <charset val="238"/>
        <scheme val="minor"/>
      </rPr>
      <t>)</t>
    </r>
  </si>
  <si>
    <t>Active hydrous ferric oxide, high surface (HFO,H)</t>
  </si>
  <si>
    <t>Active hydrous ferric oxide, low surface (HFO,L)</t>
  </si>
  <si>
    <t>Aged unused hydrous ferric oxide (HFO,old)</t>
  </si>
  <si>
    <t>P-bound hydrous ferric oxide, high surface (HFO,H,P)</t>
  </si>
  <si>
    <t>P-bound hydrous ferric oxide, low surface (HFO,L,P)</t>
  </si>
  <si>
    <r>
      <t>Calcium carbonate (CaCO</t>
    </r>
    <r>
      <rPr>
        <vertAlign val="subscript"/>
        <sz val="11"/>
        <color theme="1"/>
        <rFont val="Calibri"/>
        <family val="2"/>
        <scheme val="minor"/>
      </rPr>
      <t>3</t>
    </r>
    <r>
      <rPr>
        <sz val="11"/>
        <color indexed="8"/>
        <rFont val="Calibri"/>
        <family val="2"/>
      </rPr>
      <t>)</t>
    </r>
  </si>
  <si>
    <t>Amorphous calcium phosphate (ACP)</t>
  </si>
  <si>
    <t>Struvite (STR)</t>
  </si>
  <si>
    <t>Vivianite (Vivi)</t>
  </si>
  <si>
    <r>
      <t>Inhibition term for NH</t>
    </r>
    <r>
      <rPr>
        <vertAlign val="subscript"/>
        <sz val="11"/>
        <color rgb="FF000000"/>
        <rFont val="Calibri"/>
        <family val="2"/>
        <scheme val="minor"/>
      </rPr>
      <t>x</t>
    </r>
    <r>
      <rPr>
        <sz val="11"/>
        <color rgb="FF000000"/>
        <rFont val="Calibri"/>
        <family val="2"/>
        <charset val="238"/>
        <scheme val="minor"/>
      </rPr>
      <t xml:space="preserve"> (assimilative reduction)</t>
    </r>
  </si>
  <si>
    <t>Dielectric constant</t>
  </si>
  <si>
    <t>Solution density</t>
  </si>
  <si>
    <t>Dissociation constant of nitrous acid (activity corrected)</t>
  </si>
  <si>
    <r>
      <t>Solubility constant of CaCO</t>
    </r>
    <r>
      <rPr>
        <vertAlign val="subscript"/>
        <sz val="11"/>
        <color rgb="FF000000"/>
        <rFont val="Calibri"/>
        <family val="2"/>
        <scheme val="minor"/>
      </rPr>
      <t>3</t>
    </r>
    <r>
      <rPr>
        <sz val="11"/>
        <color rgb="FF000000"/>
        <rFont val="Calibri"/>
        <family val="2"/>
        <charset val="238"/>
        <scheme val="minor"/>
      </rPr>
      <t xml:space="preserve"> (activity corrected)</t>
    </r>
  </si>
  <si>
    <t>Solubility constant of struvite (activity corrected)</t>
  </si>
  <si>
    <t>Solubility constant of vivianite (activity corrected)</t>
  </si>
  <si>
    <t>Solubility constant of ACP (activity corrected)</t>
  </si>
  <si>
    <t>Half-saturations for aerobic ammonia oxidizers (AOB)</t>
  </si>
  <si>
    <t>Aerobic ammonia oxidizer kinetics (AOB)</t>
  </si>
  <si>
    <t>Nitrite oxidizer kinetics (NOB)</t>
  </si>
  <si>
    <t>Anammox organism kinetics (AMX)</t>
  </si>
  <si>
    <r>
      <t>Half-inhibition of NH</t>
    </r>
    <r>
      <rPr>
        <vertAlign val="subscript"/>
        <sz val="11"/>
        <color rgb="FF000000"/>
        <rFont val="Calibri"/>
        <family val="2"/>
        <scheme val="minor"/>
      </rPr>
      <t>x</t>
    </r>
    <r>
      <rPr>
        <sz val="11"/>
        <color rgb="FF000000"/>
        <rFont val="Calibri"/>
        <family val="2"/>
        <charset val="238"/>
        <scheme val="minor"/>
      </rPr>
      <t xml:space="preserve"> in NO</t>
    </r>
    <r>
      <rPr>
        <vertAlign val="subscript"/>
        <sz val="11"/>
        <color rgb="FF000000"/>
        <rFont val="Calibri"/>
        <family val="2"/>
        <scheme val="minor"/>
      </rPr>
      <t>x</t>
    </r>
    <r>
      <rPr>
        <sz val="11"/>
        <color rgb="FF000000"/>
        <rFont val="Calibri"/>
        <family val="2"/>
        <charset val="238"/>
        <scheme val="minor"/>
      </rPr>
      <t xml:space="preserve"> assimilative reduction</t>
    </r>
  </si>
  <si>
    <r>
      <t>mol [HNO</t>
    </r>
    <r>
      <rPr>
        <vertAlign val="subscript"/>
        <sz val="11"/>
        <color indexed="8"/>
        <rFont val="Calibri"/>
        <family val="2"/>
        <scheme val="minor"/>
      </rPr>
      <t>2</t>
    </r>
    <r>
      <rPr>
        <sz val="11"/>
        <color indexed="8"/>
        <rFont val="Calibri"/>
        <family val="2"/>
        <scheme val="minor"/>
      </rPr>
      <t>].L</t>
    </r>
    <r>
      <rPr>
        <vertAlign val="superscript"/>
        <sz val="11"/>
        <color indexed="8"/>
        <rFont val="Calibri"/>
        <family val="2"/>
        <scheme val="minor"/>
      </rPr>
      <t>-1</t>
    </r>
  </si>
  <si>
    <r>
      <t>Half-saturation of NO</t>
    </r>
    <r>
      <rPr>
        <vertAlign val="subscript"/>
        <sz val="11"/>
        <color rgb="FF000000"/>
        <rFont val="Calibri"/>
        <family val="2"/>
        <scheme val="minor"/>
      </rPr>
      <t>x</t>
    </r>
    <r>
      <rPr>
        <sz val="11"/>
        <color rgb="FF000000"/>
        <rFont val="Calibri"/>
        <family val="2"/>
        <charset val="238"/>
        <scheme val="minor"/>
      </rPr>
      <t xml:space="preserve"> (anoxic conditions) for AMX</t>
    </r>
  </si>
  <si>
    <t>Half-saturations for conversions</t>
  </si>
  <si>
    <r>
      <t>g Na.m</t>
    </r>
    <r>
      <rPr>
        <vertAlign val="superscript"/>
        <sz val="11"/>
        <rFont val="Calibri"/>
        <family val="2"/>
        <scheme val="minor"/>
      </rPr>
      <t>-3</t>
    </r>
  </si>
  <si>
    <r>
      <t>g Cl.m</t>
    </r>
    <r>
      <rPr>
        <vertAlign val="superscript"/>
        <sz val="11"/>
        <rFont val="Calibri"/>
        <family val="2"/>
        <scheme val="minor"/>
      </rPr>
      <t>-3</t>
    </r>
  </si>
  <si>
    <r>
      <t>g X</t>
    </r>
    <r>
      <rPr>
        <vertAlign val="subscript"/>
        <sz val="11"/>
        <rFont val="Calibri"/>
        <family val="2"/>
        <scheme val="minor"/>
      </rPr>
      <t>E</t>
    </r>
    <r>
      <rPr>
        <sz val="11"/>
        <rFont val="Calibri"/>
        <family val="2"/>
        <scheme val="minor"/>
      </rPr>
      <t>.g X</t>
    </r>
    <r>
      <rPr>
        <vertAlign val="subscript"/>
        <sz val="11"/>
        <rFont val="Calibri"/>
        <family val="2"/>
        <scheme val="minor"/>
      </rPr>
      <t>BIO</t>
    </r>
    <r>
      <rPr>
        <vertAlign val="superscript"/>
        <sz val="11"/>
        <rFont val="Calibri"/>
        <family val="2"/>
        <scheme val="minor"/>
      </rPr>
      <t>-1</t>
    </r>
  </si>
  <si>
    <r>
      <t>g O2.g COD</t>
    </r>
    <r>
      <rPr>
        <vertAlign val="superscript"/>
        <sz val="11"/>
        <color theme="1"/>
        <rFont val="Calibri"/>
        <family val="2"/>
        <scheme val="minor"/>
      </rPr>
      <t>-1</t>
    </r>
  </si>
  <si>
    <r>
      <t>f</t>
    </r>
    <r>
      <rPr>
        <vertAlign val="subscript"/>
        <sz val="11"/>
        <rFont val="Calibri"/>
        <family val="2"/>
        <scheme val="minor"/>
      </rPr>
      <t>S,BOD5,BODult</t>
    </r>
  </si>
  <si>
    <t>Fraction of BOD5 to ultimate BOD in soluble biodegradable substrates</t>
  </si>
  <si>
    <r>
      <t>f</t>
    </r>
    <r>
      <rPr>
        <vertAlign val="subscript"/>
        <sz val="11"/>
        <rFont val="Calibri"/>
        <family val="2"/>
        <scheme val="minor"/>
      </rPr>
      <t>C,BOD5,BODult</t>
    </r>
  </si>
  <si>
    <t>Fraction of BOD5 to ultimate BOD in colloidal biodegradable substrates</t>
  </si>
  <si>
    <r>
      <t>f</t>
    </r>
    <r>
      <rPr>
        <vertAlign val="subscript"/>
        <sz val="11"/>
        <rFont val="Calibri"/>
        <family val="2"/>
        <scheme val="minor"/>
      </rPr>
      <t>X,BOD5,BODult</t>
    </r>
  </si>
  <si>
    <t>Fraction of BOD5 to ultimate BOD in particulate biodegradable substrates</t>
  </si>
  <si>
    <r>
      <t>Y</t>
    </r>
    <r>
      <rPr>
        <vertAlign val="subscript"/>
        <sz val="11"/>
        <rFont val="Calibri"/>
        <family val="2"/>
        <scheme val="minor"/>
      </rPr>
      <t>BOD,ult</t>
    </r>
    <r>
      <rPr>
        <sz val="11"/>
        <rFont val="Calibri"/>
        <family val="2"/>
        <scheme val="minor"/>
      </rPr>
      <t>*(S</t>
    </r>
    <r>
      <rPr>
        <vertAlign val="subscript"/>
        <sz val="11"/>
        <rFont val="Calibri"/>
        <family val="2"/>
        <scheme val="minor"/>
      </rPr>
      <t>VFA</t>
    </r>
    <r>
      <rPr>
        <sz val="11"/>
        <rFont val="Calibri"/>
        <family val="2"/>
        <scheme val="minor"/>
      </rPr>
      <t>+S</t>
    </r>
    <r>
      <rPr>
        <vertAlign val="subscript"/>
        <sz val="11"/>
        <rFont val="Calibri"/>
        <family val="2"/>
        <scheme val="minor"/>
      </rPr>
      <t>B</t>
    </r>
    <r>
      <rPr>
        <sz val="11"/>
        <rFont val="Calibri"/>
        <family val="2"/>
        <scheme val="minor"/>
      </rPr>
      <t>+S</t>
    </r>
    <r>
      <rPr>
        <vertAlign val="subscript"/>
        <sz val="11"/>
        <rFont val="Calibri"/>
        <family val="2"/>
        <scheme val="minor"/>
      </rPr>
      <t>MEOL</t>
    </r>
    <r>
      <rPr>
        <sz val="11"/>
        <rFont val="Calibri"/>
        <family val="2"/>
        <scheme val="minor"/>
      </rPr>
      <t>)*f</t>
    </r>
    <r>
      <rPr>
        <vertAlign val="subscript"/>
        <sz val="11"/>
        <rFont val="Calibri"/>
        <family val="2"/>
        <scheme val="minor"/>
      </rPr>
      <t xml:space="preserve">S,BOD5,BODult </t>
    </r>
    <r>
      <rPr>
        <sz val="11"/>
        <rFont val="Calibri"/>
        <family val="2"/>
        <scheme val="minor"/>
      </rPr>
      <t>+ Y</t>
    </r>
    <r>
      <rPr>
        <vertAlign val="subscript"/>
        <sz val="11"/>
        <rFont val="Calibri"/>
        <family val="2"/>
        <scheme val="minor"/>
      </rPr>
      <t>BOD,ult</t>
    </r>
    <r>
      <rPr>
        <sz val="11"/>
        <rFont val="Calibri"/>
        <family val="2"/>
        <scheme val="minor"/>
      </rPr>
      <t>*C</t>
    </r>
    <r>
      <rPr>
        <vertAlign val="subscript"/>
        <sz val="11"/>
        <rFont val="Calibri"/>
        <family val="2"/>
        <scheme val="minor"/>
      </rPr>
      <t>B</t>
    </r>
    <r>
      <rPr>
        <sz val="11"/>
        <rFont val="Calibri"/>
        <family val="2"/>
        <scheme val="minor"/>
      </rPr>
      <t>*f</t>
    </r>
    <r>
      <rPr>
        <vertAlign val="subscript"/>
        <sz val="11"/>
        <rFont val="Calibri"/>
        <family val="2"/>
        <scheme val="minor"/>
      </rPr>
      <t>C,BOD5,BODult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</si>
  <si>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X,BOD5,BODult</t>
    </r>
  </si>
  <si>
    <r>
      <t>S</t>
    </r>
    <r>
      <rPr>
        <vertAlign val="subscript"/>
        <sz val="11"/>
        <rFont val="Calibri"/>
        <family val="2"/>
      </rPr>
      <t>rbCOD</t>
    </r>
  </si>
  <si>
    <t>COD of readily biodegradable substrates</t>
  </si>
  <si>
    <r>
      <t>XC</t>
    </r>
    <r>
      <rPr>
        <vertAlign val="subscript"/>
        <sz val="11"/>
        <rFont val="Calibri"/>
        <family val="2"/>
      </rPr>
      <t>sbCOD</t>
    </r>
  </si>
  <si>
    <t>COD of slowly biodegradable substrates</t>
  </si>
  <si>
    <t>Oxygen uptake rate (OUR)</t>
  </si>
  <si>
    <t>Phosphorus uptake rate, biologically (PURBIO)</t>
  </si>
  <si>
    <t>Phosphorus uptake rate, chemically (PURCHEM)</t>
  </si>
  <si>
    <r>
      <t>S</t>
    </r>
    <r>
      <rPr>
        <vertAlign val="subscript"/>
        <sz val="11"/>
        <rFont val="Calibri"/>
        <family val="2"/>
      </rPr>
      <t>B</t>
    </r>
    <r>
      <rPr>
        <sz val="11"/>
        <rFont val="Calibri"/>
        <family val="2"/>
      </rPr>
      <t xml:space="preserve"> + S</t>
    </r>
    <r>
      <rPr>
        <vertAlign val="subscript"/>
        <sz val="11"/>
        <rFont val="Calibri"/>
        <family val="2"/>
      </rPr>
      <t xml:space="preserve">VFA </t>
    </r>
    <r>
      <rPr>
        <sz val="11"/>
        <rFont val="Calibri"/>
        <family val="2"/>
      </rPr>
      <t>+ S</t>
    </r>
    <r>
      <rPr>
        <vertAlign val="subscript"/>
        <sz val="11"/>
        <rFont val="Calibri"/>
        <family val="2"/>
      </rPr>
      <t>MEOL</t>
    </r>
  </si>
  <si>
    <r>
      <t>S</t>
    </r>
    <r>
      <rPr>
        <vertAlign val="subscript"/>
        <sz val="11"/>
        <rFont val="Calibri"/>
        <family val="2"/>
        <scheme val="minor"/>
      </rPr>
      <t>IC</t>
    </r>
  </si>
  <si>
    <t>Strong ion correction</t>
  </si>
  <si>
    <r>
      <t>S</t>
    </r>
    <r>
      <rPr>
        <vertAlign val="subscript"/>
        <sz val="11"/>
        <rFont val="Calibri"/>
        <family val="2"/>
        <scheme val="minor"/>
      </rPr>
      <t>CAT,ini,corr</t>
    </r>
  </si>
  <si>
    <r>
      <t>Other strong cations (as Na</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</si>
  <si>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CAT,ini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t>
    </r>
  </si>
  <si>
    <r>
      <t>S</t>
    </r>
    <r>
      <rPr>
        <vertAlign val="subscript"/>
        <sz val="11"/>
        <rFont val="Calibri"/>
        <family val="2"/>
        <scheme val="minor"/>
      </rPr>
      <t>AN,ini,corr</t>
    </r>
  </si>
  <si>
    <r>
      <t>Other strong anions (as Cl</t>
    </r>
    <r>
      <rPr>
        <vertAlign val="superscript"/>
        <sz val="11"/>
        <color rgb="FF000000"/>
        <rFont val="Calibri"/>
        <family val="2"/>
        <scheme val="minor"/>
      </rPr>
      <t>-</t>
    </r>
    <r>
      <rPr>
        <sz val="11"/>
        <color rgb="FF000000"/>
        <rFont val="Calibri"/>
        <family val="2"/>
        <charset val="238"/>
        <scheme val="minor"/>
      </rPr>
      <t>) correction</t>
    </r>
  </si>
  <si>
    <r>
      <t>S</t>
    </r>
    <r>
      <rPr>
        <vertAlign val="subscript"/>
        <sz val="11"/>
        <color indexed="8"/>
        <rFont val="Calibri"/>
        <family val="2"/>
      </rPr>
      <t>AN,ini</t>
    </r>
    <r>
      <rPr>
        <sz val="11"/>
        <color indexed="8"/>
        <rFont val="Calibri"/>
        <family val="2"/>
      </rPr>
      <t xml:space="preserve">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t>
    </r>
  </si>
  <si>
    <r>
      <t>Other strong cations (as Na</t>
    </r>
    <r>
      <rPr>
        <vertAlign val="superscript"/>
        <sz val="11"/>
        <color rgb="FF000000"/>
        <rFont val="Calibri"/>
        <family val="2"/>
        <scheme val="minor"/>
      </rPr>
      <t>+</t>
    </r>
    <r>
      <rPr>
        <sz val="11"/>
        <color rgb="FF000000"/>
        <rFont val="Calibri"/>
        <family val="2"/>
        <charset val="238"/>
        <scheme val="minor"/>
      </rPr>
      <t>)</t>
    </r>
  </si>
  <si>
    <r>
      <t>If(S</t>
    </r>
    <r>
      <rPr>
        <vertAlign val="subscript"/>
        <sz val="11"/>
        <color indexed="8"/>
        <rFont val="Calibri"/>
        <family val="2"/>
      </rPr>
      <t>CAT,ini,corr</t>
    </r>
    <r>
      <rPr>
        <sz val="11"/>
        <color indexed="8"/>
        <rFont val="Calibri"/>
        <family val="2"/>
      </rPr>
      <t>&gt; 0; S</t>
    </r>
    <r>
      <rPr>
        <vertAlign val="subscript"/>
        <sz val="11"/>
        <color indexed="8"/>
        <rFont val="Calibri"/>
        <family val="2"/>
      </rPr>
      <t>CAT,ini,corr</t>
    </r>
    <r>
      <rPr>
        <sz val="11"/>
        <color theme="1"/>
        <rFont val="Calibri"/>
        <family val="2"/>
        <scheme val="minor"/>
      </rPr>
      <t>; S</t>
    </r>
    <r>
      <rPr>
        <vertAlign val="subscript"/>
        <sz val="11"/>
        <color theme="1"/>
        <rFont val="Calibri"/>
        <family val="2"/>
        <scheme val="minor"/>
      </rPr>
      <t>CAT,ini</t>
    </r>
    <r>
      <rPr>
        <sz val="11"/>
        <color indexed="8"/>
        <rFont val="Calibri"/>
        <family val="2"/>
      </rPr>
      <t>)</t>
    </r>
  </si>
  <si>
    <r>
      <t>Other strong anions (as Cl</t>
    </r>
    <r>
      <rPr>
        <vertAlign val="superscript"/>
        <sz val="11"/>
        <color rgb="FF000000"/>
        <rFont val="Calibri"/>
        <family val="2"/>
        <scheme val="minor"/>
      </rPr>
      <t>-</t>
    </r>
    <r>
      <rPr>
        <sz val="11"/>
        <color rgb="FF000000"/>
        <rFont val="Calibri"/>
        <family val="2"/>
        <charset val="238"/>
        <scheme val="minor"/>
      </rPr>
      <t>)</t>
    </r>
  </si>
  <si>
    <r>
      <t>If(S</t>
    </r>
    <r>
      <rPr>
        <vertAlign val="subscript"/>
        <sz val="11"/>
        <color theme="1"/>
        <rFont val="Calibri"/>
        <family val="2"/>
        <scheme val="minor"/>
      </rPr>
      <t>CAT,ini,corr</t>
    </r>
    <r>
      <rPr>
        <sz val="11"/>
        <color indexed="8"/>
        <rFont val="Calibri"/>
        <family val="2"/>
      </rPr>
      <t>&gt; 0; S</t>
    </r>
    <r>
      <rPr>
        <vertAlign val="subscript"/>
        <sz val="11"/>
        <color theme="1"/>
        <rFont val="Calibri"/>
        <family val="2"/>
        <scheme val="minor"/>
      </rPr>
      <t>AN,ini</t>
    </r>
    <r>
      <rPr>
        <sz val="11"/>
        <color indexed="8"/>
        <rFont val="Calibri"/>
        <family val="2"/>
      </rPr>
      <t>; S</t>
    </r>
    <r>
      <rPr>
        <vertAlign val="subscript"/>
        <sz val="11"/>
        <color theme="1"/>
        <rFont val="Calibri"/>
        <family val="2"/>
        <scheme val="minor"/>
      </rPr>
      <t>AN,ini,corr</t>
    </r>
    <r>
      <rPr>
        <sz val="11"/>
        <color indexed="8"/>
        <rFont val="Calibri"/>
        <family val="2"/>
      </rPr>
      <t>)</t>
    </r>
  </si>
  <si>
    <r>
      <t>S</t>
    </r>
    <r>
      <rPr>
        <vertAlign val="subscript"/>
        <sz val="11"/>
        <rFont val="Calibri"/>
        <family val="2"/>
        <scheme val="minor"/>
      </rPr>
      <t>BOD,5</t>
    </r>
    <r>
      <rPr>
        <sz val="11"/>
        <rFont val="Calibri"/>
        <family val="2"/>
        <scheme val="minor"/>
      </rPr>
      <t>+X</t>
    </r>
    <r>
      <rPr>
        <vertAlign val="subscript"/>
        <sz val="11"/>
        <rFont val="Calibri"/>
        <family val="2"/>
        <scheme val="minor"/>
      </rPr>
      <t>BOD,5</t>
    </r>
  </si>
  <si>
    <r>
      <t>f</t>
    </r>
    <r>
      <rPr>
        <vertAlign val="subscript"/>
        <sz val="11"/>
        <rFont val="Calibri"/>
        <family val="2"/>
        <scheme val="minor"/>
      </rPr>
      <t>H2O,HFO,TSS</t>
    </r>
  </si>
  <si>
    <r>
      <t>Fraction of H</t>
    </r>
    <r>
      <rPr>
        <vertAlign val="subscript"/>
        <sz val="11"/>
        <color rgb="FF000000"/>
        <rFont val="Calibri"/>
        <family val="2"/>
        <scheme val="minor"/>
      </rPr>
      <t>2</t>
    </r>
    <r>
      <rPr>
        <sz val="11"/>
        <color rgb="FF000000"/>
        <rFont val="Calibri"/>
        <family val="2"/>
        <charset val="238"/>
        <scheme val="minor"/>
      </rPr>
      <t>O loss in TSS test for HFO</t>
    </r>
  </si>
  <si>
    <r>
      <t>g H2O.g FeOH</t>
    </r>
    <r>
      <rPr>
        <vertAlign val="superscript"/>
        <sz val="11"/>
        <rFont val="Calibri"/>
        <family val="2"/>
        <scheme val="minor"/>
      </rPr>
      <t>-1</t>
    </r>
  </si>
  <si>
    <r>
      <t>f</t>
    </r>
    <r>
      <rPr>
        <vertAlign val="subscript"/>
        <sz val="11"/>
        <rFont val="Calibri"/>
        <family val="2"/>
        <scheme val="minor"/>
      </rPr>
      <t>H2O,HFO,VSS</t>
    </r>
  </si>
  <si>
    <t xml:space="preserve">Fraction of H2O loss in VSS test for HFO </t>
  </si>
  <si>
    <t>Me(OH)3 -&gt; Me2O3 + 3H2O</t>
  </si>
  <si>
    <t>Fe</t>
  </si>
  <si>
    <t>Al</t>
  </si>
  <si>
    <t>g H2O /g MeOH</t>
  </si>
  <si>
    <t>theoretical complete reaction</t>
  </si>
  <si>
    <t>measured loss between 105°C and 500°C</t>
  </si>
  <si>
    <t>Stricker et al. (2004) for Fe, calculation for Al</t>
  </si>
  <si>
    <r>
      <t>X</t>
    </r>
    <r>
      <rPr>
        <vertAlign val="subscript"/>
        <sz val="11"/>
        <rFont val="Calibri"/>
        <family val="2"/>
        <scheme val="minor"/>
      </rPr>
      <t>Me,TSS</t>
    </r>
  </si>
  <si>
    <t>Metal precipitates in TSS unit</t>
  </si>
  <si>
    <t>r75</t>
  </si>
  <si>
    <t>r76</t>
  </si>
  <si>
    <t>r77</t>
  </si>
  <si>
    <t>r78</t>
  </si>
  <si>
    <t>r79</t>
  </si>
  <si>
    <t>r80</t>
  </si>
  <si>
    <t>r81</t>
  </si>
  <si>
    <t>r82</t>
  </si>
  <si>
    <t>r84</t>
  </si>
  <si>
    <t>r85</t>
  </si>
  <si>
    <t>OHO anaerobic decay</t>
  </si>
  <si>
    <t>MEOLO anaerobic decay</t>
  </si>
  <si>
    <t>AOB anaerobic decay</t>
  </si>
  <si>
    <t>NOB anaerobic decay</t>
  </si>
  <si>
    <t>Anammox anaerobic decay</t>
  </si>
  <si>
    <t>AMETO anaerobic decay</t>
  </si>
  <si>
    <t>HMETO anaerobic decay</t>
  </si>
  <si>
    <r>
      <t>b</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b,anox</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</si>
  <si>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b</t>
    </r>
    <r>
      <rPr>
        <vertAlign val="subscript"/>
        <sz val="11"/>
        <rFont val="Calibri"/>
        <family val="2"/>
      </rPr>
      <t>OHO,T</t>
    </r>
    <r>
      <rPr>
        <sz val="11"/>
        <rFont val="Calibri"/>
        <family val="2"/>
      </rPr>
      <t>*X</t>
    </r>
    <r>
      <rPr>
        <vertAlign val="subscript"/>
        <sz val="11"/>
        <rFont val="Calibri"/>
        <family val="2"/>
      </rPr>
      <t>OHO</t>
    </r>
    <r>
      <rPr>
        <sz val="11"/>
        <rFont val="Calibri"/>
        <family val="2"/>
      </rPr>
      <t>*</t>
    </r>
    <r>
      <rPr>
        <sz val="11"/>
        <rFont val="Calibri"/>
        <family val="2"/>
      </rPr>
      <t>η</t>
    </r>
    <r>
      <rPr>
        <vertAlign val="subscript"/>
        <sz val="11"/>
        <rFont val="Calibri"/>
        <family val="2"/>
      </rPr>
      <t>b,ana</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*Minh</t>
    </r>
    <r>
      <rPr>
        <vertAlign val="subscript"/>
        <sz val="11"/>
        <rFont val="Calibri"/>
        <family val="2"/>
      </rPr>
      <t>SO2,KO2,OHO</t>
    </r>
  </si>
  <si>
    <r>
      <t>J.m</t>
    </r>
    <r>
      <rPr>
        <vertAlign val="superscript"/>
        <sz val="11"/>
        <rFont val="Calibri"/>
        <family val="2"/>
        <scheme val="minor"/>
      </rPr>
      <t>-3</t>
    </r>
  </si>
  <si>
    <r>
      <t>Molecular mass of Fe(OH)</t>
    </r>
    <r>
      <rPr>
        <vertAlign val="subscript"/>
        <sz val="11"/>
        <rFont val="Calibri"/>
        <family val="2"/>
        <scheme val="minor"/>
      </rPr>
      <t>3</t>
    </r>
  </si>
  <si>
    <r>
      <t>Molecular mass of Al(OH)</t>
    </r>
    <r>
      <rPr>
        <vertAlign val="subscript"/>
        <sz val="11"/>
        <rFont val="Calibri"/>
        <family val="2"/>
        <scheme val="minor"/>
      </rPr>
      <t>3</t>
    </r>
  </si>
  <si>
    <r>
      <t>Molecular mass of AlPO</t>
    </r>
    <r>
      <rPr>
        <vertAlign val="subscript"/>
        <sz val="11"/>
        <rFont val="Calibri"/>
        <family val="2"/>
        <scheme val="minor"/>
      </rPr>
      <t>4</t>
    </r>
  </si>
  <si>
    <t>Dissociation constant of water</t>
  </si>
  <si>
    <t>10^-13.997 NIST  (Minteq V4) 25°C</t>
  </si>
  <si>
    <t>Dissociation constant of ammonia</t>
  </si>
  <si>
    <t>10^-9.244 NIST  (Minteq V4) 25°C</t>
  </si>
  <si>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</si>
  <si>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</si>
  <si>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</si>
  <si>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</si>
  <si>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</si>
  <si>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</si>
  <si>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</si>
  <si>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</si>
  <si>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</si>
  <si>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</si>
  <si>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</si>
  <si>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</si>
  <si>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</si>
  <si>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</si>
  <si>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</si>
  <si>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</si>
  <si>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</si>
  <si>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</si>
  <si>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</si>
  <si>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</si>
  <si>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t>Solubility constant of ACP</t>
  </si>
  <si>
    <t>Solubility constant of vivianite</t>
  </si>
  <si>
    <t>Solubility constant of FeS</t>
  </si>
  <si>
    <t>Solubility constant of HDP</t>
  </si>
  <si>
    <t>Solubility constant of MKP</t>
  </si>
  <si>
    <r>
      <t>J.mol</t>
    </r>
    <r>
      <rPr>
        <vertAlign val="superscript"/>
        <sz val="11"/>
        <rFont val="Calibri"/>
        <family val="2"/>
        <scheme val="minor"/>
      </rPr>
      <t>-1</t>
    </r>
  </si>
  <si>
    <t>Diffusion coefficient of volatile fatty acids</t>
  </si>
  <si>
    <t>to be set accurately</t>
  </si>
  <si>
    <t>Diffusion coefficient of soluble degradable organics</t>
  </si>
  <si>
    <t>Diffusion coefficient of soluble degradable organics (monomers)</t>
  </si>
  <si>
    <t>Diffusion coefficient of soluble degradable organics (polymers)</t>
  </si>
  <si>
    <t>Diffusion coefficient of fermentable organic matter</t>
  </si>
  <si>
    <t>Diffusion coefficient of methanol</t>
  </si>
  <si>
    <t>Diffusion coefficient of soluble undegradable organics</t>
  </si>
  <si>
    <t>Diffusion coefficient of total ammonia</t>
  </si>
  <si>
    <t>Diffusivities from Perry, Handbook of Chemical Engineers, Table 2-372, for 25°C, as acetate</t>
  </si>
  <si>
    <t>Diffusion coefficient of ammonia</t>
  </si>
  <si>
    <t>Diffusitives from Perry, Handbook of Chemical Engineers, Table 2-372, for 25°C, as acetate</t>
  </si>
  <si>
    <t>Diffusion coefficient of nitrate and nitrite</t>
  </si>
  <si>
    <t>Diffusion coefficient of orthophosphate</t>
  </si>
  <si>
    <t>Diffusion coefficient of dissolved nitrogen gas</t>
  </si>
  <si>
    <t>Diffusitives from Perry, Handbook of Chemical Engineers, Table 2-372, for 25°C</t>
  </si>
  <si>
    <t>Diffusion coefficient of soluble inert organic nitrogen</t>
  </si>
  <si>
    <t>Assumed the same as SS</t>
  </si>
  <si>
    <t>Diffusion coefficient of soluble biodegradable organic nitrogen</t>
  </si>
  <si>
    <t>Diffusion coefficient of nitrite</t>
  </si>
  <si>
    <t>Diffusion coefficient of nitrate</t>
  </si>
  <si>
    <t>Diffusion coefficient of soluble biodegradable organic N</t>
  </si>
  <si>
    <t>Diffusion coefficient of soluble biodegradable organic P</t>
  </si>
  <si>
    <t>Diffusion coefficient of dissolved oxygen</t>
  </si>
  <si>
    <t>Diffusivities from Perry, Handbook of Chemical Engineers, Table 2-372, for 25°C</t>
  </si>
  <si>
    <t>Diffusion coefficient of dissolved methane</t>
  </si>
  <si>
    <t>Diffusion coefficient of dissolved hydrogen</t>
  </si>
  <si>
    <t>Diffusion coefficient of dissolved carbon dioxide</t>
  </si>
  <si>
    <t>Diffusion coefficient of dissolved potassium</t>
  </si>
  <si>
    <t>Diffusion coefficient of dissolved calcium</t>
  </si>
  <si>
    <t>Diffusion coefficient of dissolved magnesium</t>
  </si>
  <si>
    <t>Diffusion coefficient of dissolved strong cations</t>
  </si>
  <si>
    <t>Diffusion coefficient of dissolved strong anions</t>
  </si>
  <si>
    <t>Diffusion coefficient of hydrogen sulfide</t>
  </si>
  <si>
    <t>Diffusion coefficient of sulphate</t>
  </si>
  <si>
    <t>Diffusion coefficient of dissolved ferrous ion</t>
  </si>
  <si>
    <t>Diffusion coefficient of alkalinity</t>
  </si>
  <si>
    <t>Diffusion coefficient of Methyl Mercaptan production index</t>
  </si>
  <si>
    <t>Diffusion coefficient of colloidal biodegradable substrate</t>
  </si>
  <si>
    <t>Diffusion coefficient of colloidal unbiodegradable organics</t>
  </si>
  <si>
    <r>
      <t>Logsat</t>
    </r>
    <r>
      <rPr>
        <vertAlign val="subscript"/>
        <sz val="11"/>
        <rFont val="Calibri"/>
        <family val="2"/>
        <scheme val="minor"/>
      </rPr>
      <t>ORP,HFO,Half</t>
    </r>
  </si>
  <si>
    <t>Logistic half-saturation of ORP switching in HFO reduction</t>
  </si>
  <si>
    <r>
      <rPr>
        <sz val="11"/>
        <color indexed="8"/>
        <rFont val="Calibri"/>
        <family val="2"/>
        <scheme val="minor"/>
      </rPr>
      <t>Logsat</t>
    </r>
    <r>
      <rPr>
        <vertAlign val="subscript"/>
        <sz val="11"/>
        <rFont val="Calibri"/>
        <family val="2"/>
        <scheme val="minor"/>
      </rPr>
      <t>ORP,HFO,Slope</t>
    </r>
  </si>
  <si>
    <t>Logistic slope of ORP switching in HFO reduction</t>
  </si>
  <si>
    <r>
      <t>Loginh</t>
    </r>
    <r>
      <rPr>
        <vertAlign val="subscript"/>
        <sz val="11"/>
        <rFont val="Calibri"/>
        <family val="2"/>
      </rPr>
      <t>ORP,HFO</t>
    </r>
  </si>
  <si>
    <t>ORP switch of HFO reduction</t>
  </si>
  <si>
    <t>MinStateVar</t>
  </si>
  <si>
    <t>MaxStateVar</t>
  </si>
  <si>
    <t>Separators</t>
  </si>
  <si>
    <r>
      <t>S</t>
    </r>
    <r>
      <rPr>
        <vertAlign val="subscript"/>
        <sz val="11"/>
        <rFont val="Calibri"/>
        <family val="2"/>
      </rPr>
      <t>B</t>
    </r>
    <r>
      <rPr>
        <sz val="11"/>
        <rFont val="Calibri"/>
        <family val="2"/>
      </rPr>
      <t xml:space="preserve"> fermentation with high VFA (PAO growth, anaerobic)</t>
    </r>
  </si>
  <si>
    <r>
      <t>S</t>
    </r>
    <r>
      <rPr>
        <vertAlign val="subscript"/>
        <sz val="11"/>
        <rFont val="Calibri"/>
        <family val="2"/>
      </rPr>
      <t>B</t>
    </r>
    <r>
      <rPr>
        <sz val="11"/>
        <rFont val="Calibri"/>
        <family val="2"/>
      </rPr>
      <t xml:space="preserve"> fermentation with low VFA (PAO growth, anaerobic)</t>
    </r>
  </si>
  <si>
    <r>
      <t>Carbon dioxide gas (CO</t>
    </r>
    <r>
      <rPr>
        <vertAlign val="subscript"/>
        <sz val="11"/>
        <rFont val="Calibri"/>
        <family val="2"/>
      </rPr>
      <t>2</t>
    </r>
    <r>
      <rPr>
        <sz val="11"/>
        <rFont val="Calibri"/>
        <family val="2"/>
      </rPr>
      <t>)</t>
    </r>
  </si>
  <si>
    <r>
      <t>g TIC</t>
    </r>
    <r>
      <rPr>
        <sz val="11"/>
        <color theme="1"/>
        <rFont val="Calibri"/>
        <family val="2"/>
        <charset val="238"/>
        <scheme val="minor"/>
      </rPr>
      <t>.</t>
    </r>
    <r>
      <rPr>
        <sz val="11"/>
        <color theme="1"/>
        <rFont val="Calibri"/>
        <family val="2"/>
        <scheme val="minor"/>
      </rPr>
      <t>m</t>
    </r>
    <r>
      <rPr>
        <vertAlign val="superscript"/>
        <sz val="11"/>
        <color theme="1"/>
        <rFont val="Calibri"/>
        <family val="2"/>
        <scheme val="minor"/>
      </rPr>
      <t>-3</t>
    </r>
  </si>
  <si>
    <r>
      <t>Methane gas (CH</t>
    </r>
    <r>
      <rPr>
        <vertAlign val="subscript"/>
        <sz val="11"/>
        <color rgb="FF000000"/>
        <rFont val="Calibri"/>
        <family val="2"/>
        <scheme val="minor"/>
      </rPr>
      <t>4</t>
    </r>
    <r>
      <rPr>
        <sz val="11"/>
        <color rgb="FF000000"/>
        <rFont val="Calibri"/>
        <family val="2"/>
        <charset val="238"/>
        <scheme val="minor"/>
      </rPr>
      <t>)</t>
    </r>
  </si>
  <si>
    <r>
      <t>g COD.m</t>
    </r>
    <r>
      <rPr>
        <vertAlign val="superscript"/>
        <sz val="11"/>
        <color theme="1"/>
        <rFont val="Calibri"/>
        <family val="2"/>
        <scheme val="minor"/>
      </rPr>
      <t>-3</t>
    </r>
  </si>
  <si>
    <r>
      <t>Hydrogen gas (H</t>
    </r>
    <r>
      <rPr>
        <vertAlign val="subscript"/>
        <sz val="11"/>
        <color rgb="FF000000"/>
        <rFont val="Calibri"/>
        <family val="2"/>
        <scheme val="minor"/>
      </rPr>
      <t>2</t>
    </r>
    <r>
      <rPr>
        <sz val="11"/>
        <color rgb="FF000000"/>
        <rFont val="Calibri"/>
        <family val="2"/>
        <charset val="238"/>
        <scheme val="minor"/>
      </rPr>
      <t>)</t>
    </r>
  </si>
  <si>
    <r>
      <t>Oxygen gas (O</t>
    </r>
    <r>
      <rPr>
        <vertAlign val="subscript"/>
        <sz val="11"/>
        <color rgb="FF000000"/>
        <rFont val="Calibri"/>
        <family val="2"/>
        <scheme val="minor"/>
      </rPr>
      <t>2</t>
    </r>
    <r>
      <rPr>
        <sz val="11"/>
        <color rgb="FF000000"/>
        <rFont val="Calibri"/>
        <family val="2"/>
        <charset val="238"/>
        <scheme val="minor"/>
      </rPr>
      <t>)</t>
    </r>
  </si>
  <si>
    <r>
      <t>g O</t>
    </r>
    <r>
      <rPr>
        <vertAlign val="subscript"/>
        <sz val="11"/>
        <color theme="1"/>
        <rFont val="Calibri"/>
        <family val="2"/>
        <scheme val="minor"/>
      </rPr>
      <t>2</t>
    </r>
    <r>
      <rPr>
        <sz val="11"/>
        <color theme="1"/>
        <rFont val="Calibri"/>
        <family val="2"/>
        <scheme val="minor"/>
      </rPr>
      <t>.m</t>
    </r>
    <r>
      <rPr>
        <vertAlign val="superscript"/>
        <sz val="11"/>
        <color theme="1"/>
        <rFont val="Calibri"/>
        <family val="2"/>
        <scheme val="minor"/>
      </rPr>
      <t>-3</t>
    </r>
  </si>
  <si>
    <r>
      <t>Ammonia gas (NH</t>
    </r>
    <r>
      <rPr>
        <vertAlign val="subscript"/>
        <sz val="11"/>
        <rFont val="Calibri"/>
        <family val="2"/>
      </rPr>
      <t>3</t>
    </r>
    <r>
      <rPr>
        <sz val="11"/>
        <rFont val="Calibri"/>
        <family val="2"/>
      </rPr>
      <t>)</t>
    </r>
  </si>
  <si>
    <r>
      <t>g N.m</t>
    </r>
    <r>
      <rPr>
        <vertAlign val="superscript"/>
        <sz val="11"/>
        <color theme="1"/>
        <rFont val="Calibri"/>
        <family val="2"/>
        <scheme val="minor"/>
      </rPr>
      <t>-3</t>
    </r>
  </si>
  <si>
    <r>
      <t>Nitrogen gas (N</t>
    </r>
    <r>
      <rPr>
        <vertAlign val="subscript"/>
        <sz val="11"/>
        <color rgb="FF000000"/>
        <rFont val="Calibri"/>
        <family val="2"/>
        <scheme val="minor"/>
      </rPr>
      <t>2</t>
    </r>
    <r>
      <rPr>
        <sz val="11"/>
        <color rgb="FF000000"/>
        <rFont val="Calibri"/>
        <family val="2"/>
        <charset val="238"/>
        <scheme val="minor"/>
      </rPr>
      <t>)</t>
    </r>
  </si>
  <si>
    <r>
      <t>g N</t>
    </r>
    <r>
      <rPr>
        <sz val="11"/>
        <color theme="1"/>
        <rFont val="Calibri"/>
        <family val="2"/>
        <scheme val="minor"/>
      </rPr>
      <t>.m</t>
    </r>
    <r>
      <rPr>
        <vertAlign val="superscript"/>
        <sz val="11"/>
        <color theme="1"/>
        <rFont val="Calibri"/>
        <family val="2"/>
        <scheme val="minor"/>
      </rPr>
      <t>-3</t>
    </r>
  </si>
  <si>
    <r>
      <t>G</t>
    </r>
    <r>
      <rPr>
        <b/>
        <vertAlign val="subscript"/>
        <sz val="11"/>
        <rFont val="Calibri"/>
        <family val="2"/>
        <charset val="238"/>
      </rPr>
      <t>CO2,atm</t>
    </r>
  </si>
  <si>
    <t>Balancing</t>
  </si>
  <si>
    <r>
      <t>G</t>
    </r>
    <r>
      <rPr>
        <b/>
        <vertAlign val="subscript"/>
        <sz val="11"/>
        <rFont val="Calibri"/>
        <family val="2"/>
        <charset val="238"/>
      </rPr>
      <t>CH4,atm</t>
    </r>
  </si>
  <si>
    <r>
      <t>G</t>
    </r>
    <r>
      <rPr>
        <b/>
        <vertAlign val="subscript"/>
        <sz val="11"/>
        <rFont val="Calibri"/>
        <family val="2"/>
        <charset val="238"/>
      </rPr>
      <t>H2,atm</t>
    </r>
  </si>
  <si>
    <r>
      <t>G</t>
    </r>
    <r>
      <rPr>
        <b/>
        <vertAlign val="subscript"/>
        <sz val="11"/>
        <rFont val="Calibri"/>
        <family val="2"/>
        <charset val="238"/>
      </rPr>
      <t>O2,atm</t>
    </r>
  </si>
  <si>
    <r>
      <t>G</t>
    </r>
    <r>
      <rPr>
        <b/>
        <vertAlign val="subscript"/>
        <sz val="11"/>
        <rFont val="Calibri"/>
        <family val="2"/>
        <charset val="238"/>
      </rPr>
      <t>NH3,atm</t>
    </r>
  </si>
  <si>
    <r>
      <t>G</t>
    </r>
    <r>
      <rPr>
        <b/>
        <vertAlign val="subscript"/>
        <sz val="11"/>
        <rFont val="Calibri"/>
        <family val="2"/>
        <charset val="238"/>
      </rPr>
      <t>N2,atm</t>
    </r>
  </si>
  <si>
    <r>
      <t>G</t>
    </r>
    <r>
      <rPr>
        <b/>
        <vertAlign val="subscript"/>
        <sz val="11"/>
        <rFont val="Calibri"/>
        <family val="2"/>
      </rPr>
      <t>CO2,atm</t>
    </r>
  </si>
  <si>
    <r>
      <t>G</t>
    </r>
    <r>
      <rPr>
        <b/>
        <vertAlign val="subscript"/>
        <sz val="11"/>
        <rFont val="Calibri"/>
        <family val="2"/>
      </rPr>
      <t>CH4,atm</t>
    </r>
  </si>
  <si>
    <r>
      <t>G</t>
    </r>
    <r>
      <rPr>
        <b/>
        <vertAlign val="subscript"/>
        <sz val="11"/>
        <rFont val="Calibri"/>
        <family val="2"/>
      </rPr>
      <t>H2,atm</t>
    </r>
  </si>
  <si>
    <r>
      <t>G</t>
    </r>
    <r>
      <rPr>
        <b/>
        <vertAlign val="subscript"/>
        <sz val="11"/>
        <rFont val="Calibri"/>
        <family val="2"/>
      </rPr>
      <t>O2,atm</t>
    </r>
  </si>
  <si>
    <r>
      <t>G</t>
    </r>
    <r>
      <rPr>
        <b/>
        <vertAlign val="subscript"/>
        <sz val="11"/>
        <rFont val="Calibri"/>
        <family val="2"/>
      </rPr>
      <t>NH3,atm</t>
    </r>
  </si>
  <si>
    <r>
      <t>G</t>
    </r>
    <r>
      <rPr>
        <b/>
        <vertAlign val="subscript"/>
        <sz val="11"/>
        <rFont val="Calibri"/>
        <family val="2"/>
      </rPr>
      <t>N2,atm</t>
    </r>
  </si>
  <si>
    <t>Carbon dioxide gas transfer - surface</t>
  </si>
  <si>
    <r>
      <t>-Δ</t>
    </r>
    <r>
      <rPr>
        <vertAlign val="subscript"/>
        <sz val="11"/>
        <rFont val="Calibri"/>
        <family val="2"/>
      </rPr>
      <t>atm</t>
    </r>
  </si>
  <si>
    <r>
      <t>k</t>
    </r>
    <r>
      <rPr>
        <vertAlign val="subscript"/>
        <sz val="11"/>
        <rFont val="Calibri"/>
        <family val="2"/>
        <scheme val="minor"/>
      </rPr>
      <t>transfer,GCO2,sur</t>
    </r>
  </si>
  <si>
    <t>Methane gas transfer - surface</t>
  </si>
  <si>
    <r>
      <t>k</t>
    </r>
    <r>
      <rPr>
        <vertAlign val="subscript"/>
        <sz val="11"/>
        <rFont val="Calibri"/>
        <family val="2"/>
      </rPr>
      <t>L</t>
    </r>
    <r>
      <rPr>
        <sz val="11"/>
        <rFont val="Calibri"/>
        <family val="2"/>
      </rPr>
      <t>a</t>
    </r>
    <r>
      <rPr>
        <vertAlign val="subscript"/>
        <sz val="11"/>
        <rFont val="Calibri"/>
        <family val="2"/>
      </rPr>
      <t>GCH4,sur</t>
    </r>
    <r>
      <rPr>
        <sz val="11"/>
        <rFont val="Calibri"/>
        <family val="2"/>
      </rPr>
      <t>*(S</t>
    </r>
    <r>
      <rPr>
        <vertAlign val="subscript"/>
        <sz val="11"/>
        <rFont val="Calibri"/>
        <family val="2"/>
      </rPr>
      <t>GCH4,sur,sat</t>
    </r>
    <r>
      <rPr>
        <sz val="11"/>
        <rFont val="Calibri"/>
        <family val="2"/>
      </rPr>
      <t xml:space="preserve"> - S</t>
    </r>
    <r>
      <rPr>
        <vertAlign val="subscript"/>
        <sz val="11"/>
        <rFont val="Calibri"/>
        <family val="2"/>
      </rPr>
      <t>CH4</t>
    </r>
    <r>
      <rPr>
        <sz val="11"/>
        <rFont val="Calibri"/>
        <family val="2"/>
      </rPr>
      <t>)</t>
    </r>
  </si>
  <si>
    <t>Hydrogen gas transfer - surface</t>
  </si>
  <si>
    <r>
      <t>k</t>
    </r>
    <r>
      <rPr>
        <vertAlign val="subscript"/>
        <sz val="11"/>
        <rFont val="Calibri"/>
        <family val="2"/>
      </rPr>
      <t>L</t>
    </r>
    <r>
      <rPr>
        <sz val="11"/>
        <rFont val="Calibri"/>
        <family val="2"/>
      </rPr>
      <t>a</t>
    </r>
    <r>
      <rPr>
        <vertAlign val="subscript"/>
        <sz val="11"/>
        <rFont val="Calibri"/>
        <family val="2"/>
      </rPr>
      <t>GH2,sur</t>
    </r>
    <r>
      <rPr>
        <sz val="11"/>
        <rFont val="Calibri"/>
        <family val="2"/>
      </rPr>
      <t>*(S</t>
    </r>
    <r>
      <rPr>
        <vertAlign val="subscript"/>
        <sz val="11"/>
        <rFont val="Calibri"/>
        <family val="2"/>
      </rPr>
      <t>GH2,sur,sat</t>
    </r>
    <r>
      <rPr>
        <sz val="11"/>
        <rFont val="Calibri"/>
        <family val="2"/>
      </rPr>
      <t xml:space="preserve"> - S</t>
    </r>
    <r>
      <rPr>
        <vertAlign val="subscript"/>
        <sz val="11"/>
        <rFont val="Calibri"/>
        <family val="2"/>
      </rPr>
      <t>H2</t>
    </r>
    <r>
      <rPr>
        <sz val="11"/>
        <rFont val="Calibri"/>
        <family val="2"/>
      </rPr>
      <t>)</t>
    </r>
  </si>
  <si>
    <t>Oxygen gas transfer - surface</t>
  </si>
  <si>
    <r>
      <t>k</t>
    </r>
    <r>
      <rPr>
        <vertAlign val="subscript"/>
        <sz val="11"/>
        <rFont val="Calibri"/>
        <family val="2"/>
      </rPr>
      <t>L</t>
    </r>
    <r>
      <rPr>
        <sz val="11"/>
        <rFont val="Calibri"/>
        <family val="2"/>
      </rPr>
      <t>a</t>
    </r>
    <r>
      <rPr>
        <vertAlign val="subscript"/>
        <sz val="11"/>
        <rFont val="Calibri"/>
        <family val="2"/>
      </rPr>
      <t>GO2,sur</t>
    </r>
    <r>
      <rPr>
        <sz val="11"/>
        <rFont val="Calibri"/>
        <family val="2"/>
      </rPr>
      <t>*(S</t>
    </r>
    <r>
      <rPr>
        <vertAlign val="subscript"/>
        <sz val="11"/>
        <rFont val="Calibri"/>
        <family val="2"/>
      </rPr>
      <t>GO2,sur,sat</t>
    </r>
    <r>
      <rPr>
        <sz val="11"/>
        <rFont val="Calibri"/>
        <family val="2"/>
      </rPr>
      <t xml:space="preserve"> - S</t>
    </r>
    <r>
      <rPr>
        <vertAlign val="subscript"/>
        <sz val="11"/>
        <rFont val="Calibri"/>
        <family val="2"/>
      </rPr>
      <t>O2</t>
    </r>
    <r>
      <rPr>
        <sz val="11"/>
        <rFont val="Calibri"/>
        <family val="2"/>
      </rPr>
      <t>)</t>
    </r>
  </si>
  <si>
    <t>Ammonia absorption - surface</t>
  </si>
  <si>
    <r>
      <t>k</t>
    </r>
    <r>
      <rPr>
        <vertAlign val="subscript"/>
        <sz val="11"/>
        <rFont val="Calibri"/>
        <family val="2"/>
        <scheme val="minor"/>
      </rPr>
      <t>transfer,GNH3,sur</t>
    </r>
  </si>
  <si>
    <t>Nitrogen gas transfer - surface</t>
  </si>
  <si>
    <r>
      <t>k</t>
    </r>
    <r>
      <rPr>
        <vertAlign val="subscript"/>
        <sz val="11"/>
        <rFont val="Calibri"/>
        <family val="2"/>
      </rPr>
      <t>L</t>
    </r>
    <r>
      <rPr>
        <sz val="11"/>
        <rFont val="Calibri"/>
        <family val="2"/>
      </rPr>
      <t>a</t>
    </r>
    <r>
      <rPr>
        <vertAlign val="subscript"/>
        <sz val="11"/>
        <rFont val="Calibri"/>
        <family val="2"/>
      </rPr>
      <t>GN2,sur</t>
    </r>
    <r>
      <rPr>
        <sz val="11"/>
        <rFont val="Calibri"/>
        <family val="2"/>
      </rPr>
      <t>*(S</t>
    </r>
    <r>
      <rPr>
        <vertAlign val="subscript"/>
        <sz val="11"/>
        <rFont val="Calibri"/>
        <family val="2"/>
      </rPr>
      <t>GN2,sur,sat</t>
    </r>
    <r>
      <rPr>
        <sz val="11"/>
        <rFont val="Calibri"/>
        <family val="2"/>
      </rPr>
      <t xml:space="preserve"> - S</t>
    </r>
    <r>
      <rPr>
        <vertAlign val="subscript"/>
        <sz val="11"/>
        <rFont val="Calibri"/>
        <family val="2"/>
      </rPr>
      <t>N2</t>
    </r>
    <r>
      <rPr>
        <sz val="11"/>
        <rFont val="Calibri"/>
        <family val="2"/>
      </rPr>
      <t>)</t>
    </r>
  </si>
  <si>
    <r>
      <t>k</t>
    </r>
    <r>
      <rPr>
        <vertAlign val="subscript"/>
        <sz val="11"/>
        <rFont val="Calibri"/>
        <family val="2"/>
        <scheme val="minor"/>
      </rPr>
      <t>transfer,GCO2,bub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</si>
  <si>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CH4,bub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CH4,bub,sat </t>
    </r>
    <r>
      <rPr>
        <sz val="11"/>
        <rFont val="Calibri"/>
        <family val="2"/>
        <scheme val="minor"/>
      </rPr>
      <t>- S</t>
    </r>
    <r>
      <rPr>
        <vertAlign val="subscript"/>
        <sz val="11"/>
        <rFont val="Calibri"/>
        <family val="2"/>
        <scheme val="minor"/>
      </rPr>
      <t>CH4</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</si>
  <si>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GH2</t>
    </r>
    <r>
      <rPr>
        <vertAlign val="subscript"/>
        <sz val="11"/>
        <rFont val="Calibri"/>
        <family val="2"/>
        <scheme val="minor"/>
      </rPr>
      <t>,bub</t>
    </r>
    <r>
      <rPr>
        <sz val="11"/>
        <rFont val="Calibri"/>
        <family val="2"/>
        <scheme val="minor"/>
      </rPr>
      <t>*(S</t>
    </r>
    <r>
      <rPr>
        <vertAlign val="subscript"/>
        <sz val="11"/>
        <rFont val="Calibri"/>
        <family val="2"/>
        <charset val="238"/>
        <scheme val="minor"/>
      </rPr>
      <t>GH2</t>
    </r>
    <r>
      <rPr>
        <vertAlign val="subscript"/>
        <sz val="11"/>
        <rFont val="Calibri"/>
        <family val="2"/>
        <scheme val="minor"/>
      </rPr>
      <t xml:space="preserve">,bub,sat </t>
    </r>
    <r>
      <rPr>
        <sz val="11"/>
        <rFont val="Calibri"/>
        <family val="2"/>
        <scheme val="minor"/>
      </rPr>
      <t>- S</t>
    </r>
    <r>
      <rPr>
        <vertAlign val="subscript"/>
        <sz val="11"/>
        <rFont val="Calibri"/>
        <family val="2"/>
        <scheme val="minor"/>
      </rPr>
      <t>H2</t>
    </r>
    <r>
      <rPr>
        <sz val="11"/>
        <rFont val="Calibri"/>
        <family val="2"/>
        <scheme val="minor"/>
      </rPr>
      <t>)</t>
    </r>
  </si>
  <si>
    <r>
      <t>k</t>
    </r>
    <r>
      <rPr>
        <vertAlign val="subscript"/>
        <sz val="11"/>
        <rFont val="Calibri"/>
        <family val="2"/>
      </rPr>
      <t>L</t>
    </r>
    <r>
      <rPr>
        <sz val="11"/>
        <rFont val="Calibri"/>
        <family val="2"/>
      </rPr>
      <t>a</t>
    </r>
    <r>
      <rPr>
        <vertAlign val="subscript"/>
        <sz val="11"/>
        <rFont val="Calibri"/>
        <family val="2"/>
      </rPr>
      <t>GO2,bub</t>
    </r>
    <r>
      <rPr>
        <sz val="11"/>
        <rFont val="Calibri"/>
        <family val="2"/>
      </rPr>
      <t>*(S</t>
    </r>
    <r>
      <rPr>
        <vertAlign val="subscript"/>
        <sz val="11"/>
        <rFont val="Calibri"/>
        <family val="2"/>
        <charset val="238"/>
      </rPr>
      <t>G</t>
    </r>
    <r>
      <rPr>
        <vertAlign val="subscript"/>
        <sz val="11"/>
        <rFont val="Calibri"/>
        <family val="2"/>
      </rPr>
      <t xml:space="preserve">O2,bub,sat </t>
    </r>
    <r>
      <rPr>
        <sz val="11"/>
        <rFont val="Calibri"/>
        <family val="2"/>
      </rPr>
      <t>- S</t>
    </r>
    <r>
      <rPr>
        <vertAlign val="subscript"/>
        <sz val="11"/>
        <rFont val="Calibri"/>
        <family val="2"/>
      </rPr>
      <t>O2</t>
    </r>
    <r>
      <rPr>
        <sz val="11"/>
        <rFont val="Calibri"/>
        <family val="2"/>
      </rPr>
      <t>)</t>
    </r>
  </si>
  <si>
    <r>
      <t>k</t>
    </r>
    <r>
      <rPr>
        <vertAlign val="subscript"/>
        <sz val="11"/>
        <rFont val="Calibri"/>
        <family val="2"/>
        <scheme val="minor"/>
      </rPr>
      <t>transfer,GNH3,bub</t>
    </r>
  </si>
  <si>
    <r>
      <t>k</t>
    </r>
    <r>
      <rPr>
        <vertAlign val="subscript"/>
        <sz val="11"/>
        <rFont val="Calibri"/>
        <family val="2"/>
        <scheme val="minor"/>
      </rPr>
      <t>L</t>
    </r>
    <r>
      <rPr>
        <sz val="11"/>
        <rFont val="Calibri"/>
        <family val="2"/>
        <scheme val="minor"/>
      </rPr>
      <t>a</t>
    </r>
    <r>
      <rPr>
        <vertAlign val="subscript"/>
        <sz val="11"/>
        <rFont val="Calibri"/>
        <family val="2"/>
        <charset val="238"/>
        <scheme val="minor"/>
      </rPr>
      <t>G</t>
    </r>
    <r>
      <rPr>
        <vertAlign val="subscript"/>
        <sz val="11"/>
        <rFont val="Calibri"/>
        <family val="2"/>
        <scheme val="minor"/>
      </rPr>
      <t>N2,bub</t>
    </r>
    <r>
      <rPr>
        <sz val="11"/>
        <rFont val="Calibri"/>
        <family val="2"/>
        <scheme val="minor"/>
      </rPr>
      <t>*(S</t>
    </r>
    <r>
      <rPr>
        <vertAlign val="subscript"/>
        <sz val="11"/>
        <rFont val="Calibri"/>
        <family val="2"/>
        <charset val="238"/>
        <scheme val="minor"/>
      </rPr>
      <t>G</t>
    </r>
    <r>
      <rPr>
        <vertAlign val="subscript"/>
        <sz val="11"/>
        <rFont val="Calibri"/>
        <family val="2"/>
        <scheme val="minor"/>
      </rPr>
      <t xml:space="preserve">N2,bub,sat </t>
    </r>
    <r>
      <rPr>
        <sz val="11"/>
        <rFont val="Calibri"/>
        <family val="2"/>
        <scheme val="minor"/>
      </rPr>
      <t>- S</t>
    </r>
    <r>
      <rPr>
        <vertAlign val="subscript"/>
        <sz val="11"/>
        <rFont val="Calibri"/>
        <family val="2"/>
        <scheme val="minor"/>
      </rPr>
      <t>N2</t>
    </r>
    <r>
      <rPr>
        <sz val="11"/>
        <rFont val="Calibri"/>
        <family val="2"/>
        <scheme val="minor"/>
      </rPr>
      <t>)</t>
    </r>
  </si>
  <si>
    <t>Carbon dioxide gas transfer - bubbles</t>
  </si>
  <si>
    <t>Methane gas transfer - bubbles</t>
  </si>
  <si>
    <t>Hydrogen gas transfer - bubbles</t>
  </si>
  <si>
    <t>Oxygen gas transfer - bubbles</t>
  </si>
  <si>
    <t>Ammonia absorption - bubbles</t>
  </si>
  <si>
    <t>Nitrogen gas transfer - bubbles</t>
  </si>
  <si>
    <t>r86</t>
  </si>
  <si>
    <t>r87</t>
  </si>
  <si>
    <t>r88</t>
  </si>
  <si>
    <t>r89</t>
  </si>
  <si>
    <t>r90</t>
  </si>
  <si>
    <t>r91</t>
  </si>
  <si>
    <r>
      <t>1/</t>
    </r>
    <r>
      <rPr>
        <sz val="11"/>
        <rFont val="Calibri"/>
        <family val="2"/>
      </rPr>
      <t>Δ</t>
    </r>
    <r>
      <rPr>
        <vertAlign val="subscript"/>
        <sz val="12.65"/>
        <rFont val="Calibri"/>
        <family val="2"/>
      </rPr>
      <t>atm</t>
    </r>
  </si>
  <si>
    <r>
      <t>-1/</t>
    </r>
    <r>
      <rPr>
        <sz val="11"/>
        <rFont val="Calibri"/>
        <family val="2"/>
      </rPr>
      <t>Δ</t>
    </r>
    <r>
      <rPr>
        <vertAlign val="subscript"/>
        <sz val="12.65"/>
        <rFont val="Calibri"/>
        <family val="2"/>
      </rPr>
      <t>atm</t>
    </r>
  </si>
  <si>
    <r>
      <t>-EEQ</t>
    </r>
    <r>
      <rPr>
        <vertAlign val="subscript"/>
        <sz val="11"/>
        <rFont val="Calibri"/>
        <family val="2"/>
        <scheme val="minor"/>
      </rPr>
      <t>N2</t>
    </r>
    <r>
      <rPr>
        <sz val="11"/>
        <rFont val="Calibri"/>
        <family val="2"/>
        <scheme val="minor"/>
      </rPr>
      <t>/Δ</t>
    </r>
    <r>
      <rPr>
        <vertAlign val="subscript"/>
        <sz val="11"/>
        <rFont val="Calibri"/>
        <family val="2"/>
        <scheme val="minor"/>
      </rPr>
      <t>atm</t>
    </r>
  </si>
  <si>
    <r>
      <t>i</t>
    </r>
    <r>
      <rPr>
        <vertAlign val="subscript"/>
        <sz val="11"/>
        <rFont val="Calibri"/>
        <family val="2"/>
        <scheme val="minor"/>
      </rPr>
      <t>CIT,CH4</t>
    </r>
    <r>
      <rPr>
        <sz val="11"/>
        <rFont val="Calibri"/>
        <family val="2"/>
        <scheme val="minor"/>
      </rPr>
      <t>/</t>
    </r>
    <r>
      <rPr>
        <sz val="11"/>
        <rFont val="Calibri"/>
        <family val="2"/>
      </rPr>
      <t>Δ</t>
    </r>
    <r>
      <rPr>
        <vertAlign val="subscript"/>
        <sz val="11"/>
        <rFont val="Calibri"/>
        <family val="2"/>
      </rPr>
      <t>atm</t>
    </r>
  </si>
  <si>
    <r>
      <t>K</t>
    </r>
    <r>
      <rPr>
        <vertAlign val="subscript"/>
        <sz val="11"/>
        <rFont val="Calibri"/>
        <family val="2"/>
        <scheme val="minor"/>
      </rPr>
      <t>W,param</t>
    </r>
    <r>
      <rPr>
        <sz val="11"/>
        <rFont val="Calibri"/>
        <family val="2"/>
        <scheme val="minor"/>
      </rPr>
      <t>*Exp(dH</t>
    </r>
    <r>
      <rPr>
        <vertAlign val="subscript"/>
        <sz val="11"/>
        <rFont val="Calibri"/>
        <family val="2"/>
        <scheme val="minor"/>
      </rPr>
      <t>diss,H2O</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</si>
  <si>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P3,param</t>
    </r>
    <r>
      <rPr>
        <sz val="11"/>
        <rFont val="Calibri"/>
        <family val="2"/>
        <scheme val="minor"/>
      </rPr>
      <t>*Exp(dH</t>
    </r>
    <r>
      <rPr>
        <vertAlign val="subscript"/>
        <sz val="11"/>
        <rFont val="Calibri"/>
        <family val="2"/>
        <scheme val="minor"/>
      </rPr>
      <t>diss,PO4,3</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</si>
  <si>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K</t>
    </r>
    <r>
      <rPr>
        <vertAlign val="subscript"/>
        <sz val="11"/>
        <rFont val="Calibri"/>
        <family val="2"/>
        <scheme val="minor"/>
      </rPr>
      <t>NO2,param</t>
    </r>
    <r>
      <rPr>
        <sz val="11"/>
        <rFont val="Calibri"/>
        <family val="2"/>
        <scheme val="minor"/>
      </rPr>
      <t>*Exp(dH</t>
    </r>
    <r>
      <rPr>
        <vertAlign val="subscript"/>
        <sz val="11"/>
        <rFont val="Calibri"/>
        <family val="2"/>
        <scheme val="minor"/>
      </rPr>
      <t>diss,NO2</t>
    </r>
    <r>
      <rPr>
        <sz val="11"/>
        <rFont val="Calibri"/>
        <family val="2"/>
        <scheme val="minor"/>
      </rPr>
      <t>/R*(1/T</t>
    </r>
    <r>
      <rPr>
        <vertAlign val="subscript"/>
        <sz val="11"/>
        <rFont val="Calibri"/>
        <family val="2"/>
        <scheme val="minor"/>
      </rPr>
      <t>st,K</t>
    </r>
    <r>
      <rPr>
        <sz val="11"/>
        <rFont val="Calibri"/>
        <family val="2"/>
        <scheme val="minor"/>
      </rPr>
      <t>-1/T</t>
    </r>
    <r>
      <rPr>
        <vertAlign val="subscript"/>
        <sz val="11"/>
        <rFont val="Calibri"/>
        <family val="2"/>
        <scheme val="minor"/>
      </rPr>
      <t>K</t>
    </r>
    <r>
      <rPr>
        <sz val="11"/>
        <rFont val="Calibri"/>
        <family val="2"/>
        <scheme val="minor"/>
      </rPr>
      <t>))</t>
    </r>
  </si>
  <si>
    <r>
      <t>Gas transfer rate for CO</t>
    </r>
    <r>
      <rPr>
        <vertAlign val="subscript"/>
        <sz val="11"/>
        <color rgb="FF000000"/>
        <rFont val="Calibri"/>
        <family val="2"/>
        <scheme val="minor"/>
      </rPr>
      <t>2</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</si>
  <si>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GCO2,bub</t>
    </r>
    <r>
      <rPr>
        <sz val="11"/>
        <rFont val="Calibri"/>
        <family val="2"/>
      </rPr>
      <t>*(S</t>
    </r>
    <r>
      <rPr>
        <vertAlign val="subscript"/>
        <sz val="11"/>
        <rFont val="Calibri"/>
        <family val="2"/>
      </rPr>
      <t>GCO2,bub,sat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</si>
  <si>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bubbles</t>
    </r>
  </si>
  <si>
    <r>
      <t>k</t>
    </r>
    <r>
      <rPr>
        <vertAlign val="subscript"/>
        <sz val="11"/>
        <rFont val="Calibri"/>
        <family val="2"/>
      </rPr>
      <t>L</t>
    </r>
    <r>
      <rPr>
        <sz val="11"/>
        <rFont val="Calibri"/>
        <family val="2"/>
      </rPr>
      <t>a</t>
    </r>
    <r>
      <rPr>
        <vertAlign val="subscript"/>
        <sz val="11"/>
        <rFont val="Calibri"/>
        <family val="2"/>
      </rPr>
      <t>GNH3,bub</t>
    </r>
    <r>
      <rPr>
        <sz val="11"/>
        <rFont val="Calibri"/>
        <family val="2"/>
      </rPr>
      <t>*(S</t>
    </r>
    <r>
      <rPr>
        <vertAlign val="subscript"/>
        <sz val="11"/>
        <rFont val="Calibri"/>
        <family val="2"/>
      </rPr>
      <t>GNH3,bub,sat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</si>
  <si>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Gas transfer rate for CO</t>
    </r>
    <r>
      <rPr>
        <vertAlign val="subscript"/>
        <sz val="11"/>
        <color rgb="FF000000"/>
        <rFont val="Calibri"/>
        <family val="2"/>
        <scheme val="minor"/>
      </rPr>
      <t>2</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</si>
  <si>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GCO2,sur</t>
    </r>
    <r>
      <rPr>
        <sz val="11"/>
        <rFont val="Calibri"/>
        <family val="2"/>
      </rPr>
      <t>*(S</t>
    </r>
    <r>
      <rPr>
        <vertAlign val="subscript"/>
        <sz val="11"/>
        <rFont val="Calibri"/>
        <family val="2"/>
      </rPr>
      <t>GCO2,sur,sat</t>
    </r>
    <r>
      <rPr>
        <sz val="11"/>
        <rFont val="Calibri"/>
        <family val="2"/>
      </rPr>
      <t xml:space="preserve"> - [H</t>
    </r>
    <r>
      <rPr>
        <vertAlign val="subscript"/>
        <sz val="11"/>
        <rFont val="Calibri"/>
        <family val="2"/>
      </rPr>
      <t>2</t>
    </r>
    <r>
      <rPr>
        <sz val="11"/>
        <rFont val="Calibri"/>
        <family val="2"/>
      </rPr>
      <t>CO</t>
    </r>
    <r>
      <rPr>
        <vertAlign val="subscript"/>
        <sz val="11"/>
        <rFont val="Calibri"/>
        <family val="2"/>
      </rPr>
      <t>3</t>
    </r>
    <r>
      <rPr>
        <sz val="11"/>
        <rFont val="Calibri"/>
        <family val="2"/>
      </rPr>
      <t>]*MM</t>
    </r>
    <r>
      <rPr>
        <vertAlign val="subscript"/>
        <sz val="11"/>
        <rFont val="Calibri"/>
        <family val="2"/>
      </rPr>
      <t>EQ,GCO2</t>
    </r>
    <r>
      <rPr>
        <sz val="11"/>
        <rFont val="Calibri"/>
        <family val="2"/>
      </rPr>
      <t>*c</t>
    </r>
    <r>
      <rPr>
        <vertAlign val="subscript"/>
        <sz val="11"/>
        <rFont val="Calibri"/>
        <family val="2"/>
      </rPr>
      <t>L,m3</t>
    </r>
    <r>
      <rPr>
        <sz val="11"/>
        <rFont val="Calibri"/>
        <family val="2"/>
      </rPr>
      <t>)</t>
    </r>
  </si>
  <si>
    <r>
      <t>Gas transfer rate for NH</t>
    </r>
    <r>
      <rPr>
        <vertAlign val="subscript"/>
        <sz val="11"/>
        <color rgb="FF000000"/>
        <rFont val="Calibri"/>
        <family val="2"/>
        <scheme val="minor"/>
      </rPr>
      <t>3</t>
    </r>
    <r>
      <rPr>
        <sz val="11"/>
        <color rgb="FF000000"/>
        <rFont val="Calibri"/>
        <family val="2"/>
        <charset val="238"/>
        <scheme val="minor"/>
      </rPr>
      <t xml:space="preserve"> - surface</t>
    </r>
  </si>
  <si>
    <r>
      <t>k</t>
    </r>
    <r>
      <rPr>
        <vertAlign val="subscript"/>
        <sz val="11"/>
        <rFont val="Calibri"/>
        <family val="2"/>
      </rPr>
      <t>L</t>
    </r>
    <r>
      <rPr>
        <sz val="11"/>
        <rFont val="Calibri"/>
        <family val="2"/>
      </rPr>
      <t>a</t>
    </r>
    <r>
      <rPr>
        <vertAlign val="subscript"/>
        <sz val="11"/>
        <rFont val="Calibri"/>
        <family val="2"/>
      </rPr>
      <t>GNH3,sur</t>
    </r>
    <r>
      <rPr>
        <sz val="11"/>
        <rFont val="Calibri"/>
        <family val="2"/>
      </rPr>
      <t>*(S</t>
    </r>
    <r>
      <rPr>
        <vertAlign val="subscript"/>
        <sz val="11"/>
        <rFont val="Calibri"/>
        <family val="2"/>
      </rPr>
      <t>GNH3,sur,sat</t>
    </r>
    <r>
      <rPr>
        <sz val="11"/>
        <rFont val="Calibri"/>
        <family val="2"/>
      </rPr>
      <t xml:space="preserve"> - [NH</t>
    </r>
    <r>
      <rPr>
        <vertAlign val="subscript"/>
        <sz val="11"/>
        <rFont val="Calibri"/>
        <family val="2"/>
      </rPr>
      <t>3</t>
    </r>
    <r>
      <rPr>
        <sz val="11"/>
        <rFont val="Calibri"/>
        <family val="2"/>
      </rPr>
      <t>]*MM</t>
    </r>
    <r>
      <rPr>
        <vertAlign val="subscript"/>
        <sz val="11"/>
        <rFont val="Calibri"/>
        <family val="2"/>
      </rPr>
      <t>EQ,GNH3</t>
    </r>
    <r>
      <rPr>
        <sz val="11"/>
        <rFont val="Calibri"/>
        <family val="2"/>
      </rPr>
      <t>*c</t>
    </r>
    <r>
      <rPr>
        <vertAlign val="subscript"/>
        <sz val="11"/>
        <rFont val="Calibri"/>
        <family val="2"/>
      </rPr>
      <t>L,m3</t>
    </r>
    <r>
      <rPr>
        <sz val="11"/>
        <rFont val="Calibri"/>
        <family val="2"/>
      </rPr>
      <t>)</t>
    </r>
  </si>
  <si>
    <r>
      <t>m.d</t>
    </r>
    <r>
      <rPr>
        <vertAlign val="superscript"/>
        <sz val="11"/>
        <rFont val="Calibri"/>
        <family val="2"/>
        <scheme val="minor"/>
      </rPr>
      <t>-1</t>
    </r>
  </si>
  <si>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</si>
  <si>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</si>
  <si>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</si>
  <si>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</si>
  <si>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</si>
  <si>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</si>
  <si>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</si>
  <si>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</si>
  <si>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</si>
  <si>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</si>
  <si>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</si>
  <si>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</si>
  <si>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</si>
  <si>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</si>
  <si>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</si>
  <si>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</si>
  <si>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</si>
  <si>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t>Standard barometric pressure</t>
  </si>
  <si>
    <t>Normal barometric pressure</t>
  </si>
  <si>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</si>
  <si>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</si>
  <si>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</si>
  <si>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</si>
  <si>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</si>
  <si>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</si>
  <si>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</si>
  <si>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</si>
  <si>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</si>
  <si>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</si>
  <si>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</si>
  <si>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</si>
  <si>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</si>
  <si>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</si>
  <si>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r>
      <t>MM</t>
    </r>
    <r>
      <rPr>
        <vertAlign val="subscript"/>
        <sz val="11"/>
        <rFont val="Calibri"/>
        <family val="2"/>
        <scheme val="minor"/>
      </rPr>
      <t>FeOH3</t>
    </r>
  </si>
  <si>
    <r>
      <t>MM</t>
    </r>
    <r>
      <rPr>
        <vertAlign val="subscript"/>
        <sz val="11"/>
        <rFont val="Calibri"/>
        <family val="2"/>
        <scheme val="minor"/>
      </rPr>
      <t>AlOH3</t>
    </r>
  </si>
  <si>
    <r>
      <t>MM</t>
    </r>
    <r>
      <rPr>
        <vertAlign val="subscript"/>
        <sz val="11"/>
        <rFont val="Calibri"/>
        <family val="2"/>
        <scheme val="minor"/>
      </rPr>
      <t>AlPO4</t>
    </r>
  </si>
  <si>
    <r>
      <t>K</t>
    </r>
    <r>
      <rPr>
        <vertAlign val="subscript"/>
        <sz val="11"/>
        <rFont val="Calibri"/>
        <family val="2"/>
        <charset val="238"/>
        <scheme val="minor"/>
      </rPr>
      <t>NH3,param</t>
    </r>
  </si>
  <si>
    <r>
      <t>K</t>
    </r>
    <r>
      <rPr>
        <vertAlign val="subscript"/>
        <sz val="11"/>
        <rFont val="Calibri"/>
        <family val="2"/>
        <charset val="238"/>
        <scheme val="minor"/>
      </rPr>
      <t>NO2,param</t>
    </r>
  </si>
  <si>
    <r>
      <t>K</t>
    </r>
    <r>
      <rPr>
        <vertAlign val="subscript"/>
        <sz val="11"/>
        <rFont val="Calibri"/>
        <family val="2"/>
        <charset val="238"/>
        <scheme val="minor"/>
      </rPr>
      <t>Ac,param</t>
    </r>
  </si>
  <si>
    <r>
      <t>K</t>
    </r>
    <r>
      <rPr>
        <vertAlign val="subscript"/>
        <sz val="11"/>
        <rFont val="Calibri"/>
        <family val="2"/>
        <charset val="238"/>
        <scheme val="minor"/>
      </rPr>
      <t>H2S,param</t>
    </r>
  </si>
  <si>
    <r>
      <t>D</t>
    </r>
    <r>
      <rPr>
        <vertAlign val="subscript"/>
        <sz val="11"/>
        <rFont val="Calibri"/>
        <family val="2"/>
        <charset val="238"/>
        <scheme val="minor"/>
      </rPr>
      <t>SVFA</t>
    </r>
  </si>
  <si>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</si>
  <si>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</si>
  <si>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</si>
  <si>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</si>
  <si>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r>
      <t>D</t>
    </r>
    <r>
      <rPr>
        <vertAlign val="subscript"/>
        <sz val="11"/>
        <rFont val="Calibri"/>
        <family val="2"/>
        <charset val="238"/>
        <scheme val="minor"/>
      </rPr>
      <t>SB,mono</t>
    </r>
  </si>
  <si>
    <r>
      <t>D</t>
    </r>
    <r>
      <rPr>
        <vertAlign val="subscript"/>
        <sz val="11"/>
        <rFont val="Calibri"/>
        <family val="2"/>
        <charset val="238"/>
        <scheme val="minor"/>
      </rPr>
      <t>SB,poly</t>
    </r>
  </si>
  <si>
    <r>
      <t>D</t>
    </r>
    <r>
      <rPr>
        <vertAlign val="subscript"/>
        <sz val="11"/>
        <rFont val="Calibri"/>
        <family val="2"/>
        <charset val="238"/>
        <scheme val="minor"/>
      </rPr>
      <t>SS</t>
    </r>
  </si>
  <si>
    <r>
      <t>D</t>
    </r>
    <r>
      <rPr>
        <vertAlign val="subscript"/>
        <sz val="11"/>
        <rFont val="Calibri"/>
        <family val="2"/>
        <charset val="238"/>
        <scheme val="minor"/>
      </rPr>
      <t>SF</t>
    </r>
  </si>
  <si>
    <r>
      <t>D</t>
    </r>
    <r>
      <rPr>
        <vertAlign val="subscript"/>
        <sz val="11"/>
        <rFont val="Calibri"/>
        <family val="2"/>
        <charset val="238"/>
        <scheme val="minor"/>
      </rPr>
      <t>SBSC</t>
    </r>
  </si>
  <si>
    <r>
      <t>D</t>
    </r>
    <r>
      <rPr>
        <vertAlign val="subscript"/>
        <sz val="11"/>
        <rFont val="Calibri"/>
        <family val="2"/>
        <charset val="238"/>
        <scheme val="minor"/>
      </rPr>
      <t>SMEOL</t>
    </r>
  </si>
  <si>
    <r>
      <t>D</t>
    </r>
    <r>
      <rPr>
        <vertAlign val="subscript"/>
        <sz val="11"/>
        <rFont val="Calibri"/>
        <family val="2"/>
        <charset val="238"/>
        <scheme val="minor"/>
      </rPr>
      <t>SU</t>
    </r>
  </si>
  <si>
    <r>
      <t>D</t>
    </r>
    <r>
      <rPr>
        <vertAlign val="subscript"/>
        <sz val="11"/>
        <rFont val="Calibri"/>
        <family val="2"/>
        <charset val="238"/>
        <scheme val="minor"/>
      </rPr>
      <t>SI</t>
    </r>
  </si>
  <si>
    <r>
      <t>D</t>
    </r>
    <r>
      <rPr>
        <vertAlign val="subscript"/>
        <sz val="11"/>
        <rFont val="Calibri"/>
        <family val="2"/>
        <charset val="238"/>
        <scheme val="minor"/>
      </rPr>
      <t>SNHx</t>
    </r>
  </si>
  <si>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</si>
  <si>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</si>
  <si>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</si>
  <si>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r>
      <t>D</t>
    </r>
    <r>
      <rPr>
        <vertAlign val="subscript"/>
        <sz val="11"/>
        <rFont val="Calibri"/>
        <family val="2"/>
        <charset val="238"/>
        <scheme val="minor"/>
      </rPr>
      <t>NO3</t>
    </r>
  </si>
  <si>
    <r>
      <t>D</t>
    </r>
    <r>
      <rPr>
        <vertAlign val="subscript"/>
        <sz val="11"/>
        <rFont val="Calibri"/>
        <family val="2"/>
        <charset val="238"/>
        <scheme val="minor"/>
      </rPr>
      <t>PO4</t>
    </r>
  </si>
  <si>
    <r>
      <t>D</t>
    </r>
    <r>
      <rPr>
        <vertAlign val="subscript"/>
        <sz val="11"/>
        <rFont val="Calibri"/>
        <family val="2"/>
        <charset val="238"/>
        <scheme val="minor"/>
      </rPr>
      <t>SN2</t>
    </r>
  </si>
  <si>
    <r>
      <t>D</t>
    </r>
    <r>
      <rPr>
        <vertAlign val="subscript"/>
        <sz val="11"/>
        <rFont val="Calibri"/>
        <family val="2"/>
        <charset val="238"/>
        <scheme val="minor"/>
      </rPr>
      <t>NUS</t>
    </r>
  </si>
  <si>
    <r>
      <t>D</t>
    </r>
    <r>
      <rPr>
        <vertAlign val="subscript"/>
        <sz val="11"/>
        <rFont val="Calibri"/>
        <family val="2"/>
        <charset val="238"/>
        <scheme val="minor"/>
      </rPr>
      <t>NBS</t>
    </r>
  </si>
  <si>
    <r>
      <t>D</t>
    </r>
    <r>
      <rPr>
        <vertAlign val="subscript"/>
        <sz val="11"/>
        <rFont val="Calibri"/>
        <family val="2"/>
        <charset val="238"/>
        <scheme val="minor"/>
      </rPr>
      <t>SUS</t>
    </r>
  </si>
  <si>
    <r>
      <t>D</t>
    </r>
    <r>
      <rPr>
        <vertAlign val="subscript"/>
        <sz val="11"/>
        <rFont val="Calibri"/>
        <family val="2"/>
        <charset val="238"/>
        <scheme val="minor"/>
      </rPr>
      <t>SNO2</t>
    </r>
  </si>
  <si>
    <r>
      <t>D</t>
    </r>
    <r>
      <rPr>
        <vertAlign val="subscript"/>
        <sz val="11"/>
        <rFont val="Calibri"/>
        <family val="2"/>
        <charset val="238"/>
        <scheme val="minor"/>
      </rPr>
      <t>SNO3</t>
    </r>
  </si>
  <si>
    <r>
      <t>D</t>
    </r>
    <r>
      <rPr>
        <vertAlign val="subscript"/>
        <sz val="11"/>
        <rFont val="Calibri"/>
        <family val="2"/>
        <charset val="238"/>
        <scheme val="minor"/>
      </rPr>
      <t>SN,B</t>
    </r>
  </si>
  <si>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</si>
  <si>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</si>
  <si>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</si>
  <si>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</si>
  <si>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r>
      <t>D</t>
    </r>
    <r>
      <rPr>
        <vertAlign val="subscript"/>
        <sz val="11"/>
        <rFont val="Calibri"/>
        <family val="2"/>
        <charset val="238"/>
        <scheme val="minor"/>
      </rPr>
      <t>SO2</t>
    </r>
  </si>
  <si>
    <r>
      <t>D</t>
    </r>
    <r>
      <rPr>
        <vertAlign val="subscript"/>
        <sz val="11"/>
        <rFont val="Calibri"/>
        <family val="2"/>
        <charset val="238"/>
        <scheme val="minor"/>
      </rPr>
      <t>SCH4</t>
    </r>
  </si>
  <si>
    <r>
      <t>D</t>
    </r>
    <r>
      <rPr>
        <vertAlign val="subscript"/>
        <sz val="11"/>
        <rFont val="Calibri"/>
        <family val="2"/>
        <charset val="238"/>
        <scheme val="minor"/>
      </rPr>
      <t>SH2</t>
    </r>
  </si>
  <si>
    <r>
      <t>D</t>
    </r>
    <r>
      <rPr>
        <vertAlign val="subscript"/>
        <sz val="11"/>
        <rFont val="Calibri"/>
        <family val="2"/>
        <charset val="238"/>
        <scheme val="minor"/>
      </rPr>
      <t>SCO2</t>
    </r>
  </si>
  <si>
    <r>
      <t>D</t>
    </r>
    <r>
      <rPr>
        <vertAlign val="subscript"/>
        <sz val="11"/>
        <rFont val="Calibri"/>
        <family val="2"/>
        <charset val="238"/>
        <scheme val="minor"/>
      </rPr>
      <t>SK</t>
    </r>
  </si>
  <si>
    <r>
      <t>D</t>
    </r>
    <r>
      <rPr>
        <vertAlign val="subscript"/>
        <sz val="11"/>
        <rFont val="Calibri"/>
        <family val="2"/>
        <charset val="238"/>
        <scheme val="minor"/>
      </rPr>
      <t>SCa</t>
    </r>
  </si>
  <si>
    <r>
      <t>D</t>
    </r>
    <r>
      <rPr>
        <vertAlign val="subscript"/>
        <sz val="11"/>
        <rFont val="Calibri"/>
        <family val="2"/>
        <charset val="238"/>
        <scheme val="minor"/>
      </rPr>
      <t>SMg</t>
    </r>
  </si>
  <si>
    <r>
      <t>D</t>
    </r>
    <r>
      <rPr>
        <vertAlign val="subscript"/>
        <sz val="11"/>
        <rFont val="Calibri"/>
        <family val="2"/>
        <charset val="238"/>
        <scheme val="minor"/>
      </rPr>
      <t>SCAT</t>
    </r>
  </si>
  <si>
    <r>
      <t>D</t>
    </r>
    <r>
      <rPr>
        <vertAlign val="subscript"/>
        <sz val="11"/>
        <rFont val="Calibri"/>
        <family val="2"/>
        <charset val="238"/>
        <scheme val="minor"/>
      </rPr>
      <t>SAN</t>
    </r>
  </si>
  <si>
    <r>
      <t>D</t>
    </r>
    <r>
      <rPr>
        <vertAlign val="subscript"/>
        <sz val="11"/>
        <rFont val="Calibri"/>
        <family val="2"/>
        <charset val="238"/>
        <scheme val="minor"/>
      </rPr>
      <t>SH2S</t>
    </r>
  </si>
  <si>
    <r>
      <t>D</t>
    </r>
    <r>
      <rPr>
        <vertAlign val="subscript"/>
        <sz val="11"/>
        <rFont val="Calibri"/>
        <family val="2"/>
        <charset val="238"/>
        <scheme val="minor"/>
      </rPr>
      <t>SSO4</t>
    </r>
  </si>
  <si>
    <r>
      <t>D</t>
    </r>
    <r>
      <rPr>
        <vertAlign val="subscript"/>
        <sz val="11"/>
        <rFont val="Calibri"/>
        <family val="2"/>
        <charset val="238"/>
        <scheme val="minor"/>
      </rPr>
      <t>SFe2</t>
    </r>
  </si>
  <si>
    <r>
      <t>D</t>
    </r>
    <r>
      <rPr>
        <vertAlign val="subscript"/>
        <sz val="11"/>
        <rFont val="Calibri"/>
        <family val="2"/>
        <charset val="238"/>
        <scheme val="minor"/>
      </rPr>
      <t>SALK</t>
    </r>
  </si>
  <si>
    <r>
      <t>D</t>
    </r>
    <r>
      <rPr>
        <vertAlign val="subscript"/>
        <sz val="11"/>
        <rFont val="Calibri"/>
        <family val="2"/>
        <charset val="238"/>
        <scheme val="minor"/>
      </rPr>
      <t>SMM,index</t>
    </r>
  </si>
  <si>
    <r>
      <t>D</t>
    </r>
    <r>
      <rPr>
        <vertAlign val="subscript"/>
        <sz val="11"/>
        <rFont val="Calibri"/>
        <family val="2"/>
        <charset val="238"/>
        <scheme val="minor"/>
      </rPr>
      <t>CB</t>
    </r>
  </si>
  <si>
    <r>
      <t>D</t>
    </r>
    <r>
      <rPr>
        <vertAlign val="subscript"/>
        <sz val="11"/>
        <rFont val="Calibri"/>
        <family val="2"/>
        <charset val="238"/>
        <scheme val="minor"/>
      </rPr>
      <t>CU</t>
    </r>
  </si>
  <si>
    <r>
      <t>T+T</t>
    </r>
    <r>
      <rPr>
        <vertAlign val="subscript"/>
        <sz val="11"/>
        <rFont val="Calibri"/>
        <family val="2"/>
        <scheme val="minor"/>
      </rPr>
      <t>STP,K</t>
    </r>
  </si>
  <si>
    <t>Other parameters - gas transfer via bubbles</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</si>
  <si>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,bub</t>
    </r>
  </si>
  <si>
    <t>H2S mass transfer coefficient for gas bubbles from PU code</t>
  </si>
  <si>
    <r>
      <t>d</t>
    </r>
    <r>
      <rPr>
        <vertAlign val="superscript"/>
        <sz val="11"/>
        <rFont val="Calibri"/>
        <family val="2"/>
        <charset val="238"/>
      </rPr>
      <t>-1</t>
    </r>
  </si>
  <si>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O2,bub</t>
    </r>
  </si>
  <si>
    <t>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</si>
  <si>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O2,bub</t>
    </r>
  </si>
  <si>
    <t>CO2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</si>
  <si>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,bub</t>
    </r>
  </si>
  <si>
    <t>CH4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</si>
  <si>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,bub</t>
    </r>
  </si>
  <si>
    <t>H2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</si>
  <si>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,bub</t>
    </r>
  </si>
  <si>
    <t>NH3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</si>
  <si>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,bub</t>
    </r>
  </si>
  <si>
    <t>N2 mass transfer coefficient for gas bubbles from PU code</t>
  </si>
  <si>
    <r>
      <t>S</t>
    </r>
    <r>
      <rPr>
        <vertAlign val="subscript"/>
        <sz val="11"/>
        <rFont val="Calibri"/>
        <family val="2"/>
        <charset val="238"/>
      </rPr>
      <t>G</t>
    </r>
    <r>
      <rPr>
        <vertAlign val="subscript"/>
        <sz val="11"/>
        <rFont val="Calibri"/>
        <family val="2"/>
      </rPr>
      <t>H2S,bub,sat</t>
    </r>
  </si>
  <si>
    <t>H2S saturation concentration at gas bubble interface</t>
  </si>
  <si>
    <r>
      <t>S</t>
    </r>
    <r>
      <rPr>
        <vertAlign val="subscript"/>
        <sz val="11"/>
        <rFont val="Calibri"/>
        <family val="2"/>
        <charset val="238"/>
      </rPr>
      <t>G</t>
    </r>
    <r>
      <rPr>
        <vertAlign val="subscript"/>
        <sz val="11"/>
        <rFont val="Calibri"/>
        <family val="2"/>
      </rPr>
      <t>O2,bub,sat</t>
    </r>
  </si>
  <si>
    <t>O2 saturation concentration at gas bubble interface</t>
  </si>
  <si>
    <r>
      <t>S</t>
    </r>
    <r>
      <rPr>
        <vertAlign val="subscript"/>
        <sz val="11"/>
        <rFont val="Calibri"/>
        <family val="2"/>
        <charset val="238"/>
      </rPr>
      <t>G</t>
    </r>
    <r>
      <rPr>
        <vertAlign val="subscript"/>
        <sz val="11"/>
        <rFont val="Calibri"/>
        <family val="2"/>
      </rPr>
      <t>CO2,bub,sat</t>
    </r>
  </si>
  <si>
    <t>CO2 saturation concentration at gas bubble interface</t>
  </si>
  <si>
    <r>
      <t>S</t>
    </r>
    <r>
      <rPr>
        <vertAlign val="subscript"/>
        <sz val="11"/>
        <rFont val="Calibri"/>
        <family val="2"/>
        <charset val="238"/>
      </rPr>
      <t>G</t>
    </r>
    <r>
      <rPr>
        <vertAlign val="subscript"/>
        <sz val="11"/>
        <rFont val="Calibri"/>
        <family val="2"/>
      </rPr>
      <t>CH4,bub,sat</t>
    </r>
  </si>
  <si>
    <t>CH4 saturation concentration at gas bubble interface</t>
  </si>
  <si>
    <r>
      <t>S</t>
    </r>
    <r>
      <rPr>
        <vertAlign val="subscript"/>
        <sz val="11"/>
        <rFont val="Calibri"/>
        <family val="2"/>
        <charset val="238"/>
      </rPr>
      <t>G</t>
    </r>
    <r>
      <rPr>
        <vertAlign val="subscript"/>
        <sz val="11"/>
        <rFont val="Calibri"/>
        <family val="2"/>
      </rPr>
      <t>H2,bub,sat</t>
    </r>
  </si>
  <si>
    <t>H2 saturation concentration at gas bubble interface</t>
  </si>
  <si>
    <r>
      <t>S</t>
    </r>
    <r>
      <rPr>
        <vertAlign val="subscript"/>
        <sz val="11"/>
        <rFont val="Calibri"/>
        <family val="2"/>
        <charset val="238"/>
      </rPr>
      <t>G</t>
    </r>
    <r>
      <rPr>
        <vertAlign val="subscript"/>
        <sz val="11"/>
        <rFont val="Calibri"/>
        <family val="2"/>
      </rPr>
      <t>NH3,bub,sat</t>
    </r>
  </si>
  <si>
    <t>NH3 saturation concentration at gas bubble interface</t>
  </si>
  <si>
    <r>
      <t>S</t>
    </r>
    <r>
      <rPr>
        <vertAlign val="subscript"/>
        <sz val="11"/>
        <rFont val="Calibri"/>
        <family val="2"/>
        <charset val="238"/>
      </rPr>
      <t>G</t>
    </r>
    <r>
      <rPr>
        <vertAlign val="subscript"/>
        <sz val="11"/>
        <rFont val="Calibri"/>
        <family val="2"/>
      </rPr>
      <t>N2,bub,sat</t>
    </r>
  </si>
  <si>
    <t>N2 saturation concentration at gas bubble interface</t>
  </si>
  <si>
    <t>Other parameters - gas transfer via reactor surface</t>
  </si>
  <si>
    <r>
      <t>k</t>
    </r>
    <r>
      <rPr>
        <vertAlign val="subscript"/>
        <sz val="11"/>
        <rFont val="Calibri"/>
        <family val="2"/>
      </rPr>
      <t>L</t>
    </r>
    <r>
      <rPr>
        <sz val="11"/>
        <rFont val="Calibri"/>
        <family val="2"/>
      </rPr>
      <t>a</t>
    </r>
    <r>
      <rPr>
        <vertAlign val="subscript"/>
        <sz val="11"/>
        <rFont val="Calibri"/>
        <family val="2"/>
        <charset val="238"/>
      </rPr>
      <t>GH2S</t>
    </r>
    <r>
      <rPr>
        <vertAlign val="subscript"/>
        <sz val="11"/>
        <rFont val="Calibri"/>
        <family val="2"/>
      </rPr>
      <t>,sur</t>
    </r>
  </si>
  <si>
    <t>H2S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</si>
  <si>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t>
    </r>
    <r>
      <rPr>
        <vertAlign val="subscript"/>
        <sz val="11"/>
        <rFont val="Calibri"/>
        <family val="2"/>
      </rPr>
      <t>O2,sur</t>
    </r>
  </si>
  <si>
    <t>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</si>
  <si>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t>
    </r>
    <r>
      <rPr>
        <vertAlign val="subscript"/>
        <sz val="11"/>
        <rFont val="Calibri"/>
        <family val="2"/>
      </rPr>
      <t>O2,sur</t>
    </r>
  </si>
  <si>
    <t>CO2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</si>
  <si>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GCH4</t>
    </r>
    <r>
      <rPr>
        <vertAlign val="subscript"/>
        <sz val="11"/>
        <rFont val="Calibri"/>
        <family val="2"/>
      </rPr>
      <t>,sur</t>
    </r>
  </si>
  <si>
    <t>CH4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</si>
  <si>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GH2</t>
    </r>
    <r>
      <rPr>
        <vertAlign val="subscript"/>
        <sz val="11"/>
        <rFont val="Calibri"/>
        <family val="2"/>
      </rPr>
      <t>,sur</t>
    </r>
  </si>
  <si>
    <t>H2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</si>
  <si>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GNH3</t>
    </r>
    <r>
      <rPr>
        <vertAlign val="subscript"/>
        <sz val="11"/>
        <rFont val="Calibri"/>
        <family val="2"/>
      </rPr>
      <t>,sur</t>
    </r>
  </si>
  <si>
    <t>NH3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</si>
  <si>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GN2</t>
    </r>
    <r>
      <rPr>
        <vertAlign val="subscript"/>
        <sz val="11"/>
        <rFont val="Calibri"/>
        <family val="2"/>
      </rPr>
      <t>,sur</t>
    </r>
  </si>
  <si>
    <t>N2 mass transfer coefficient at liquid surface from PU code</t>
  </si>
  <si>
    <r>
      <t>S</t>
    </r>
    <r>
      <rPr>
        <vertAlign val="subscript"/>
        <sz val="11"/>
        <rFont val="Calibri"/>
        <family val="2"/>
        <charset val="238"/>
      </rPr>
      <t>G</t>
    </r>
    <r>
      <rPr>
        <vertAlign val="subscript"/>
        <sz val="11"/>
        <rFont val="Calibri"/>
        <family val="2"/>
      </rPr>
      <t>H2S,sur,sat</t>
    </r>
  </si>
  <si>
    <t>H2S saturation concentration at atmospheric interface</t>
  </si>
  <si>
    <r>
      <t>f(G</t>
    </r>
    <r>
      <rPr>
        <vertAlign val="subscript"/>
        <sz val="11"/>
        <rFont val="Calibri"/>
        <family val="2"/>
      </rPr>
      <t>H2S,atm</t>
    </r>
    <r>
      <rPr>
        <sz val="11"/>
        <rFont val="Calibri"/>
        <family val="2"/>
      </rPr>
      <t>)</t>
    </r>
  </si>
  <si>
    <r>
      <t>S</t>
    </r>
    <r>
      <rPr>
        <vertAlign val="subscript"/>
        <sz val="11"/>
        <rFont val="Calibri"/>
        <family val="2"/>
        <charset val="238"/>
      </rPr>
      <t>G</t>
    </r>
    <r>
      <rPr>
        <vertAlign val="subscript"/>
        <sz val="11"/>
        <rFont val="Calibri"/>
        <family val="2"/>
      </rPr>
      <t>O2,sur,sat</t>
    </r>
  </si>
  <si>
    <t>O2 saturation concentration at atmospheric interface</t>
  </si>
  <si>
    <r>
      <t>f(G</t>
    </r>
    <r>
      <rPr>
        <vertAlign val="subscript"/>
        <sz val="11"/>
        <rFont val="Calibri"/>
        <family val="2"/>
      </rPr>
      <t>O2,atm</t>
    </r>
    <r>
      <rPr>
        <sz val="11"/>
        <rFont val="Calibri"/>
        <family val="2"/>
      </rPr>
      <t>)</t>
    </r>
  </si>
  <si>
    <r>
      <t>S</t>
    </r>
    <r>
      <rPr>
        <vertAlign val="subscript"/>
        <sz val="11"/>
        <rFont val="Calibri"/>
        <family val="2"/>
        <charset val="238"/>
      </rPr>
      <t>G</t>
    </r>
    <r>
      <rPr>
        <vertAlign val="subscript"/>
        <sz val="11"/>
        <rFont val="Calibri"/>
        <family val="2"/>
      </rPr>
      <t>CO2,sur,sat</t>
    </r>
  </si>
  <si>
    <t>CO2 saturation concentration at atmospheric interface</t>
  </si>
  <si>
    <r>
      <t>f(G</t>
    </r>
    <r>
      <rPr>
        <vertAlign val="subscript"/>
        <sz val="11"/>
        <rFont val="Calibri"/>
        <family val="2"/>
      </rPr>
      <t>CO2,atm</t>
    </r>
    <r>
      <rPr>
        <sz val="11"/>
        <rFont val="Calibri"/>
        <family val="2"/>
      </rPr>
      <t>)</t>
    </r>
  </si>
  <si>
    <r>
      <t>S</t>
    </r>
    <r>
      <rPr>
        <vertAlign val="subscript"/>
        <sz val="11"/>
        <rFont val="Calibri"/>
        <family val="2"/>
        <charset val="238"/>
      </rPr>
      <t>G</t>
    </r>
    <r>
      <rPr>
        <vertAlign val="subscript"/>
        <sz val="11"/>
        <rFont val="Calibri"/>
        <family val="2"/>
      </rPr>
      <t>CH4,sur,sat</t>
    </r>
  </si>
  <si>
    <t>CH4 saturation concentration at atmospheric interface</t>
  </si>
  <si>
    <r>
      <t>f(G</t>
    </r>
    <r>
      <rPr>
        <vertAlign val="subscript"/>
        <sz val="11"/>
        <rFont val="Calibri"/>
        <family val="2"/>
      </rPr>
      <t>CH4,atm</t>
    </r>
    <r>
      <rPr>
        <sz val="11"/>
        <rFont val="Calibri"/>
        <family val="2"/>
      </rPr>
      <t>)</t>
    </r>
  </si>
  <si>
    <r>
      <t>S</t>
    </r>
    <r>
      <rPr>
        <vertAlign val="subscript"/>
        <sz val="11"/>
        <rFont val="Calibri"/>
        <family val="2"/>
        <charset val="238"/>
      </rPr>
      <t>G</t>
    </r>
    <r>
      <rPr>
        <vertAlign val="subscript"/>
        <sz val="11"/>
        <rFont val="Calibri"/>
        <family val="2"/>
      </rPr>
      <t>H2,sur,sat</t>
    </r>
  </si>
  <si>
    <t>H2 saturation concentration at atmospheric interface</t>
  </si>
  <si>
    <r>
      <t>f(G</t>
    </r>
    <r>
      <rPr>
        <vertAlign val="subscript"/>
        <sz val="11"/>
        <rFont val="Calibri"/>
        <family val="2"/>
      </rPr>
      <t>H2,atm</t>
    </r>
    <r>
      <rPr>
        <sz val="11"/>
        <rFont val="Calibri"/>
        <family val="2"/>
      </rPr>
      <t>)</t>
    </r>
  </si>
  <si>
    <r>
      <t>S</t>
    </r>
    <r>
      <rPr>
        <vertAlign val="subscript"/>
        <sz val="11"/>
        <rFont val="Calibri"/>
        <family val="2"/>
        <charset val="238"/>
      </rPr>
      <t>G</t>
    </r>
    <r>
      <rPr>
        <vertAlign val="subscript"/>
        <sz val="11"/>
        <rFont val="Calibri"/>
        <family val="2"/>
      </rPr>
      <t>NH3,sur,sat</t>
    </r>
  </si>
  <si>
    <t>NH3 saturation concentration at atmospheric interface</t>
  </si>
  <si>
    <r>
      <t>f(G</t>
    </r>
    <r>
      <rPr>
        <vertAlign val="subscript"/>
        <sz val="11"/>
        <rFont val="Calibri"/>
        <family val="2"/>
      </rPr>
      <t>NH3,atm</t>
    </r>
    <r>
      <rPr>
        <sz val="11"/>
        <rFont val="Calibri"/>
        <family val="2"/>
      </rPr>
      <t>)</t>
    </r>
  </si>
  <si>
    <r>
      <t>S</t>
    </r>
    <r>
      <rPr>
        <vertAlign val="subscript"/>
        <sz val="11"/>
        <rFont val="Calibri"/>
        <family val="2"/>
        <charset val="238"/>
      </rPr>
      <t>G</t>
    </r>
    <r>
      <rPr>
        <vertAlign val="subscript"/>
        <sz val="11"/>
        <rFont val="Calibri"/>
        <family val="2"/>
      </rPr>
      <t>N2,sur,sat</t>
    </r>
  </si>
  <si>
    <t>N2 saturation concentration at atmospheric interface</t>
  </si>
  <si>
    <r>
      <t>f(G</t>
    </r>
    <r>
      <rPr>
        <vertAlign val="subscript"/>
        <sz val="11"/>
        <rFont val="Calibri"/>
        <family val="2"/>
      </rPr>
      <t>N2,atm</t>
    </r>
    <r>
      <rPr>
        <sz val="11"/>
        <rFont val="Calibri"/>
        <family val="2"/>
      </rPr>
      <t>)</t>
    </r>
  </si>
  <si>
    <r>
      <t>f</t>
    </r>
    <r>
      <rPr>
        <vertAlign val="subscript"/>
        <sz val="11"/>
        <rFont val="Calibri"/>
        <family val="2"/>
        <scheme val="minor"/>
      </rPr>
      <t>kL,GN2</t>
    </r>
  </si>
  <si>
    <r>
      <t>f</t>
    </r>
    <r>
      <rPr>
        <vertAlign val="subscript"/>
        <sz val="11"/>
        <rFont val="Calibri"/>
        <family val="2"/>
        <scheme val="minor"/>
      </rPr>
      <t>kL,GCO2</t>
    </r>
  </si>
  <si>
    <r>
      <t>f</t>
    </r>
    <r>
      <rPr>
        <vertAlign val="subscript"/>
        <sz val="11"/>
        <rFont val="Calibri"/>
        <family val="2"/>
        <scheme val="minor"/>
      </rPr>
      <t>kL,GCH4</t>
    </r>
  </si>
  <si>
    <r>
      <t>f</t>
    </r>
    <r>
      <rPr>
        <vertAlign val="subscript"/>
        <sz val="11"/>
        <rFont val="Calibri"/>
        <family val="2"/>
        <scheme val="minor"/>
      </rPr>
      <t>kL,GH2</t>
    </r>
  </si>
  <si>
    <r>
      <t>f</t>
    </r>
    <r>
      <rPr>
        <vertAlign val="subscript"/>
        <sz val="11"/>
        <rFont val="Calibri"/>
        <family val="2"/>
        <scheme val="minor"/>
      </rPr>
      <t>kL,GNH3</t>
    </r>
  </si>
  <si>
    <t>Used to compensate for the high solubility of NH3 gas</t>
  </si>
  <si>
    <t>1</t>
  </si>
  <si>
    <r>
      <t>-EEQ</t>
    </r>
    <r>
      <rPr>
        <vertAlign val="subscript"/>
        <sz val="11"/>
        <rFont val="Calibri"/>
        <family val="2"/>
      </rPr>
      <t>N2</t>
    </r>
  </si>
  <si>
    <r>
      <t>y</t>
    </r>
    <r>
      <rPr>
        <vertAlign val="subscript"/>
        <sz val="11"/>
        <rFont val="Calibri"/>
        <family val="2"/>
        <scheme val="minor"/>
      </rPr>
      <t>fmono</t>
    </r>
  </si>
  <si>
    <r>
      <t>Intercept of f</t>
    </r>
    <r>
      <rPr>
        <vertAlign val="subscript"/>
        <sz val="11"/>
        <color rgb="FF000000"/>
        <rFont val="Calibri"/>
        <family val="2"/>
        <scheme val="minor"/>
      </rPr>
      <t>mono</t>
    </r>
    <r>
      <rPr>
        <sz val="11"/>
        <color rgb="FF000000"/>
        <rFont val="Calibri"/>
        <family val="2"/>
        <charset val="238"/>
        <scheme val="minor"/>
      </rPr>
      <t xml:space="preserve"> correction</t>
    </r>
  </si>
  <si>
    <r>
      <t>f</t>
    </r>
    <r>
      <rPr>
        <vertAlign val="subscript"/>
        <sz val="11"/>
        <rFont val="Calibri"/>
        <family val="2"/>
        <scheme val="minor"/>
      </rPr>
      <t>mono,ISlim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</si>
  <si>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fdi</t>
    </r>
  </si>
  <si>
    <r>
      <t>Intercept of f</t>
    </r>
    <r>
      <rPr>
        <vertAlign val="subscript"/>
        <sz val="11"/>
        <color rgb="FF000000"/>
        <rFont val="Calibri"/>
        <family val="2"/>
        <scheme val="minor"/>
      </rPr>
      <t>di</t>
    </r>
    <r>
      <rPr>
        <sz val="11"/>
        <color rgb="FF000000"/>
        <rFont val="Calibri"/>
        <family val="2"/>
        <charset val="238"/>
        <scheme val="minor"/>
      </rPr>
      <t xml:space="preserve"> correction</t>
    </r>
  </si>
  <si>
    <r>
      <t>f</t>
    </r>
    <r>
      <rPr>
        <vertAlign val="subscript"/>
        <sz val="11"/>
        <rFont val="Calibri"/>
        <family val="2"/>
        <scheme val="minor"/>
      </rPr>
      <t>di,ISlim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</si>
  <si>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y</t>
    </r>
    <r>
      <rPr>
        <vertAlign val="subscript"/>
        <sz val="11"/>
        <rFont val="Calibri"/>
        <family val="2"/>
        <scheme val="minor"/>
      </rPr>
      <t>ftri</t>
    </r>
  </si>
  <si>
    <r>
      <t>Intercept of f</t>
    </r>
    <r>
      <rPr>
        <vertAlign val="subscript"/>
        <sz val="11"/>
        <color rgb="FF000000"/>
        <rFont val="Calibri"/>
        <family val="2"/>
        <scheme val="minor"/>
      </rPr>
      <t>tri</t>
    </r>
    <r>
      <rPr>
        <sz val="11"/>
        <color rgb="FF000000"/>
        <rFont val="Calibri"/>
        <family val="2"/>
        <charset val="238"/>
        <scheme val="minor"/>
      </rPr>
      <t xml:space="preserve"> correction</t>
    </r>
  </si>
  <si>
    <r>
      <t>f</t>
    </r>
    <r>
      <rPr>
        <vertAlign val="subscript"/>
        <sz val="11"/>
        <rFont val="Calibri"/>
        <family val="2"/>
        <scheme val="minor"/>
      </rPr>
      <t>tri,ISlim</t>
    </r>
    <r>
      <rPr>
        <sz val="11"/>
        <rFont val="Calibri"/>
        <family val="2"/>
        <scheme val="minor"/>
      </rPr>
      <t xml:space="preserve"> - IS</t>
    </r>
    <r>
      <rPr>
        <vertAlign val="subscript"/>
        <sz val="11"/>
        <rFont val="Calibri"/>
        <family val="2"/>
        <scheme val="minor"/>
      </rPr>
      <t>lim</t>
    </r>
    <r>
      <rPr>
        <sz val="11"/>
        <rFont val="Calibri"/>
        <family val="2"/>
        <scheme val="minor"/>
      </rPr>
      <t>*Slope</t>
    </r>
    <r>
      <rPr>
        <vertAlign val="subscript"/>
        <sz val="11"/>
        <rFont val="Calibri"/>
        <family val="2"/>
        <scheme val="minor"/>
      </rPr>
      <t>IS,corr</t>
    </r>
  </si>
  <si>
    <r>
      <t>f</t>
    </r>
    <r>
      <rPr>
        <vertAlign val="subscript"/>
        <sz val="11"/>
        <rFont val="Calibri"/>
        <family val="2"/>
        <scheme val="minor"/>
      </rPr>
      <t>mono,ISlim</t>
    </r>
  </si>
  <si>
    <r>
      <t>Monovalent activity coefficient at IS</t>
    </r>
    <r>
      <rPr>
        <vertAlign val="subscript"/>
        <sz val="11"/>
        <rFont val="Calibri"/>
        <family val="2"/>
        <scheme val="minor"/>
      </rPr>
      <t>lim</t>
    </r>
  </si>
  <si>
    <r>
      <t>f</t>
    </r>
    <r>
      <rPr>
        <vertAlign val="subscript"/>
        <sz val="11"/>
        <rFont val="Calibri"/>
        <family val="2"/>
        <scheme val="minor"/>
      </rPr>
      <t>di,ISlim</t>
    </r>
  </si>
  <si>
    <r>
      <t>Divalent activity coefficient at IS</t>
    </r>
    <r>
      <rPr>
        <vertAlign val="subscript"/>
        <sz val="11"/>
        <rFont val="Calibri"/>
        <family val="2"/>
        <scheme val="minor"/>
      </rPr>
      <t>lim</t>
    </r>
  </si>
  <si>
    <r>
      <t>f</t>
    </r>
    <r>
      <rPr>
        <vertAlign val="subscript"/>
        <sz val="11"/>
        <rFont val="Calibri"/>
        <family val="2"/>
        <scheme val="minor"/>
      </rPr>
      <t>tri,ISlim</t>
    </r>
  </si>
  <si>
    <r>
      <t>Trivalent activity coefficient at IS</t>
    </r>
    <r>
      <rPr>
        <vertAlign val="subscript"/>
        <sz val="11"/>
        <rFont val="Calibri"/>
        <family val="2"/>
        <scheme val="minor"/>
      </rPr>
      <t>lim</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</si>
  <si>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*1^(2)*(IS^(0.5)/(1+1.5*IS^(0.5))-0.3*IS));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fmono</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</si>
  <si>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*2^(2)*(IS^(0.5)/(1+1.5*IS^(0.5))-0.3*IS));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fdi</t>
    </r>
    <r>
      <rPr>
        <sz val="11"/>
        <rFont val="Calibri"/>
        <family val="2"/>
        <scheme val="minor"/>
      </rPr>
      <t>)</t>
    </r>
  </si>
  <si>
    <r>
      <t>If(IS &lt; IS</t>
    </r>
    <r>
      <rPr>
        <vertAlign val="subscript"/>
        <sz val="11"/>
        <rFont val="Calibri"/>
        <family val="2"/>
        <scheme val="minor"/>
      </rPr>
      <t>lim</t>
    </r>
    <r>
      <rPr>
        <sz val="11"/>
        <rFont val="Calibri"/>
        <family val="2"/>
        <scheme val="minor"/>
      </rPr>
      <t>; 10^(-A</t>
    </r>
    <r>
      <rPr>
        <vertAlign val="subscript"/>
        <sz val="11"/>
        <rFont val="Calibri"/>
        <family val="2"/>
        <scheme val="minor"/>
      </rPr>
      <t>Davies</t>
    </r>
    <r>
      <rPr>
        <sz val="11"/>
        <rFont val="Calibri"/>
        <family val="2"/>
        <scheme val="minor"/>
      </rPr>
      <t>*3^(2)*(IS^(0.5)/(1+1.5*IS^(0.5))-0.3*IS)); Slope</t>
    </r>
    <r>
      <rPr>
        <vertAlign val="subscript"/>
        <sz val="11"/>
        <rFont val="Calibri"/>
        <family val="2"/>
        <scheme val="minor"/>
      </rPr>
      <t>IS,corr</t>
    </r>
    <r>
      <rPr>
        <sz val="11"/>
        <rFont val="Calibri"/>
        <family val="2"/>
        <scheme val="minor"/>
      </rPr>
      <t xml:space="preserve"> * IS + y</t>
    </r>
    <r>
      <rPr>
        <vertAlign val="subscript"/>
        <sz val="11"/>
        <rFont val="Calibri"/>
        <family val="2"/>
        <scheme val="minor"/>
      </rPr>
      <t>ftri</t>
    </r>
    <r>
      <rPr>
        <sz val="11"/>
        <rFont val="Calibri"/>
        <family val="2"/>
        <scheme val="minor"/>
      </rPr>
      <t>)</t>
    </r>
  </si>
  <si>
    <r>
      <t>Slope</t>
    </r>
    <r>
      <rPr>
        <vertAlign val="subscript"/>
        <sz val="11"/>
        <rFont val="Calibri"/>
        <family val="2"/>
        <scheme val="minor"/>
      </rPr>
      <t>IS,corr</t>
    </r>
  </si>
  <si>
    <t>Slope of correction</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</si>
  <si>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</si>
  <si>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MJ.m</t>
    </r>
    <r>
      <rPr>
        <vertAlign val="superscript"/>
        <sz val="11"/>
        <rFont val="Calibri"/>
        <family val="2"/>
      </rPr>
      <t>-3</t>
    </r>
  </si>
  <si>
    <t>r92</t>
  </si>
  <si>
    <t>r93</t>
  </si>
  <si>
    <t>Flocculation of colloidal biodegradable substrate with polymers</t>
  </si>
  <si>
    <t>Flocculation of colloidal unbiodegradable organics with polymers</t>
  </si>
  <si>
    <r>
      <t>rate</t>
    </r>
    <r>
      <rPr>
        <vertAlign val="subscript"/>
        <sz val="11"/>
        <rFont val="Calibri"/>
        <family val="2"/>
      </rPr>
      <t>FLOC,CB,polymer</t>
    </r>
  </si>
  <si>
    <r>
      <t>rate</t>
    </r>
    <r>
      <rPr>
        <vertAlign val="subscript"/>
        <sz val="11"/>
        <rFont val="Calibri"/>
        <family val="2"/>
      </rPr>
      <t>FLOC,CU,polymer</t>
    </r>
  </si>
  <si>
    <t>Rate of flocculation of colloidal biodegradable substrate with polymers</t>
  </si>
  <si>
    <r>
      <t>f(C</t>
    </r>
    <r>
      <rPr>
        <vertAlign val="subscript"/>
        <sz val="11"/>
        <rFont val="Calibri"/>
        <family val="2"/>
      </rPr>
      <t>B</t>
    </r>
    <r>
      <rPr>
        <sz val="11"/>
        <rFont val="Calibri"/>
        <family val="2"/>
      </rPr>
      <t>)</t>
    </r>
  </si>
  <si>
    <t>only if polymers are added, calculated in three compartments clarifier and primary</t>
  </si>
  <si>
    <t>Rate of flocculation of colloidal unbiodegradable substrate with polymers</t>
  </si>
  <si>
    <r>
      <t>f(C</t>
    </r>
    <r>
      <rPr>
        <vertAlign val="subscript"/>
        <sz val="11"/>
        <rFont val="Calibri"/>
        <family val="2"/>
      </rPr>
      <t>U</t>
    </r>
    <r>
      <rPr>
        <sz val="11"/>
        <rFont val="Calibri"/>
        <family val="2"/>
      </rPr>
      <t>)</t>
    </r>
  </si>
  <si>
    <t>Polymer</t>
  </si>
  <si>
    <r>
      <t>q</t>
    </r>
    <r>
      <rPr>
        <vertAlign val="subscript"/>
        <sz val="11"/>
        <rFont val="Calibri"/>
        <family val="2"/>
        <scheme val="minor"/>
      </rPr>
      <t>HFOH,DESORP</t>
    </r>
  </si>
  <si>
    <r>
      <t>Rate of X</t>
    </r>
    <r>
      <rPr>
        <vertAlign val="subscript"/>
        <sz val="11"/>
        <color rgb="FF000000"/>
        <rFont val="Calibri"/>
        <family val="2"/>
        <scheme val="minor"/>
      </rPr>
      <t>HFO,H,P</t>
    </r>
    <r>
      <rPr>
        <sz val="11"/>
        <color rgb="FF000000"/>
        <rFont val="Calibri"/>
        <family val="2"/>
        <charset val="238"/>
        <scheme val="minor"/>
      </rPr>
      <t xml:space="preserve"> desorption</t>
    </r>
  </si>
  <si>
    <r>
      <t>q</t>
    </r>
    <r>
      <rPr>
        <vertAlign val="subscript"/>
        <sz val="11"/>
        <rFont val="Calibri"/>
        <family val="2"/>
        <scheme val="minor"/>
      </rPr>
      <t>HFOL,DESORP</t>
    </r>
  </si>
  <si>
    <r>
      <t>Rate of X</t>
    </r>
    <r>
      <rPr>
        <vertAlign val="subscript"/>
        <sz val="11"/>
        <color rgb="FF000000"/>
        <rFont val="Calibri"/>
        <family val="2"/>
        <scheme val="minor"/>
      </rPr>
      <t>HFO,L,P</t>
    </r>
    <r>
      <rPr>
        <sz val="11"/>
        <color rgb="FF000000"/>
        <rFont val="Calibri"/>
        <family val="2"/>
        <charset val="238"/>
        <scheme val="minor"/>
      </rPr>
      <t xml:space="preserve"> desorption</t>
    </r>
  </si>
  <si>
    <r>
      <t>q</t>
    </r>
    <r>
      <rPr>
        <vertAlign val="subscript"/>
        <sz val="11"/>
        <rFont val="Calibri"/>
        <family val="2"/>
        <scheme val="minor"/>
      </rPr>
      <t>HFO,DISS</t>
    </r>
  </si>
  <si>
    <r>
      <t>Rate of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r>
      <rPr>
        <sz val="11"/>
        <color rgb="FF000000"/>
        <rFont val="Calibri"/>
        <family val="2"/>
        <charset val="238"/>
        <scheme val="minor"/>
      </rPr>
      <t xml:space="preserve"> redissolution</t>
    </r>
  </si>
  <si>
    <r>
      <t>Half-inhibition of PO</t>
    </r>
    <r>
      <rPr>
        <vertAlign val="subscript"/>
        <sz val="11"/>
        <color rgb="FF000000"/>
        <rFont val="Calibri"/>
        <family val="2"/>
        <scheme val="minor"/>
      </rPr>
      <t>4</t>
    </r>
    <r>
      <rPr>
        <sz val="11"/>
        <color rgb="FF000000"/>
        <rFont val="Calibri"/>
        <family val="2"/>
        <charset val="238"/>
        <scheme val="minor"/>
      </rPr>
      <t xml:space="preserve"> in HFO desorption</t>
    </r>
  </si>
  <si>
    <r>
      <t>Desorption of P from X</t>
    </r>
    <r>
      <rPr>
        <vertAlign val="subscript"/>
        <sz val="11"/>
        <color rgb="FF000000"/>
        <rFont val="Calibri"/>
        <family val="2"/>
        <scheme val="minor"/>
      </rPr>
      <t>HFO,H,P</t>
    </r>
  </si>
  <si>
    <r>
      <t>Desorption of P from X</t>
    </r>
    <r>
      <rPr>
        <vertAlign val="subscript"/>
        <sz val="11"/>
        <color rgb="FF000000"/>
        <rFont val="Calibri"/>
        <family val="2"/>
        <scheme val="minor"/>
      </rPr>
      <t>HFO,L,P</t>
    </r>
  </si>
  <si>
    <r>
      <t>Dissolution of P from X</t>
    </r>
    <r>
      <rPr>
        <vertAlign val="subscript"/>
        <sz val="11"/>
        <color rgb="FF000000"/>
        <rFont val="Calibri"/>
        <family val="2"/>
        <scheme val="minor"/>
      </rPr>
      <t>HFO,H,P,old</t>
    </r>
    <r>
      <rPr>
        <sz val="11"/>
        <color rgb="FF000000"/>
        <rFont val="Calibri"/>
        <family val="2"/>
        <charset val="238"/>
        <scheme val="minor"/>
      </rPr>
      <t xml:space="preserve"> and X</t>
    </r>
    <r>
      <rPr>
        <vertAlign val="subscript"/>
        <sz val="11"/>
        <color rgb="FF000000"/>
        <rFont val="Calibri"/>
        <family val="2"/>
        <scheme val="minor"/>
      </rPr>
      <t>HFO,L,P,old</t>
    </r>
  </si>
  <si>
    <t>r94</t>
  </si>
  <si>
    <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</si>
  <si>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</si>
  <si>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HFO</t>
    </r>
  </si>
  <si>
    <r>
      <t>q</t>
    </r>
    <r>
      <rPr>
        <vertAlign val="subscript"/>
        <sz val="11"/>
        <rFont val="Calibri"/>
        <family val="2"/>
      </rPr>
      <t>HFOH,AGING</t>
    </r>
    <r>
      <rPr>
        <sz val="11"/>
        <rFont val="Calibri"/>
        <family val="2"/>
      </rPr>
      <t>*(X</t>
    </r>
    <r>
      <rPr>
        <vertAlign val="subscript"/>
        <sz val="11"/>
        <rFont val="Calibri"/>
        <family val="2"/>
      </rPr>
      <t>HFO,H</t>
    </r>
    <r>
      <rPr>
        <sz val="11"/>
        <rFont val="Calibri"/>
        <family val="2"/>
      </rPr>
      <t>+X</t>
    </r>
    <r>
      <rPr>
        <vertAlign val="subscript"/>
        <sz val="11"/>
        <rFont val="Calibri"/>
        <family val="2"/>
      </rPr>
      <t>HFO,H,P</t>
    </r>
    <r>
      <rPr>
        <sz val="11"/>
        <rFont val="Calibri"/>
        <family val="2"/>
      </rPr>
      <t>)</t>
    </r>
  </si>
  <si>
    <r>
      <t>q</t>
    </r>
    <r>
      <rPr>
        <vertAlign val="subscript"/>
        <sz val="11"/>
        <rFont val="Calibri"/>
        <family val="2"/>
      </rPr>
      <t>HFOL,AGING</t>
    </r>
    <r>
      <rPr>
        <sz val="11"/>
        <rFont val="Calibri"/>
        <family val="2"/>
      </rPr>
      <t>*(X</t>
    </r>
    <r>
      <rPr>
        <vertAlign val="subscript"/>
        <sz val="11"/>
        <rFont val="Calibri"/>
        <family val="2"/>
      </rPr>
      <t>HFO,L</t>
    </r>
    <r>
      <rPr>
        <sz val="11"/>
        <rFont val="Calibri"/>
        <family val="2"/>
      </rPr>
      <t>+X</t>
    </r>
    <r>
      <rPr>
        <vertAlign val="subscript"/>
        <sz val="11"/>
        <rFont val="Calibri"/>
        <family val="2"/>
      </rPr>
      <t>HFO,L,P</t>
    </r>
    <r>
      <rPr>
        <sz val="11"/>
        <rFont val="Calibri"/>
        <family val="2"/>
      </rPr>
      <t>)</t>
    </r>
  </si>
  <si>
    <r>
      <t>q</t>
    </r>
    <r>
      <rPr>
        <vertAlign val="subscript"/>
        <sz val="11"/>
        <rFont val="Calibri"/>
        <family val="2"/>
      </rPr>
      <t>Fe2,OX,T</t>
    </r>
    <r>
      <rPr>
        <sz val="11"/>
        <rFont val="Calibri"/>
        <family val="2"/>
      </rPr>
      <t>*S</t>
    </r>
    <r>
      <rPr>
        <vertAlign val="subscript"/>
        <sz val="11"/>
        <rFont val="Calibri"/>
        <family val="2"/>
      </rPr>
      <t>Fe2</t>
    </r>
    <r>
      <rPr>
        <sz val="11"/>
        <rFont val="Calibri"/>
        <family val="2"/>
      </rPr>
      <t>*Msat</t>
    </r>
    <r>
      <rPr>
        <vertAlign val="subscript"/>
        <sz val="11"/>
        <rFont val="Calibri"/>
        <family val="2"/>
      </rPr>
      <t>SO2,KO2,OHO</t>
    </r>
  </si>
  <si>
    <r>
      <t>CO</t>
    </r>
    <r>
      <rPr>
        <vertAlign val="subscript"/>
        <sz val="11"/>
        <color indexed="8"/>
        <rFont val="Calibri"/>
        <family val="2"/>
        <scheme val="minor"/>
      </rPr>
      <t>2</t>
    </r>
    <r>
      <rPr>
        <sz val="11"/>
        <color indexed="8"/>
        <rFont val="Calibri"/>
        <family val="2"/>
        <scheme val="minor"/>
      </rPr>
      <t xml:space="preserve"> and NH</t>
    </r>
    <r>
      <rPr>
        <vertAlign val="subscript"/>
        <sz val="11"/>
        <color indexed="8"/>
        <rFont val="Calibri"/>
        <family val="2"/>
        <scheme val="minor"/>
      </rPr>
      <t>3</t>
    </r>
    <r>
      <rPr>
        <sz val="11"/>
        <color indexed="8"/>
        <rFont val="Calibri"/>
        <family val="2"/>
        <scheme val="minor"/>
      </rPr>
      <t xml:space="preserve"> gas transfer depends on pH one equilibrium species: H2CO3 and NH3 for CO2 and NH3, respectively. </t>
    </r>
  </si>
  <si>
    <t>These components are calculated for a pH of 7 when pH is disabled,</t>
  </si>
  <si>
    <t>Carbonic acid and free ammonia calculation when pH is off</t>
  </si>
  <si>
    <r>
      <t>IS</t>
    </r>
    <r>
      <rPr>
        <vertAlign val="subscript"/>
        <sz val="11"/>
        <rFont val="Calibri"/>
        <family val="2"/>
        <scheme val="minor"/>
      </rPr>
      <t>field</t>
    </r>
  </si>
  <si>
    <t>IS in process unit (pH off)</t>
  </si>
  <si>
    <t>Non-pH; Digester</t>
  </si>
  <si>
    <r>
      <t>f</t>
    </r>
    <r>
      <rPr>
        <vertAlign val="subscript"/>
        <sz val="11"/>
        <rFont val="Calibri"/>
        <family val="2"/>
        <scheme val="minor"/>
      </rPr>
      <t>mono,field</t>
    </r>
  </si>
  <si>
    <r>
      <t>10^(-A</t>
    </r>
    <r>
      <rPr>
        <vertAlign val="subscript"/>
        <sz val="11"/>
        <rFont val="Calibri"/>
        <family val="2"/>
        <scheme val="minor"/>
      </rPr>
      <t>Davies</t>
    </r>
    <r>
      <rPr>
        <sz val="11"/>
        <rFont val="Calibri"/>
        <family val="2"/>
        <scheme val="minor"/>
      </rPr>
      <t>*1^(2)*(IS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</si>
  <si>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f</t>
    </r>
    <r>
      <rPr>
        <vertAlign val="subscript"/>
        <sz val="11"/>
        <rFont val="Calibri"/>
        <family val="2"/>
        <scheme val="minor"/>
      </rPr>
      <t>di,field</t>
    </r>
  </si>
  <si>
    <r>
      <t>10^(-A</t>
    </r>
    <r>
      <rPr>
        <vertAlign val="subscript"/>
        <sz val="11"/>
        <rFont val="Calibri"/>
        <family val="2"/>
        <scheme val="minor"/>
      </rPr>
      <t>Davies</t>
    </r>
    <r>
      <rPr>
        <sz val="11"/>
        <rFont val="Calibri"/>
        <family val="2"/>
        <scheme val="minor"/>
      </rPr>
      <t>*2^(2)*(IS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</si>
  <si>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C1,T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</si>
  <si>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C2,T</t>
    </r>
    <r>
      <rPr>
        <sz val="11"/>
        <rFont val="Calibri"/>
        <family val="2"/>
        <scheme val="minor"/>
      </rPr>
      <t>/f</t>
    </r>
    <r>
      <rPr>
        <vertAlign val="subscript"/>
        <sz val="11"/>
        <rFont val="Calibri"/>
        <family val="2"/>
        <scheme val="minor"/>
      </rPr>
      <t>di,field</t>
    </r>
  </si>
  <si>
    <t>pH calculation - pH specified, for other process units (pHSet, NonInput)</t>
  </si>
  <si>
    <t>Non-Input; pHSet; pH</t>
  </si>
  <si>
    <t>Error calculation</t>
  </si>
  <si>
    <t>Input; pHSet; pH</t>
  </si>
  <si>
    <t>pH calculation - pH specified, for influents (pHSet, Input)</t>
  </si>
  <si>
    <t>Key(1190)</t>
  </si>
  <si>
    <t>BOD stoichiometry</t>
  </si>
  <si>
    <t>Cations and anions calculation revised, for other process units (NonInput)</t>
  </si>
  <si>
    <r>
      <t>S</t>
    </r>
    <r>
      <rPr>
        <vertAlign val="subscript"/>
        <sz val="11"/>
        <rFont val="Calibri"/>
        <family val="2"/>
        <scheme val="minor"/>
      </rPr>
      <t>CAT,add</t>
    </r>
  </si>
  <si>
    <r>
      <t>If(SIC&gt; 0; S</t>
    </r>
    <r>
      <rPr>
        <vertAlign val="subscript"/>
        <sz val="11"/>
        <color indexed="8"/>
        <rFont val="Calibri"/>
        <family val="2"/>
      </rPr>
      <t>IC</t>
    </r>
    <r>
      <rPr>
        <sz val="11"/>
        <color indexed="8"/>
        <rFont val="Calibri"/>
        <family val="2"/>
      </rPr>
      <t>*(AM</t>
    </r>
    <r>
      <rPr>
        <vertAlign val="subscript"/>
        <sz val="11"/>
        <color indexed="8"/>
        <rFont val="Calibri"/>
        <family val="2"/>
      </rPr>
      <t>Na</t>
    </r>
    <r>
      <rPr>
        <sz val="11"/>
        <color indexed="8"/>
        <rFont val="Calibri"/>
        <family val="2"/>
      </rPr>
      <t>*1000);0)</t>
    </r>
  </si>
  <si>
    <t>pHSet; pH; Non-Input</t>
  </si>
  <si>
    <r>
      <t>S</t>
    </r>
    <r>
      <rPr>
        <vertAlign val="subscript"/>
        <sz val="11"/>
        <rFont val="Calibri"/>
        <family val="2"/>
        <scheme val="minor"/>
      </rPr>
      <t>AN,add</t>
    </r>
  </si>
  <si>
    <r>
      <t>If(SIC&lt; 0; - S</t>
    </r>
    <r>
      <rPr>
        <vertAlign val="subscript"/>
        <sz val="11"/>
        <color indexed="8"/>
        <rFont val="Calibri"/>
        <family val="2"/>
      </rPr>
      <t>IC</t>
    </r>
    <r>
      <rPr>
        <sz val="11"/>
        <color indexed="8"/>
        <rFont val="Calibri"/>
        <family val="2"/>
      </rPr>
      <t>*(AM</t>
    </r>
    <r>
      <rPr>
        <vertAlign val="subscript"/>
        <sz val="11"/>
        <color indexed="8"/>
        <rFont val="Calibri"/>
        <family val="2"/>
      </rPr>
      <t>Cl</t>
    </r>
    <r>
      <rPr>
        <sz val="11"/>
        <color indexed="8"/>
        <rFont val="Calibri"/>
        <family val="2"/>
      </rPr>
      <t>*1000);0)</t>
    </r>
  </si>
  <si>
    <r>
      <t>S</t>
    </r>
    <r>
      <rPr>
        <vertAlign val="subscript"/>
        <sz val="11"/>
        <color theme="1"/>
        <rFont val="Calibri"/>
        <family val="2"/>
        <scheme val="minor"/>
      </rPr>
      <t>CAT,ini</t>
    </r>
    <r>
      <rPr>
        <sz val="11"/>
        <color theme="1"/>
        <rFont val="Calibri"/>
        <family val="2"/>
        <scheme val="minor"/>
      </rPr>
      <t>+S</t>
    </r>
    <r>
      <rPr>
        <vertAlign val="subscript"/>
        <sz val="11"/>
        <color theme="1"/>
        <rFont val="Calibri"/>
        <family val="2"/>
        <scheme val="minor"/>
      </rPr>
      <t>CAT,add</t>
    </r>
  </si>
  <si>
    <r>
      <t>S</t>
    </r>
    <r>
      <rPr>
        <vertAlign val="subscript"/>
        <sz val="11"/>
        <color theme="1"/>
        <rFont val="Calibri"/>
        <family val="2"/>
        <scheme val="minor"/>
      </rPr>
      <t>AN,ini</t>
    </r>
    <r>
      <rPr>
        <sz val="11"/>
        <color theme="1"/>
        <rFont val="Calibri"/>
        <family val="2"/>
        <scheme val="minor"/>
      </rPr>
      <t>+S</t>
    </r>
    <r>
      <rPr>
        <vertAlign val="subscript"/>
        <sz val="11"/>
        <color theme="1"/>
        <rFont val="Calibri"/>
        <family val="2"/>
        <scheme val="minor"/>
      </rPr>
      <t>AN,add</t>
    </r>
  </si>
  <si>
    <t>Cations and anions calculation revised for influents (Input)</t>
  </si>
  <si>
    <t>pHSet; pH; Input</t>
  </si>
  <si>
    <r>
      <t>S</t>
    </r>
    <r>
      <rPr>
        <vertAlign val="subscript"/>
        <sz val="11"/>
        <rFont val="Calibri"/>
        <family val="2"/>
      </rPr>
      <t>NO3</t>
    </r>
    <r>
      <rPr>
        <sz val="11"/>
        <rFont val="Calibri"/>
        <family val="2"/>
      </rPr>
      <t>/(AM</t>
    </r>
    <r>
      <rPr>
        <vertAlign val="subscript"/>
        <sz val="11"/>
        <rFont val="Calibri"/>
        <family val="2"/>
      </rPr>
      <t>N</t>
    </r>
    <r>
      <rPr>
        <sz val="11"/>
        <rFont val="Calibri"/>
        <family val="2"/>
      </rPr>
      <t>*1000)</t>
    </r>
  </si>
  <si>
    <t>Diffusion coefficients for gas phase state variables</t>
  </si>
  <si>
    <t>heat capacity ratio</t>
  </si>
  <si>
    <t>Molar mass of ammonium ion</t>
  </si>
  <si>
    <t>Molar mass of nitrite ion</t>
  </si>
  <si>
    <t>Molar mass of nitrate ion</t>
  </si>
  <si>
    <t>Solubility  constant of CaCO3</t>
  </si>
  <si>
    <t>Solubility  constant of struvite</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</si>
  <si>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</si>
  <si>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</si>
  <si>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</si>
  <si>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</si>
  <si>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</si>
  <si>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</si>
  <si>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</si>
  <si>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</si>
  <si>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</si>
  <si>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</si>
  <si>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</si>
  <si>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</si>
  <si>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r>
      <t>c</t>
    </r>
    <r>
      <rPr>
        <vertAlign val="subscript"/>
        <sz val="11"/>
        <rFont val="Calibri"/>
        <family val="2"/>
        <scheme val="minor"/>
      </rPr>
      <t>cm,m</t>
    </r>
  </si>
  <si>
    <t>Conversion coefficient between centimeters and meters</t>
  </si>
  <si>
    <t>Standard enthalpy of Magnesium ion</t>
  </si>
  <si>
    <t>Diffusion coefficients for liquid phase state variables</t>
  </si>
  <si>
    <r>
      <rPr>
        <sz val="11"/>
        <rFont val="Calibri"/>
        <family val="2"/>
        <scheme val="minor"/>
      </rPr>
      <t>f</t>
    </r>
    <r>
      <rPr>
        <vertAlign val="subscript"/>
        <sz val="11"/>
        <rFont val="Calibri"/>
        <family val="2"/>
        <scheme val="minor"/>
      </rPr>
      <t>KS</t>
    </r>
  </si>
  <si>
    <r>
      <t>K</t>
    </r>
    <r>
      <rPr>
        <vertAlign val="subscript"/>
        <sz val="11"/>
        <rFont val="Calibri"/>
        <family val="2"/>
      </rPr>
      <t>NHx,AOB,AS</t>
    </r>
    <r>
      <rPr>
        <sz val="11"/>
        <rFont val="Calibri"/>
        <family val="2"/>
      </rPr>
      <t>*f</t>
    </r>
    <r>
      <rPr>
        <vertAlign val="subscript"/>
        <sz val="11"/>
        <rFont val="Calibri"/>
        <family val="2"/>
      </rPr>
      <t>KS</t>
    </r>
  </si>
  <si>
    <r>
      <t>K</t>
    </r>
    <r>
      <rPr>
        <vertAlign val="subscript"/>
        <sz val="11"/>
        <rFont val="Calibri"/>
        <family val="2"/>
      </rPr>
      <t>O2,AOB,AS</t>
    </r>
    <r>
      <rPr>
        <sz val="11"/>
        <rFont val="Calibri"/>
        <family val="2"/>
      </rPr>
      <t>*f</t>
    </r>
    <r>
      <rPr>
        <vertAlign val="subscript"/>
        <sz val="11"/>
        <rFont val="Calibri"/>
        <family val="2"/>
      </rPr>
      <t>KS</t>
    </r>
  </si>
  <si>
    <r>
      <t>K</t>
    </r>
    <r>
      <rPr>
        <vertAlign val="subscript"/>
        <sz val="11"/>
        <rFont val="Calibri"/>
        <family val="2"/>
      </rPr>
      <t>NOx,AOB,AS</t>
    </r>
    <r>
      <rPr>
        <sz val="11"/>
        <rFont val="Calibri"/>
        <family val="2"/>
      </rPr>
      <t>*f</t>
    </r>
    <r>
      <rPr>
        <vertAlign val="subscript"/>
        <sz val="11"/>
        <rFont val="Calibri"/>
        <family val="2"/>
      </rPr>
      <t>KS</t>
    </r>
  </si>
  <si>
    <r>
      <t>K</t>
    </r>
    <r>
      <rPr>
        <vertAlign val="subscript"/>
        <sz val="11"/>
        <rFont val="Calibri"/>
        <family val="2"/>
      </rPr>
      <t>NO2,NOB,AS</t>
    </r>
    <r>
      <rPr>
        <sz val="11"/>
        <rFont val="Calibri"/>
        <family val="2"/>
      </rPr>
      <t>*f</t>
    </r>
    <r>
      <rPr>
        <vertAlign val="subscript"/>
        <sz val="11"/>
        <rFont val="Calibri"/>
        <family val="2"/>
      </rPr>
      <t>KS</t>
    </r>
  </si>
  <si>
    <r>
      <t>K</t>
    </r>
    <r>
      <rPr>
        <vertAlign val="subscript"/>
        <sz val="11"/>
        <rFont val="Calibri"/>
        <family val="2"/>
      </rPr>
      <t>O2,NOB,AS</t>
    </r>
    <r>
      <rPr>
        <sz val="11"/>
        <rFont val="Calibri"/>
        <family val="2"/>
      </rPr>
      <t>*f</t>
    </r>
    <r>
      <rPr>
        <vertAlign val="subscript"/>
        <sz val="11"/>
        <rFont val="Calibri"/>
        <family val="2"/>
      </rPr>
      <t>KS</t>
    </r>
  </si>
  <si>
    <r>
      <t>K</t>
    </r>
    <r>
      <rPr>
        <vertAlign val="subscript"/>
        <sz val="11"/>
        <rFont val="Calibri"/>
        <family val="2"/>
      </rPr>
      <t>NOx,NOB,AS</t>
    </r>
    <r>
      <rPr>
        <sz val="11"/>
        <rFont val="Calibri"/>
        <family val="2"/>
      </rPr>
      <t>*f</t>
    </r>
    <r>
      <rPr>
        <vertAlign val="subscript"/>
        <sz val="11"/>
        <rFont val="Calibri"/>
        <family val="2"/>
      </rPr>
      <t>KS</t>
    </r>
  </si>
  <si>
    <r>
      <t>Ki</t>
    </r>
    <r>
      <rPr>
        <vertAlign val="subscript"/>
        <sz val="11"/>
        <rFont val="Calibri"/>
        <family val="2"/>
      </rPr>
      <t>NH3,NOB,pH,AS</t>
    </r>
    <r>
      <rPr>
        <sz val="11"/>
        <rFont val="Calibri"/>
        <family val="2"/>
      </rPr>
      <t>*f</t>
    </r>
    <r>
      <rPr>
        <vertAlign val="subscript"/>
        <sz val="11"/>
        <rFont val="Calibri"/>
        <family val="2"/>
      </rPr>
      <t>KS</t>
    </r>
  </si>
  <si>
    <r>
      <t>K</t>
    </r>
    <r>
      <rPr>
        <vertAlign val="subscript"/>
        <sz val="11"/>
        <rFont val="Calibri"/>
        <family val="2"/>
      </rPr>
      <t>NHx,AMX,AS</t>
    </r>
    <r>
      <rPr>
        <sz val="11"/>
        <rFont val="Calibri"/>
        <family val="2"/>
      </rPr>
      <t>*f</t>
    </r>
    <r>
      <rPr>
        <vertAlign val="subscript"/>
        <sz val="11"/>
        <rFont val="Calibri"/>
        <family val="2"/>
      </rPr>
      <t>KS</t>
    </r>
  </si>
  <si>
    <r>
      <t>K</t>
    </r>
    <r>
      <rPr>
        <vertAlign val="subscript"/>
        <sz val="11"/>
        <rFont val="Calibri"/>
        <family val="2"/>
      </rPr>
      <t>NO2,AMX,AS</t>
    </r>
    <r>
      <rPr>
        <sz val="11"/>
        <rFont val="Calibri"/>
        <family val="2"/>
      </rPr>
      <t>*f</t>
    </r>
    <r>
      <rPr>
        <vertAlign val="subscript"/>
        <sz val="11"/>
        <rFont val="Calibri"/>
        <family val="2"/>
      </rPr>
      <t>KS</t>
    </r>
  </si>
  <si>
    <r>
      <t>K</t>
    </r>
    <r>
      <rPr>
        <vertAlign val="subscript"/>
        <sz val="11"/>
        <rFont val="Calibri"/>
        <family val="2"/>
      </rPr>
      <t>NOx,AMX,AS</t>
    </r>
    <r>
      <rPr>
        <sz val="11"/>
        <rFont val="Calibri"/>
        <family val="2"/>
      </rPr>
      <t>*f</t>
    </r>
    <r>
      <rPr>
        <vertAlign val="subscript"/>
        <sz val="11"/>
        <rFont val="Calibri"/>
        <family val="2"/>
      </rPr>
      <t>KS</t>
    </r>
  </si>
  <si>
    <r>
      <t>Ki</t>
    </r>
    <r>
      <rPr>
        <vertAlign val="subscript"/>
        <sz val="11"/>
        <rFont val="Calibri"/>
        <family val="2"/>
      </rPr>
      <t>HNO2,AMX,pH,AS</t>
    </r>
    <r>
      <rPr>
        <sz val="11"/>
        <rFont val="Calibri"/>
        <family val="2"/>
      </rPr>
      <t>*f</t>
    </r>
    <r>
      <rPr>
        <vertAlign val="subscript"/>
        <sz val="11"/>
        <rFont val="Calibri"/>
        <family val="2"/>
      </rPr>
      <t>KS</t>
    </r>
  </si>
  <si>
    <r>
      <t>K</t>
    </r>
    <r>
      <rPr>
        <vertAlign val="subscript"/>
        <sz val="11"/>
        <rFont val="Calibri"/>
        <family val="2"/>
        <scheme val="minor"/>
      </rPr>
      <t>SB,AS</t>
    </r>
    <r>
      <rPr>
        <sz val="11"/>
        <rFont val="Calibri"/>
        <family val="2"/>
        <scheme val="minor"/>
      </rPr>
      <t>*f</t>
    </r>
    <r>
      <rPr>
        <vertAlign val="subscript"/>
        <sz val="11"/>
        <rFont val="Calibri"/>
        <family val="2"/>
        <scheme val="minor"/>
      </rPr>
      <t>KS</t>
    </r>
  </si>
  <si>
    <r>
      <t>K</t>
    </r>
    <r>
      <rPr>
        <vertAlign val="subscript"/>
        <sz val="11"/>
        <rFont val="Calibri"/>
        <family val="2"/>
        <scheme val="minor"/>
      </rPr>
      <t>VFA,AS</t>
    </r>
    <r>
      <rPr>
        <sz val="11"/>
        <rFont val="Calibri"/>
        <family val="2"/>
        <scheme val="minor"/>
      </rPr>
      <t>*f</t>
    </r>
    <r>
      <rPr>
        <vertAlign val="subscript"/>
        <sz val="11"/>
        <rFont val="Calibri"/>
        <family val="2"/>
        <scheme val="minor"/>
      </rPr>
      <t>KS</t>
    </r>
  </si>
  <si>
    <r>
      <t>K</t>
    </r>
    <r>
      <rPr>
        <vertAlign val="subscript"/>
        <sz val="11"/>
        <rFont val="Calibri"/>
        <family val="2"/>
        <scheme val="minor"/>
      </rPr>
      <t>O2,OHO,AS</t>
    </r>
    <r>
      <rPr>
        <sz val="11"/>
        <rFont val="Calibri"/>
        <family val="2"/>
        <scheme val="minor"/>
      </rPr>
      <t>*f</t>
    </r>
    <r>
      <rPr>
        <vertAlign val="subscript"/>
        <sz val="11"/>
        <rFont val="Calibri"/>
        <family val="2"/>
        <scheme val="minor"/>
      </rPr>
      <t>KS</t>
    </r>
  </si>
  <si>
    <r>
      <t>K</t>
    </r>
    <r>
      <rPr>
        <vertAlign val="subscript"/>
        <sz val="11"/>
        <rFont val="Calibri"/>
        <family val="2"/>
        <scheme val="minor"/>
      </rPr>
      <t>MEOL,OHO,AS</t>
    </r>
    <r>
      <rPr>
        <sz val="11"/>
        <rFont val="Calibri"/>
        <family val="2"/>
        <scheme val="minor"/>
      </rPr>
      <t>*f</t>
    </r>
    <r>
      <rPr>
        <vertAlign val="subscript"/>
        <sz val="11"/>
        <rFont val="Calibri"/>
        <family val="2"/>
        <scheme val="minor"/>
      </rPr>
      <t>KS</t>
    </r>
  </si>
  <si>
    <r>
      <t>K</t>
    </r>
    <r>
      <rPr>
        <vertAlign val="subscript"/>
        <sz val="11"/>
        <rFont val="Calibri"/>
        <family val="2"/>
        <scheme val="minor"/>
      </rPr>
      <t>NO3,OHO,AS</t>
    </r>
    <r>
      <rPr>
        <sz val="11"/>
        <rFont val="Calibri"/>
        <family val="2"/>
        <scheme val="minor"/>
      </rPr>
      <t>*f</t>
    </r>
    <r>
      <rPr>
        <vertAlign val="subscript"/>
        <sz val="11"/>
        <rFont val="Calibri"/>
        <family val="2"/>
        <scheme val="minor"/>
      </rPr>
      <t>KS</t>
    </r>
  </si>
  <si>
    <r>
      <t>K</t>
    </r>
    <r>
      <rPr>
        <vertAlign val="subscript"/>
        <sz val="11"/>
        <rFont val="Calibri"/>
        <family val="2"/>
        <scheme val="minor"/>
      </rPr>
      <t>VFA,FERM,AS</t>
    </r>
    <r>
      <rPr>
        <sz val="11"/>
        <rFont val="Calibri"/>
        <family val="2"/>
        <scheme val="minor"/>
      </rPr>
      <t>*f</t>
    </r>
    <r>
      <rPr>
        <vertAlign val="subscript"/>
        <sz val="11"/>
        <rFont val="Calibri"/>
        <family val="2"/>
        <scheme val="minor"/>
      </rPr>
      <t>KS</t>
    </r>
  </si>
  <si>
    <r>
      <t>K</t>
    </r>
    <r>
      <rPr>
        <vertAlign val="subscript"/>
        <sz val="11"/>
        <rFont val="Calibri"/>
        <family val="2"/>
        <scheme val="minor"/>
      </rPr>
      <t>SB,ana,AS</t>
    </r>
    <r>
      <rPr>
        <sz val="11"/>
        <rFont val="Calibri"/>
        <family val="2"/>
        <scheme val="minor"/>
      </rPr>
      <t>*f</t>
    </r>
    <r>
      <rPr>
        <vertAlign val="subscript"/>
        <sz val="11"/>
        <rFont val="Calibri"/>
        <family val="2"/>
        <scheme val="minor"/>
      </rPr>
      <t>KS</t>
    </r>
  </si>
  <si>
    <r>
      <t>K</t>
    </r>
    <r>
      <rPr>
        <vertAlign val="subscript"/>
        <sz val="11"/>
        <rFont val="Calibri"/>
        <family val="2"/>
        <scheme val="minor"/>
      </rPr>
      <t>MEOL,AS</t>
    </r>
    <r>
      <rPr>
        <sz val="11"/>
        <rFont val="Calibri"/>
        <family val="2"/>
        <scheme val="minor"/>
      </rPr>
      <t>*f</t>
    </r>
    <r>
      <rPr>
        <vertAlign val="subscript"/>
        <sz val="11"/>
        <rFont val="Calibri"/>
        <family val="2"/>
        <scheme val="minor"/>
      </rPr>
      <t>KS</t>
    </r>
  </si>
  <si>
    <r>
      <t>K</t>
    </r>
    <r>
      <rPr>
        <vertAlign val="subscript"/>
        <sz val="11"/>
        <rFont val="Calibri"/>
        <family val="2"/>
      </rPr>
      <t>NO2,MEOLO,AS</t>
    </r>
    <r>
      <rPr>
        <sz val="11"/>
        <rFont val="Calibri"/>
        <family val="2"/>
      </rPr>
      <t>*f</t>
    </r>
    <r>
      <rPr>
        <vertAlign val="subscript"/>
        <sz val="11"/>
        <rFont val="Calibri"/>
        <family val="2"/>
      </rPr>
      <t>KS</t>
    </r>
  </si>
  <si>
    <r>
      <t>K</t>
    </r>
    <r>
      <rPr>
        <vertAlign val="subscript"/>
        <sz val="11"/>
        <rFont val="Calibri"/>
        <family val="2"/>
        <scheme val="minor"/>
      </rPr>
      <t>NO3,MEOLO,AS</t>
    </r>
    <r>
      <rPr>
        <sz val="11"/>
        <rFont val="Calibri"/>
        <family val="2"/>
        <scheme val="minor"/>
      </rPr>
      <t>*f</t>
    </r>
    <r>
      <rPr>
        <vertAlign val="subscript"/>
        <sz val="11"/>
        <rFont val="Calibri"/>
        <family val="2"/>
        <scheme val="minor"/>
      </rPr>
      <t>KS</t>
    </r>
  </si>
  <si>
    <r>
      <t>K</t>
    </r>
    <r>
      <rPr>
        <vertAlign val="subscript"/>
        <sz val="11"/>
        <rFont val="Calibri"/>
        <family val="2"/>
        <scheme val="minor"/>
      </rPr>
      <t>PO4,PAO,AS</t>
    </r>
    <r>
      <rPr>
        <sz val="11"/>
        <rFont val="Calibri"/>
        <family val="2"/>
        <scheme val="minor"/>
      </rPr>
      <t>*f</t>
    </r>
    <r>
      <rPr>
        <vertAlign val="subscript"/>
        <sz val="11"/>
        <rFont val="Calibri"/>
        <family val="2"/>
        <scheme val="minor"/>
      </rPr>
      <t>KS</t>
    </r>
  </si>
  <si>
    <r>
      <t>K</t>
    </r>
    <r>
      <rPr>
        <vertAlign val="subscript"/>
        <sz val="11"/>
        <rFont val="Calibri"/>
        <family val="2"/>
        <scheme val="minor"/>
      </rPr>
      <t>Mg,PAO,AS</t>
    </r>
    <r>
      <rPr>
        <sz val="11"/>
        <rFont val="Calibri"/>
        <family val="2"/>
        <scheme val="minor"/>
      </rPr>
      <t>*f</t>
    </r>
    <r>
      <rPr>
        <vertAlign val="subscript"/>
        <sz val="11"/>
        <rFont val="Calibri"/>
        <family val="2"/>
        <scheme val="minor"/>
      </rPr>
      <t>KS</t>
    </r>
  </si>
  <si>
    <r>
      <t>K</t>
    </r>
    <r>
      <rPr>
        <vertAlign val="subscript"/>
        <sz val="11"/>
        <rFont val="Calibri"/>
        <family val="2"/>
        <scheme val="minor"/>
      </rPr>
      <t>K,PAO,AS</t>
    </r>
    <r>
      <rPr>
        <sz val="11"/>
        <rFont val="Calibri"/>
        <family val="2"/>
        <scheme val="minor"/>
      </rPr>
      <t>*f</t>
    </r>
    <r>
      <rPr>
        <vertAlign val="subscript"/>
        <sz val="11"/>
        <rFont val="Calibri"/>
        <family val="2"/>
        <scheme val="minor"/>
      </rPr>
      <t>KS</t>
    </r>
  </si>
  <si>
    <r>
      <t>K</t>
    </r>
    <r>
      <rPr>
        <vertAlign val="subscript"/>
        <sz val="11"/>
        <rFont val="Calibri"/>
        <family val="2"/>
        <scheme val="minor"/>
      </rPr>
      <t>Ca,PAO,AS</t>
    </r>
    <r>
      <rPr>
        <sz val="11"/>
        <rFont val="Calibri"/>
        <family val="2"/>
        <scheme val="minor"/>
      </rPr>
      <t>*f</t>
    </r>
    <r>
      <rPr>
        <vertAlign val="subscript"/>
        <sz val="11"/>
        <rFont val="Calibri"/>
        <family val="2"/>
        <scheme val="minor"/>
      </rPr>
      <t>KS</t>
    </r>
  </si>
  <si>
    <r>
      <t>Ki</t>
    </r>
    <r>
      <rPr>
        <vertAlign val="subscript"/>
        <sz val="11"/>
        <rFont val="Calibri"/>
        <family val="2"/>
        <scheme val="minor"/>
      </rPr>
      <t>PO4,lim,AS</t>
    </r>
    <r>
      <rPr>
        <sz val="11"/>
        <rFont val="Calibri"/>
        <family val="2"/>
        <scheme val="minor"/>
      </rPr>
      <t>*f</t>
    </r>
    <r>
      <rPr>
        <vertAlign val="subscript"/>
        <sz val="11"/>
        <rFont val="Calibri"/>
        <family val="2"/>
        <scheme val="minor"/>
      </rPr>
      <t>KS</t>
    </r>
  </si>
  <si>
    <r>
      <t>K</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</si>
  <si>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Ki</t>
    </r>
    <r>
      <rPr>
        <vertAlign val="subscript"/>
        <sz val="11"/>
        <rFont val="Calibri"/>
        <family val="2"/>
        <scheme val="minor"/>
      </rPr>
      <t>VFA,AMETO,AS</t>
    </r>
    <r>
      <rPr>
        <sz val="11"/>
        <rFont val="Calibri"/>
        <family val="2"/>
        <scheme val="minor"/>
      </rPr>
      <t>*f</t>
    </r>
    <r>
      <rPr>
        <vertAlign val="subscript"/>
        <sz val="11"/>
        <rFont val="Calibri"/>
        <family val="2"/>
        <scheme val="minor"/>
      </rPr>
      <t>KS</t>
    </r>
  </si>
  <si>
    <r>
      <t>K</t>
    </r>
    <r>
      <rPr>
        <vertAlign val="subscript"/>
        <sz val="11"/>
        <rFont val="Calibri"/>
        <family val="2"/>
        <scheme val="minor"/>
      </rPr>
      <t>NOx,AMETO,AS</t>
    </r>
    <r>
      <rPr>
        <sz val="11"/>
        <rFont val="Calibri"/>
        <family val="2"/>
        <scheme val="minor"/>
      </rPr>
      <t>*f</t>
    </r>
    <r>
      <rPr>
        <vertAlign val="subscript"/>
        <sz val="11"/>
        <rFont val="Calibri"/>
        <family val="2"/>
        <scheme val="minor"/>
      </rPr>
      <t>KS</t>
    </r>
  </si>
  <si>
    <r>
      <t>K</t>
    </r>
    <r>
      <rPr>
        <vertAlign val="subscript"/>
        <sz val="11"/>
        <rFont val="Calibri"/>
        <family val="2"/>
        <scheme val="minor"/>
      </rPr>
      <t>H2,HMETO,AS</t>
    </r>
    <r>
      <rPr>
        <sz val="11"/>
        <rFont val="Calibri"/>
        <family val="2"/>
        <scheme val="minor"/>
      </rPr>
      <t>*f</t>
    </r>
    <r>
      <rPr>
        <vertAlign val="subscript"/>
        <sz val="11"/>
        <rFont val="Calibri"/>
        <family val="2"/>
        <scheme val="minor"/>
      </rPr>
      <t>KS</t>
    </r>
  </si>
  <si>
    <r>
      <t>K</t>
    </r>
    <r>
      <rPr>
        <vertAlign val="subscript"/>
        <sz val="11"/>
        <rFont val="Calibri"/>
        <family val="2"/>
        <scheme val="minor"/>
      </rPr>
      <t>NOx,HMETO,AS</t>
    </r>
    <r>
      <rPr>
        <sz val="11"/>
        <rFont val="Calibri"/>
        <family val="2"/>
        <scheme val="minor"/>
      </rPr>
      <t>*f</t>
    </r>
    <r>
      <rPr>
        <vertAlign val="subscript"/>
        <sz val="11"/>
        <rFont val="Calibri"/>
        <family val="2"/>
        <scheme val="minor"/>
      </rPr>
      <t>KS</t>
    </r>
  </si>
  <si>
    <r>
      <t>K</t>
    </r>
    <r>
      <rPr>
        <vertAlign val="subscript"/>
        <sz val="11"/>
        <rFont val="Calibri"/>
        <family val="2"/>
        <scheme val="minor"/>
      </rPr>
      <t>NHx,BIO,AS</t>
    </r>
    <r>
      <rPr>
        <sz val="11"/>
        <rFont val="Calibri"/>
        <family val="2"/>
        <scheme val="minor"/>
      </rPr>
      <t>*f</t>
    </r>
    <r>
      <rPr>
        <vertAlign val="subscript"/>
        <sz val="11"/>
        <rFont val="Calibri"/>
        <family val="2"/>
        <scheme val="minor"/>
      </rPr>
      <t>KS</t>
    </r>
  </si>
  <si>
    <r>
      <t>K</t>
    </r>
    <r>
      <rPr>
        <vertAlign val="subscript"/>
        <sz val="11"/>
        <rFont val="Calibri"/>
        <family val="2"/>
        <scheme val="minor"/>
      </rPr>
      <t>PO4,BIO,AS</t>
    </r>
    <r>
      <rPr>
        <sz val="11"/>
        <rFont val="Calibri"/>
        <family val="2"/>
        <scheme val="minor"/>
      </rPr>
      <t>*f</t>
    </r>
    <r>
      <rPr>
        <vertAlign val="subscript"/>
        <sz val="11"/>
        <rFont val="Calibri"/>
        <family val="2"/>
        <scheme val="minor"/>
      </rPr>
      <t>KS</t>
    </r>
  </si>
  <si>
    <r>
      <t>K</t>
    </r>
    <r>
      <rPr>
        <vertAlign val="subscript"/>
        <sz val="11"/>
        <rFont val="Calibri"/>
        <family val="2"/>
        <scheme val="minor"/>
      </rPr>
      <t>CO2,BIO,AS</t>
    </r>
    <r>
      <rPr>
        <sz val="11"/>
        <rFont val="Calibri"/>
        <family val="2"/>
        <scheme val="minor"/>
      </rPr>
      <t>*f</t>
    </r>
    <r>
      <rPr>
        <vertAlign val="subscript"/>
        <sz val="11"/>
        <rFont val="Calibri"/>
        <family val="2"/>
        <scheme val="minor"/>
      </rPr>
      <t>KS</t>
    </r>
  </si>
  <si>
    <r>
      <t>K</t>
    </r>
    <r>
      <rPr>
        <vertAlign val="subscript"/>
        <sz val="11"/>
        <rFont val="Calibri"/>
        <family val="2"/>
        <scheme val="minor"/>
      </rPr>
      <t>CAT,AS</t>
    </r>
    <r>
      <rPr>
        <sz val="11"/>
        <rFont val="Calibri"/>
        <family val="2"/>
        <scheme val="minor"/>
      </rPr>
      <t>*f</t>
    </r>
    <r>
      <rPr>
        <vertAlign val="subscript"/>
        <sz val="11"/>
        <rFont val="Calibri"/>
        <family val="2"/>
        <scheme val="minor"/>
      </rPr>
      <t>KS</t>
    </r>
  </si>
  <si>
    <r>
      <t>K</t>
    </r>
    <r>
      <rPr>
        <vertAlign val="subscript"/>
        <sz val="11"/>
        <rFont val="Calibri"/>
        <family val="2"/>
        <scheme val="minor"/>
      </rPr>
      <t>AN,AS</t>
    </r>
    <r>
      <rPr>
        <sz val="11"/>
        <rFont val="Calibri"/>
        <family val="2"/>
        <scheme val="minor"/>
      </rPr>
      <t>*f</t>
    </r>
    <r>
      <rPr>
        <vertAlign val="subscript"/>
        <sz val="11"/>
        <rFont val="Calibri"/>
        <family val="2"/>
        <scheme val="minor"/>
      </rPr>
      <t>KS</t>
    </r>
  </si>
  <si>
    <r>
      <t>K</t>
    </r>
    <r>
      <rPr>
        <vertAlign val="subscript"/>
        <sz val="11"/>
        <rFont val="Calibri"/>
        <family val="2"/>
        <scheme val="minor"/>
      </rPr>
      <t>HYD,AS</t>
    </r>
    <r>
      <rPr>
        <sz val="11"/>
        <rFont val="Calibri"/>
        <family val="2"/>
        <scheme val="minor"/>
      </rPr>
      <t>*f</t>
    </r>
    <r>
      <rPr>
        <vertAlign val="subscript"/>
        <sz val="11"/>
        <rFont val="Calibri"/>
        <family val="2"/>
        <scheme val="minor"/>
      </rPr>
      <t>KS</t>
    </r>
  </si>
  <si>
    <r>
      <t>Ki</t>
    </r>
    <r>
      <rPr>
        <vertAlign val="subscript"/>
        <sz val="11"/>
        <rFont val="Calibri"/>
        <family val="2"/>
        <scheme val="minor"/>
      </rPr>
      <t>NHx,ASSIM,AS</t>
    </r>
    <r>
      <rPr>
        <sz val="11"/>
        <rFont val="Calibri"/>
        <family val="2"/>
        <scheme val="minor"/>
      </rPr>
      <t>*f</t>
    </r>
    <r>
      <rPr>
        <vertAlign val="subscript"/>
        <sz val="11"/>
        <rFont val="Calibri"/>
        <family val="2"/>
        <scheme val="minor"/>
      </rPr>
      <t>KS</t>
    </r>
  </si>
  <si>
    <r>
      <t>K</t>
    </r>
    <r>
      <rPr>
        <vertAlign val="subscript"/>
        <sz val="11"/>
        <rFont val="Calibri"/>
        <family val="2"/>
        <scheme val="minor"/>
      </rPr>
      <t>NO2,ASSIM,AS</t>
    </r>
    <r>
      <rPr>
        <sz val="11"/>
        <rFont val="Calibri"/>
        <family val="2"/>
        <scheme val="minor"/>
      </rPr>
      <t>*f</t>
    </r>
    <r>
      <rPr>
        <vertAlign val="subscript"/>
        <sz val="11"/>
        <rFont val="Calibri"/>
        <family val="2"/>
        <scheme val="minor"/>
      </rPr>
      <t>KS</t>
    </r>
  </si>
  <si>
    <r>
      <t>K</t>
    </r>
    <r>
      <rPr>
        <vertAlign val="subscript"/>
        <sz val="11"/>
        <rFont val="Calibri"/>
        <family val="2"/>
        <scheme val="minor"/>
      </rPr>
      <t>NO3,ASSIM,AS</t>
    </r>
    <r>
      <rPr>
        <sz val="11"/>
        <rFont val="Calibri"/>
        <family val="2"/>
        <scheme val="minor"/>
      </rPr>
      <t>*f</t>
    </r>
    <r>
      <rPr>
        <vertAlign val="subscript"/>
        <sz val="11"/>
        <rFont val="Calibri"/>
        <family val="2"/>
        <scheme val="minor"/>
      </rPr>
      <t>KS</t>
    </r>
  </si>
  <si>
    <t>fKS=1 in bulk and fKS,biofilm in biofilm</t>
  </si>
  <si>
    <r>
      <t>S</t>
    </r>
    <r>
      <rPr>
        <vertAlign val="subscript"/>
        <sz val="11"/>
        <rFont val="Calibri"/>
        <family val="2"/>
        <scheme val="minor"/>
      </rPr>
      <t>KN</t>
    </r>
  </si>
  <si>
    <t>Soluble Kjeldahl nitrogen (SKN)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</si>
  <si>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</si>
  <si>
    <r>
      <t>S</t>
    </r>
    <r>
      <rPr>
        <vertAlign val="subscript"/>
        <sz val="11"/>
        <rFont val="Calibri"/>
        <family val="2"/>
        <scheme val="minor"/>
      </rPr>
      <t>P</t>
    </r>
  </si>
  <si>
    <t>Soluble phosphorus</t>
  </si>
  <si>
    <r>
      <t>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</si>
  <si>
    <r>
      <t>Ki</t>
    </r>
    <r>
      <rPr>
        <vertAlign val="subscript"/>
        <sz val="11"/>
        <rFont val="Calibri"/>
        <family val="2"/>
        <scheme val="minor"/>
      </rPr>
      <t>O2,MEOLO,AS</t>
    </r>
  </si>
  <si>
    <r>
      <t>Half-inhibition of O</t>
    </r>
    <r>
      <rPr>
        <vertAlign val="subscript"/>
        <sz val="11"/>
        <color rgb="FF000000"/>
        <rFont val="Calibri"/>
        <family val="2"/>
        <scheme val="minor"/>
      </rPr>
      <t>2</t>
    </r>
    <r>
      <rPr>
        <sz val="11"/>
        <color rgb="FF000000"/>
        <rFont val="Calibri"/>
        <family val="2"/>
        <charset val="238"/>
        <scheme val="minor"/>
      </rPr>
      <t xml:space="preserve"> for MEOLOs (AS)</t>
    </r>
  </si>
  <si>
    <r>
      <t>Ki</t>
    </r>
    <r>
      <rPr>
        <vertAlign val="subscript"/>
        <sz val="11"/>
        <rFont val="Calibri"/>
        <family val="2"/>
        <scheme val="minor"/>
      </rPr>
      <t>O2,AMETO,AS</t>
    </r>
  </si>
  <si>
    <r>
      <t>Half-inhibition of O</t>
    </r>
    <r>
      <rPr>
        <vertAlign val="subscript"/>
        <sz val="11"/>
        <color rgb="FF000000"/>
        <rFont val="Calibri"/>
        <family val="2"/>
        <scheme val="minor"/>
      </rPr>
      <t>2</t>
    </r>
    <r>
      <rPr>
        <sz val="11"/>
        <color rgb="FF000000"/>
        <rFont val="Calibri"/>
        <family val="2"/>
        <charset val="238"/>
        <scheme val="minor"/>
      </rPr>
      <t xml:space="preserve"> for AMETOs (AS)</t>
    </r>
  </si>
  <si>
    <r>
      <t>Ki</t>
    </r>
    <r>
      <rPr>
        <vertAlign val="subscript"/>
        <sz val="11"/>
        <color indexed="8"/>
        <rFont val="Calibri"/>
        <family val="2"/>
        <scheme val="minor"/>
      </rPr>
      <t>O2,HMETO,AS</t>
    </r>
  </si>
  <si>
    <r>
      <t>Half-inhibition of O</t>
    </r>
    <r>
      <rPr>
        <vertAlign val="subscript"/>
        <sz val="11"/>
        <color rgb="FF000000"/>
        <rFont val="Calibri"/>
        <family val="2"/>
        <scheme val="minor"/>
      </rPr>
      <t>2</t>
    </r>
    <r>
      <rPr>
        <sz val="11"/>
        <color rgb="FF000000"/>
        <rFont val="Calibri"/>
        <family val="2"/>
        <charset val="238"/>
        <scheme val="minor"/>
      </rPr>
      <t xml:space="preserve"> for HMETOs (AS)</t>
    </r>
  </si>
  <si>
    <r>
      <t>mV</t>
    </r>
    <r>
      <rPr>
        <vertAlign val="superscript"/>
        <sz val="11"/>
        <rFont val="Calibri"/>
        <family val="2"/>
        <scheme val="minor"/>
      </rPr>
      <t>-1</t>
    </r>
  </si>
  <si>
    <r>
      <t>Ki</t>
    </r>
    <r>
      <rPr>
        <vertAlign val="subscript"/>
        <sz val="11"/>
        <rFont val="Calibri"/>
        <family val="2"/>
        <scheme val="minor"/>
      </rPr>
      <t>O2,MEOLO</t>
    </r>
  </si>
  <si>
    <r>
      <t>Half-inhibition of O</t>
    </r>
    <r>
      <rPr>
        <vertAlign val="subscript"/>
        <sz val="11"/>
        <color rgb="FF000000"/>
        <rFont val="Calibri"/>
        <family val="2"/>
        <scheme val="minor"/>
      </rPr>
      <t>2</t>
    </r>
    <r>
      <rPr>
        <sz val="11"/>
        <color rgb="FF000000"/>
        <rFont val="Calibri"/>
        <family val="2"/>
        <charset val="238"/>
        <scheme val="minor"/>
      </rPr>
      <t xml:space="preserve"> for MEOLOs</t>
    </r>
  </si>
  <si>
    <r>
      <t>Ki</t>
    </r>
    <r>
      <rPr>
        <vertAlign val="subscript"/>
        <sz val="11"/>
        <rFont val="Calibri"/>
        <family val="2"/>
        <scheme val="minor"/>
      </rPr>
      <t>O2,MEOLO,AS</t>
    </r>
    <r>
      <rPr>
        <sz val="11"/>
        <rFont val="Calibri"/>
        <family val="2"/>
        <scheme val="minor"/>
      </rPr>
      <t>*f</t>
    </r>
    <r>
      <rPr>
        <vertAlign val="subscript"/>
        <sz val="11"/>
        <rFont val="Calibri"/>
        <family val="2"/>
        <scheme val="minor"/>
      </rPr>
      <t>KS</t>
    </r>
  </si>
  <si>
    <r>
      <t>Ki</t>
    </r>
    <r>
      <rPr>
        <vertAlign val="subscript"/>
        <sz val="11"/>
        <rFont val="Calibri"/>
        <family val="2"/>
        <scheme val="minor"/>
      </rPr>
      <t>O2,AMETO</t>
    </r>
  </si>
  <si>
    <r>
      <t>Half-inhibition of O</t>
    </r>
    <r>
      <rPr>
        <vertAlign val="subscript"/>
        <sz val="11"/>
        <color rgb="FF000000"/>
        <rFont val="Calibri"/>
        <family val="2"/>
        <scheme val="minor"/>
      </rPr>
      <t>2</t>
    </r>
    <r>
      <rPr>
        <sz val="11"/>
        <color rgb="FF000000"/>
        <rFont val="Calibri"/>
        <family val="2"/>
        <charset val="238"/>
        <scheme val="minor"/>
      </rPr>
      <t xml:space="preserve"> for AMETOs</t>
    </r>
  </si>
  <si>
    <r>
      <t>Ki</t>
    </r>
    <r>
      <rPr>
        <vertAlign val="subscript"/>
        <sz val="11"/>
        <rFont val="Calibri"/>
        <family val="2"/>
        <scheme val="minor"/>
      </rPr>
      <t>O2,AMETO,AS</t>
    </r>
    <r>
      <rPr>
        <sz val="11"/>
        <rFont val="Calibri"/>
        <family val="2"/>
        <scheme val="minor"/>
      </rPr>
      <t>*f</t>
    </r>
    <r>
      <rPr>
        <vertAlign val="subscript"/>
        <sz val="11"/>
        <rFont val="Calibri"/>
        <family val="2"/>
        <scheme val="minor"/>
      </rPr>
      <t>KS</t>
    </r>
  </si>
  <si>
    <r>
      <t>Ki</t>
    </r>
    <r>
      <rPr>
        <vertAlign val="subscript"/>
        <sz val="11"/>
        <rFont val="Calibri"/>
        <family val="2"/>
        <scheme val="minor"/>
      </rPr>
      <t>O2,HMETO</t>
    </r>
  </si>
  <si>
    <r>
      <t>Half-inhibition of O</t>
    </r>
    <r>
      <rPr>
        <vertAlign val="subscript"/>
        <sz val="11"/>
        <color rgb="FF000000"/>
        <rFont val="Calibri"/>
        <family val="2"/>
        <scheme val="minor"/>
      </rPr>
      <t>2</t>
    </r>
    <r>
      <rPr>
        <sz val="11"/>
        <color rgb="FF000000"/>
        <rFont val="Calibri"/>
        <family val="2"/>
        <charset val="238"/>
        <scheme val="minor"/>
      </rPr>
      <t xml:space="preserve"> for HMETOs</t>
    </r>
  </si>
  <si>
    <r>
      <t>Ki</t>
    </r>
    <r>
      <rPr>
        <vertAlign val="subscript"/>
        <sz val="11"/>
        <rFont val="Calibri"/>
        <family val="2"/>
        <scheme val="minor"/>
      </rPr>
      <t>O2,HMETO,AS</t>
    </r>
  </si>
  <si>
    <r>
      <t>Ki</t>
    </r>
    <r>
      <rPr>
        <vertAlign val="subscript"/>
        <sz val="11"/>
        <rFont val="Calibri"/>
        <family val="2"/>
        <scheme val="minor"/>
      </rPr>
      <t>O2,HMETO,AS</t>
    </r>
    <r>
      <rPr>
        <sz val="11"/>
        <rFont val="Calibri"/>
        <family val="2"/>
        <scheme val="minor"/>
      </rPr>
      <t>*f</t>
    </r>
    <r>
      <rPr>
        <vertAlign val="subscript"/>
        <sz val="11"/>
        <rFont val="Calibri"/>
        <family val="2"/>
        <scheme val="minor"/>
      </rPr>
      <t>KS</t>
    </r>
  </si>
  <si>
    <r>
      <t>Minh</t>
    </r>
    <r>
      <rPr>
        <vertAlign val="subscript"/>
        <sz val="11"/>
        <rFont val="Calibri"/>
        <family val="2"/>
        <scheme val="minor"/>
      </rPr>
      <t>SO2,KiO2,MEOLO</t>
    </r>
  </si>
  <si>
    <r>
      <t>Minh(S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</si>
  <si>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Msat</t>
    </r>
    <r>
      <rPr>
        <vertAlign val="subscript"/>
        <sz val="11"/>
        <rFont val="Calibri"/>
        <family val="2"/>
        <scheme val="minor"/>
      </rPr>
      <t>SO2,KiO2,MEOLO</t>
    </r>
  </si>
  <si>
    <r>
      <t>Msat(S</t>
    </r>
    <r>
      <rPr>
        <vertAlign val="subscript"/>
        <sz val="11"/>
        <rFont val="Calibri"/>
        <family val="2"/>
        <scheme val="minor"/>
      </rPr>
      <t>O2</t>
    </r>
    <r>
      <rPr>
        <sz val="11"/>
        <rFont val="Calibri"/>
        <family val="2"/>
        <scheme val="minor"/>
      </rPr>
      <t>;Ki</t>
    </r>
    <r>
      <rPr>
        <vertAlign val="subscript"/>
        <sz val="11"/>
        <rFont val="Calibri"/>
        <family val="2"/>
        <scheme val="minor"/>
      </rPr>
      <t>O2,MEOLO</t>
    </r>
    <r>
      <rPr>
        <sz val="11"/>
        <rFont val="Calibri"/>
        <family val="2"/>
        <scheme val="minor"/>
      </rPr>
      <t>)</t>
    </r>
  </si>
  <si>
    <r>
      <t>Minh</t>
    </r>
    <r>
      <rPr>
        <vertAlign val="subscript"/>
        <sz val="11"/>
        <rFont val="Calibri"/>
        <family val="2"/>
        <scheme val="minor"/>
      </rPr>
      <t>SO2,KiO2,AMETO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</si>
  <si>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</si>
  <si>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Msat</t>
    </r>
    <r>
      <rPr>
        <vertAlign val="subscript"/>
        <sz val="11"/>
        <rFont val="Calibri"/>
        <family val="2"/>
        <scheme val="minor"/>
      </rPr>
      <t>SO2,KiO2,AMETO</t>
    </r>
  </si>
  <si>
    <r>
      <t>Msat(S</t>
    </r>
    <r>
      <rPr>
        <vertAlign val="subscript"/>
        <sz val="11"/>
        <rFont val="Calibri"/>
        <family val="2"/>
        <scheme val="minor"/>
      </rPr>
      <t>O2</t>
    </r>
    <r>
      <rPr>
        <sz val="11"/>
        <rFont val="Calibri"/>
        <family val="2"/>
        <scheme val="minor"/>
      </rPr>
      <t>;Ki</t>
    </r>
    <r>
      <rPr>
        <vertAlign val="subscript"/>
        <sz val="11"/>
        <rFont val="Calibri"/>
        <family val="2"/>
        <scheme val="minor"/>
      </rPr>
      <t>O2,AMETO</t>
    </r>
    <r>
      <rPr>
        <sz val="11"/>
        <rFont val="Calibri"/>
        <family val="2"/>
        <scheme val="minor"/>
      </rPr>
      <t>)</t>
    </r>
  </si>
  <si>
    <r>
      <t>Minh</t>
    </r>
    <r>
      <rPr>
        <vertAlign val="subscript"/>
        <sz val="11"/>
        <rFont val="Calibri"/>
        <family val="2"/>
        <scheme val="minor"/>
      </rPr>
      <t>SO2,KiO2,HMETO</t>
    </r>
  </si>
  <si>
    <r>
      <t>Minh(S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</si>
  <si>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Msat(S</t>
    </r>
    <r>
      <rPr>
        <vertAlign val="subscript"/>
        <sz val="11"/>
        <rFont val="Calibri"/>
        <family val="2"/>
        <scheme val="minor"/>
      </rPr>
      <t>O2</t>
    </r>
    <r>
      <rPr>
        <sz val="11"/>
        <rFont val="Calibri"/>
        <family val="2"/>
        <scheme val="minor"/>
      </rPr>
      <t>;Ki</t>
    </r>
    <r>
      <rPr>
        <vertAlign val="subscript"/>
        <sz val="11"/>
        <rFont val="Calibri"/>
        <family val="2"/>
        <scheme val="minor"/>
      </rPr>
      <t>O2,HMETO</t>
    </r>
    <r>
      <rPr>
        <sz val="11"/>
        <rFont val="Calibri"/>
        <family val="2"/>
        <scheme val="minor"/>
      </rPr>
      <t>)</t>
    </r>
  </si>
  <si>
    <r>
      <t>Msat</t>
    </r>
    <r>
      <rPr>
        <vertAlign val="subscript"/>
        <sz val="11"/>
        <rFont val="Calibri"/>
        <family val="2"/>
        <scheme val="minor"/>
      </rPr>
      <t>SO2,KiO2,HMETO</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</si>
  <si>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SO2,KiO2,MEOLO</t>
    </r>
    <r>
      <rPr>
        <sz val="11"/>
        <rFont val="Calibri"/>
        <family val="2"/>
      </rPr>
      <t>+η</t>
    </r>
    <r>
      <rPr>
        <vertAlign val="subscript"/>
        <sz val="11"/>
        <rFont val="Calibri"/>
        <family val="2"/>
      </rPr>
      <t>b,anox</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tox,anox</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t>
    </r>
  </si>
  <si>
    <r>
      <t>b</t>
    </r>
    <r>
      <rPr>
        <vertAlign val="subscript"/>
        <sz val="11"/>
        <rFont val="Calibri"/>
        <family val="2"/>
      </rPr>
      <t>MEOLO,T</t>
    </r>
    <r>
      <rPr>
        <sz val="11"/>
        <rFont val="Calibri"/>
        <family val="2"/>
      </rPr>
      <t>*X</t>
    </r>
    <r>
      <rPr>
        <vertAlign val="subscript"/>
        <sz val="11"/>
        <rFont val="Calibri"/>
        <family val="2"/>
      </rPr>
      <t>MEOLO</t>
    </r>
    <r>
      <rPr>
        <sz val="11"/>
        <rFont val="Calibri"/>
        <family val="2"/>
      </rPr>
      <t>*(η</t>
    </r>
    <r>
      <rPr>
        <vertAlign val="subscript"/>
        <sz val="11"/>
        <rFont val="Calibri"/>
        <family val="2"/>
      </rPr>
      <t>b,ana</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SNO3,KNO3,MEOLO</t>
    </r>
    <r>
      <rPr>
        <sz val="11"/>
        <rFont val="Calibri"/>
        <family val="2"/>
      </rPr>
      <t>*Minh</t>
    </r>
    <r>
      <rPr>
        <vertAlign val="subscript"/>
        <sz val="11"/>
        <rFont val="Calibri"/>
        <family val="2"/>
      </rPr>
      <t>SO2,KiO2,MEOLO</t>
    </r>
    <r>
      <rPr>
        <sz val="11"/>
        <rFont val="Calibri"/>
        <family val="2"/>
      </rPr>
      <t>+m</t>
    </r>
    <r>
      <rPr>
        <vertAlign val="subscript"/>
        <sz val="11"/>
        <rFont val="Calibri"/>
        <family val="2"/>
      </rPr>
      <t>tox,ana</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</si>
  <si>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t>
    </r>
    <r>
      <rPr>
        <i/>
        <vertAlign val="subscript"/>
        <sz val="11"/>
        <rFont val="Calibri"/>
        <family val="2"/>
      </rPr>
      <t>tox,aer</t>
    </r>
    <r>
      <rPr>
        <sz val="11"/>
        <rFont val="Calibri"/>
        <family val="2"/>
      </rPr>
      <t>*Msat</t>
    </r>
    <r>
      <rPr>
        <vertAlign val="subscript"/>
        <sz val="11"/>
        <rFont val="Calibri"/>
        <family val="2"/>
      </rPr>
      <t>SO2,KiO2,AMETO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SNOx,KNO3,AMETO</t>
    </r>
    <r>
      <rPr>
        <sz val="11"/>
        <rFont val="Calibri"/>
        <family val="2"/>
      </rPr>
      <t>*Minh</t>
    </r>
    <r>
      <rPr>
        <vertAlign val="subscript"/>
        <sz val="11"/>
        <rFont val="Calibri"/>
        <family val="2"/>
      </rPr>
      <t>SO2,KiO2,AMETO</t>
    </r>
    <r>
      <rPr>
        <sz val="11"/>
        <rFont val="Calibri"/>
        <family val="2"/>
      </rPr>
      <t>)</t>
    </r>
  </si>
  <si>
    <r>
      <t>b</t>
    </r>
    <r>
      <rPr>
        <vertAlign val="subscript"/>
        <sz val="11"/>
        <rFont val="Calibri"/>
        <family val="2"/>
      </rPr>
      <t>AMETO,T</t>
    </r>
    <r>
      <rPr>
        <sz val="11"/>
        <rFont val="Calibri"/>
        <family val="2"/>
      </rPr>
      <t>*X</t>
    </r>
    <r>
      <rPr>
        <vertAlign val="subscript"/>
        <sz val="11"/>
        <rFont val="Calibri"/>
        <family val="2"/>
      </rPr>
      <t>AMETO</t>
    </r>
    <r>
      <rPr>
        <sz val="11"/>
        <rFont val="Calibri"/>
        <family val="2"/>
      </rPr>
      <t>*Minh</t>
    </r>
    <r>
      <rPr>
        <vertAlign val="subscript"/>
        <sz val="11"/>
        <rFont val="Calibri"/>
        <family val="2"/>
      </rPr>
      <t>SNOx,KNO3,AMETO</t>
    </r>
    <r>
      <rPr>
        <sz val="11"/>
        <rFont val="Calibri"/>
        <family val="2"/>
      </rPr>
      <t>*Minh</t>
    </r>
    <r>
      <rPr>
        <vertAlign val="subscript"/>
        <sz val="11"/>
        <rFont val="Calibri"/>
        <family val="2"/>
      </rPr>
      <t>SO2,KiO2,AMETO</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</si>
  <si>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t>
    </r>
    <r>
      <rPr>
        <vertAlign val="subscript"/>
        <sz val="11"/>
        <rFont val="Calibri"/>
        <family val="2"/>
      </rPr>
      <t>tox,aer</t>
    </r>
    <r>
      <rPr>
        <sz val="11"/>
        <rFont val="Calibri"/>
        <family val="2"/>
      </rPr>
      <t>*Msat</t>
    </r>
    <r>
      <rPr>
        <vertAlign val="subscript"/>
        <sz val="11"/>
        <rFont val="Calibri"/>
        <family val="2"/>
      </rPr>
      <t>SO2,KiO2,HMETO</t>
    </r>
    <r>
      <rPr>
        <sz val="11"/>
        <rFont val="Calibri"/>
        <family val="2"/>
      </rPr>
      <t>+m</t>
    </r>
    <r>
      <rPr>
        <vertAlign val="subscript"/>
        <sz val="11"/>
        <rFont val="Calibri"/>
        <family val="2"/>
      </rPr>
      <t>tox,anox</t>
    </r>
    <r>
      <rPr>
        <sz val="11"/>
        <rFont val="Calibri"/>
        <family val="2"/>
      </rPr>
      <t>*Msat</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</si>
  <si>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b</t>
    </r>
    <r>
      <rPr>
        <vertAlign val="subscript"/>
        <sz val="11"/>
        <rFont val="Calibri"/>
        <family val="2"/>
      </rPr>
      <t>HMETO,T</t>
    </r>
    <r>
      <rPr>
        <sz val="11"/>
        <rFont val="Calibri"/>
        <family val="2"/>
      </rPr>
      <t>*X</t>
    </r>
    <r>
      <rPr>
        <vertAlign val="subscript"/>
        <sz val="11"/>
        <rFont val="Calibri"/>
        <family val="2"/>
      </rPr>
      <t>HMETO</t>
    </r>
    <r>
      <rPr>
        <sz val="11"/>
        <rFont val="Calibri"/>
        <family val="2"/>
      </rPr>
      <t>*(Minh</t>
    </r>
    <r>
      <rPr>
        <vertAlign val="subscript"/>
        <sz val="11"/>
        <rFont val="Calibri"/>
        <family val="2"/>
      </rPr>
      <t>SNOx,KNO3,HMETO</t>
    </r>
    <r>
      <rPr>
        <sz val="11"/>
        <rFont val="Calibri"/>
        <family val="2"/>
      </rPr>
      <t>*Minh</t>
    </r>
    <r>
      <rPr>
        <vertAlign val="subscript"/>
        <sz val="11"/>
        <rFont val="Calibri"/>
        <family val="2"/>
      </rPr>
      <t>SO2,KiO2,HMETO</t>
    </r>
    <r>
      <rPr>
        <sz val="11"/>
        <rFont val="Calibri"/>
        <family val="2"/>
      </rPr>
      <t>)</t>
    </r>
  </si>
  <si>
    <r>
      <t>Ki</t>
    </r>
    <r>
      <rPr>
        <vertAlign val="subscript"/>
        <sz val="11"/>
        <rFont val="Calibri"/>
        <family val="2"/>
        <scheme val="minor"/>
      </rPr>
      <t>O2,AMX</t>
    </r>
  </si>
  <si>
    <r>
      <t>Half-inhibition of O</t>
    </r>
    <r>
      <rPr>
        <vertAlign val="subscript"/>
        <sz val="11"/>
        <color rgb="FF000000"/>
        <rFont val="Calibri"/>
        <family val="2"/>
        <scheme val="minor"/>
      </rPr>
      <t>2</t>
    </r>
    <r>
      <rPr>
        <sz val="11"/>
        <color rgb="FF000000"/>
        <rFont val="Calibri"/>
        <family val="2"/>
        <charset val="238"/>
        <scheme val="minor"/>
      </rPr>
      <t xml:space="preserve"> for AMX</t>
    </r>
  </si>
  <si>
    <r>
      <t>Ki</t>
    </r>
    <r>
      <rPr>
        <vertAlign val="subscript"/>
        <sz val="11"/>
        <rFont val="Calibri"/>
        <family val="2"/>
      </rPr>
      <t>O2,AMX,AS</t>
    </r>
  </si>
  <si>
    <r>
      <t>Ki</t>
    </r>
    <r>
      <rPr>
        <vertAlign val="subscript"/>
        <sz val="11"/>
        <rFont val="Calibri"/>
        <family val="2"/>
      </rPr>
      <t>O2,AMX,AS</t>
    </r>
    <r>
      <rPr>
        <sz val="11"/>
        <rFont val="Calibri"/>
        <family val="2"/>
      </rPr>
      <t>*f</t>
    </r>
    <r>
      <rPr>
        <vertAlign val="subscript"/>
        <sz val="11"/>
        <rFont val="Calibri"/>
        <family val="2"/>
      </rPr>
      <t>KS</t>
    </r>
  </si>
  <si>
    <r>
      <t>Minh</t>
    </r>
    <r>
      <rPr>
        <vertAlign val="subscript"/>
        <sz val="11"/>
        <rFont val="Calibri"/>
        <family val="2"/>
      </rPr>
      <t>SO2,KiO2,AMX</t>
    </r>
  </si>
  <si>
    <r>
      <t>Minh(S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</si>
  <si>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Msat</t>
    </r>
    <r>
      <rPr>
        <vertAlign val="subscript"/>
        <sz val="11"/>
        <rFont val="Calibri"/>
        <family val="2"/>
      </rPr>
      <t>SO2,KiO2,AMX</t>
    </r>
  </si>
  <si>
    <r>
      <t>Msat(S</t>
    </r>
    <r>
      <rPr>
        <vertAlign val="subscript"/>
        <sz val="11"/>
        <rFont val="Calibri"/>
        <family val="2"/>
      </rPr>
      <t>O2</t>
    </r>
    <r>
      <rPr>
        <sz val="11"/>
        <rFont val="Calibri"/>
        <family val="2"/>
      </rPr>
      <t>;Ki</t>
    </r>
    <r>
      <rPr>
        <vertAlign val="subscript"/>
        <sz val="11"/>
        <rFont val="Calibri"/>
        <family val="2"/>
      </rPr>
      <t>O2,AMX</t>
    </r>
    <r>
      <rPr>
        <sz val="11"/>
        <rFont val="Calibri"/>
        <family val="2"/>
      </rPr>
      <t>)</t>
    </r>
  </si>
  <si>
    <r>
      <t>Ki</t>
    </r>
    <r>
      <rPr>
        <vertAlign val="subscript"/>
        <sz val="11"/>
        <color indexed="8"/>
        <rFont val="Calibri"/>
        <family val="2"/>
        <scheme val="minor"/>
      </rPr>
      <t>O2,AMX,AS</t>
    </r>
  </si>
  <si>
    <t>Half-inhibition of O2 for AMX (AS)</t>
  </si>
  <si>
    <r>
      <t>Liquid-side mass transfer coefficient of O</t>
    </r>
    <r>
      <rPr>
        <vertAlign val="subscript"/>
        <sz val="11"/>
        <color rgb="FF000000"/>
        <rFont val="Calibri"/>
        <family val="2"/>
        <scheme val="minor"/>
      </rPr>
      <t>2</t>
    </r>
    <r>
      <rPr>
        <sz val="11"/>
        <rFont val="Calibri"/>
        <family val="2"/>
        <scheme val="minor"/>
      </rPr>
      <t xml:space="preserve"> for gas bubbles</t>
    </r>
  </si>
  <si>
    <r>
      <t>Liquid-side mass transfer coefficient of O</t>
    </r>
    <r>
      <rPr>
        <vertAlign val="subscript"/>
        <sz val="11"/>
        <color rgb="FF000000"/>
        <rFont val="Calibri"/>
        <family val="2"/>
        <scheme val="minor"/>
      </rPr>
      <t>2</t>
    </r>
    <r>
      <rPr>
        <sz val="11"/>
        <rFont val="Calibri"/>
        <family val="2"/>
        <scheme val="minor"/>
      </rPr>
      <t xml:space="preserve"> at liquid surface</t>
    </r>
  </si>
  <si>
    <r>
      <t>k</t>
    </r>
    <r>
      <rPr>
        <vertAlign val="subscript"/>
        <sz val="11"/>
        <rFont val="Calibri"/>
        <family val="2"/>
      </rPr>
      <t>L,GO2,bub</t>
    </r>
  </si>
  <si>
    <r>
      <t>k</t>
    </r>
    <r>
      <rPr>
        <vertAlign val="subscript"/>
        <sz val="11"/>
        <rFont val="Calibri"/>
        <family val="2"/>
      </rPr>
      <t>L,GO2,sur</t>
    </r>
  </si>
  <si>
    <r>
      <t>k</t>
    </r>
    <r>
      <rPr>
        <vertAlign val="subscript"/>
        <sz val="11"/>
        <rFont val="Calibri"/>
        <family val="2"/>
        <scheme val="minor"/>
      </rPr>
      <t>L,GN2,bub</t>
    </r>
  </si>
  <si>
    <r>
      <t>k</t>
    </r>
    <r>
      <rPr>
        <vertAlign val="subscript"/>
        <sz val="11"/>
        <rFont val="Calibri"/>
        <family val="2"/>
        <scheme val="minor"/>
      </rPr>
      <t>L,GCO2,bub</t>
    </r>
  </si>
  <si>
    <r>
      <t>k</t>
    </r>
    <r>
      <rPr>
        <vertAlign val="subscript"/>
        <sz val="11"/>
        <rFont val="Calibri"/>
        <family val="2"/>
        <scheme val="minor"/>
      </rPr>
      <t>L,GCH4,bub</t>
    </r>
  </si>
  <si>
    <r>
      <t>k</t>
    </r>
    <r>
      <rPr>
        <vertAlign val="subscript"/>
        <sz val="11"/>
        <rFont val="Calibri"/>
        <family val="2"/>
        <scheme val="minor"/>
      </rPr>
      <t>L,GH2,bub</t>
    </r>
  </si>
  <si>
    <r>
      <t>k</t>
    </r>
    <r>
      <rPr>
        <vertAlign val="subscript"/>
        <sz val="11"/>
        <rFont val="Calibri"/>
        <family val="2"/>
        <scheme val="minor"/>
      </rPr>
      <t>L,GNH3,bub</t>
    </r>
  </si>
  <si>
    <r>
      <t>Liquid-side mass transfer coefficient of N</t>
    </r>
    <r>
      <rPr>
        <vertAlign val="subscript"/>
        <sz val="11"/>
        <color rgb="FF000000"/>
        <rFont val="Calibri"/>
        <family val="2"/>
        <scheme val="minor"/>
      </rPr>
      <t>2</t>
    </r>
    <r>
      <rPr>
        <sz val="11"/>
        <rFont val="Calibri"/>
        <family val="2"/>
        <scheme val="minor"/>
      </rPr>
      <t xml:space="preserve"> for gas bubbles</t>
    </r>
  </si>
  <si>
    <r>
      <t>Liquid-side mass transfer coefficient of CO</t>
    </r>
    <r>
      <rPr>
        <vertAlign val="subscript"/>
        <sz val="11"/>
        <color rgb="FF000000"/>
        <rFont val="Calibri"/>
        <family val="2"/>
        <scheme val="minor"/>
      </rPr>
      <t>2</t>
    </r>
    <r>
      <rPr>
        <sz val="11"/>
        <rFont val="Calibri"/>
        <family val="2"/>
        <scheme val="minor"/>
      </rPr>
      <t xml:space="preserve"> for gas bubbles</t>
    </r>
  </si>
  <si>
    <r>
      <t>Liquid-side mass transfer coefficient of CH</t>
    </r>
    <r>
      <rPr>
        <vertAlign val="subscript"/>
        <sz val="11"/>
        <color rgb="FF000000"/>
        <rFont val="Calibri"/>
        <family val="2"/>
        <scheme val="minor"/>
      </rPr>
      <t>4</t>
    </r>
    <r>
      <rPr>
        <sz val="11"/>
        <rFont val="Calibri"/>
        <family val="2"/>
        <scheme val="minor"/>
      </rPr>
      <t xml:space="preserve"> for gas bubbles</t>
    </r>
  </si>
  <si>
    <r>
      <t>Liquid-side mass transfer coefficient of H</t>
    </r>
    <r>
      <rPr>
        <vertAlign val="subscript"/>
        <sz val="11"/>
        <color rgb="FF000000"/>
        <rFont val="Calibri"/>
        <family val="2"/>
        <scheme val="minor"/>
      </rPr>
      <t>2</t>
    </r>
    <r>
      <rPr>
        <sz val="11"/>
        <rFont val="Calibri"/>
        <family val="2"/>
        <scheme val="minor"/>
      </rPr>
      <t xml:space="preserve"> for gas bubbles</t>
    </r>
  </si>
  <si>
    <r>
      <t>Liquid-side mass transfer coefficient of NH</t>
    </r>
    <r>
      <rPr>
        <vertAlign val="subscript"/>
        <sz val="11"/>
        <color rgb="FF000000"/>
        <rFont val="Calibri"/>
        <family val="2"/>
        <scheme val="minor"/>
      </rPr>
      <t>3</t>
    </r>
    <r>
      <rPr>
        <sz val="11"/>
        <rFont val="Calibri"/>
        <family val="2"/>
        <scheme val="minor"/>
      </rPr>
      <t xml:space="preserve"> for gas bubbles</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</si>
  <si>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</si>
  <si>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</si>
  <si>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</si>
  <si>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</si>
  <si>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</si>
  <si>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L,GN2,sur</t>
    </r>
  </si>
  <si>
    <r>
      <t>k</t>
    </r>
    <r>
      <rPr>
        <vertAlign val="subscript"/>
        <sz val="11"/>
        <rFont val="Calibri"/>
        <family val="2"/>
        <scheme val="minor"/>
      </rPr>
      <t>L,GCO2,sur</t>
    </r>
  </si>
  <si>
    <r>
      <t>k</t>
    </r>
    <r>
      <rPr>
        <vertAlign val="subscript"/>
        <sz val="11"/>
        <rFont val="Calibri"/>
        <family val="2"/>
        <scheme val="minor"/>
      </rPr>
      <t>L,GCH4,sur</t>
    </r>
  </si>
  <si>
    <r>
      <t>k</t>
    </r>
    <r>
      <rPr>
        <vertAlign val="subscript"/>
        <sz val="11"/>
        <rFont val="Calibri"/>
        <family val="2"/>
        <scheme val="minor"/>
      </rPr>
      <t>L,GH2,sur</t>
    </r>
  </si>
  <si>
    <r>
      <t>k</t>
    </r>
    <r>
      <rPr>
        <vertAlign val="subscript"/>
        <sz val="11"/>
        <rFont val="Calibri"/>
        <family val="2"/>
        <scheme val="minor"/>
      </rPr>
      <t>L,GNH3,sur</t>
    </r>
  </si>
  <si>
    <r>
      <t>Liquid-side mass transfer coefficient of N</t>
    </r>
    <r>
      <rPr>
        <vertAlign val="subscript"/>
        <sz val="11"/>
        <color rgb="FF000000"/>
        <rFont val="Calibri"/>
        <family val="2"/>
        <scheme val="minor"/>
      </rPr>
      <t>2</t>
    </r>
    <r>
      <rPr>
        <sz val="11"/>
        <rFont val="Calibri"/>
        <family val="2"/>
        <scheme val="minor"/>
      </rPr>
      <t xml:space="preserve"> at liquid surface</t>
    </r>
  </si>
  <si>
    <r>
      <t>Liquid-side mass transfer coefficient of CO</t>
    </r>
    <r>
      <rPr>
        <vertAlign val="subscript"/>
        <sz val="11"/>
        <color rgb="FF000000"/>
        <rFont val="Calibri"/>
        <family val="2"/>
        <scheme val="minor"/>
      </rPr>
      <t>2</t>
    </r>
    <r>
      <rPr>
        <sz val="11"/>
        <rFont val="Calibri"/>
        <family val="2"/>
        <scheme val="minor"/>
      </rPr>
      <t xml:space="preserve"> at liquid surface</t>
    </r>
  </si>
  <si>
    <r>
      <t>Liquid-side mass transfer coefficient of CH</t>
    </r>
    <r>
      <rPr>
        <vertAlign val="subscript"/>
        <sz val="11"/>
        <color rgb="FF000000"/>
        <rFont val="Calibri"/>
        <family val="2"/>
        <scheme val="minor"/>
      </rPr>
      <t>4</t>
    </r>
    <r>
      <rPr>
        <sz val="11"/>
        <rFont val="Calibri"/>
        <family val="2"/>
        <scheme val="minor"/>
      </rPr>
      <t xml:space="preserve"> at liquid surface</t>
    </r>
  </si>
  <si>
    <r>
      <t>Liquid-side mass transfer coefficient of H</t>
    </r>
    <r>
      <rPr>
        <vertAlign val="subscript"/>
        <sz val="11"/>
        <color rgb="FF000000"/>
        <rFont val="Calibri"/>
        <family val="2"/>
        <scheme val="minor"/>
      </rPr>
      <t>2</t>
    </r>
    <r>
      <rPr>
        <sz val="11"/>
        <rFont val="Calibri"/>
        <family val="2"/>
        <scheme val="minor"/>
      </rPr>
      <t xml:space="preserve"> at liquid surface</t>
    </r>
  </si>
  <si>
    <r>
      <t>Liquid-side mass transfer coefficient of NH</t>
    </r>
    <r>
      <rPr>
        <vertAlign val="subscript"/>
        <sz val="11"/>
        <color rgb="FF000000"/>
        <rFont val="Calibri"/>
        <family val="2"/>
        <scheme val="minor"/>
      </rPr>
      <t>3</t>
    </r>
    <r>
      <rPr>
        <sz val="11"/>
        <rFont val="Calibri"/>
        <family val="2"/>
        <scheme val="minor"/>
      </rPr>
      <t xml:space="preserve"> at liquid surface</t>
    </r>
  </si>
  <si>
    <r>
      <t>f</t>
    </r>
    <r>
      <rPr>
        <vertAlign val="subscript"/>
        <sz val="11"/>
        <rFont val="Calibri"/>
        <family val="2"/>
        <scheme val="minor"/>
      </rPr>
      <t>kL,GN2</t>
    </r>
    <r>
      <rPr>
        <sz val="11"/>
        <rFont val="Calibri"/>
        <family val="2"/>
        <scheme val="minor"/>
      </rPr>
      <t>*(D</t>
    </r>
    <r>
      <rPr>
        <vertAlign val="subscript"/>
        <sz val="11"/>
        <rFont val="Calibri"/>
        <family val="2"/>
        <charset val="238"/>
        <scheme val="minor"/>
      </rPr>
      <t>G</t>
    </r>
    <r>
      <rPr>
        <vertAlign val="subscript"/>
        <sz val="11"/>
        <rFont val="Calibri"/>
        <family val="2"/>
        <scheme val="minor"/>
      </rPr>
      <t>N2,25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</si>
  <si>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kL,GCO2</t>
    </r>
    <r>
      <rPr>
        <sz val="11"/>
        <rFont val="Calibri"/>
        <family val="2"/>
        <scheme val="minor"/>
      </rPr>
      <t>*(D</t>
    </r>
    <r>
      <rPr>
        <vertAlign val="subscript"/>
        <sz val="11"/>
        <rFont val="Calibri"/>
        <family val="2"/>
        <charset val="238"/>
        <scheme val="minor"/>
      </rPr>
      <t>G</t>
    </r>
    <r>
      <rPr>
        <vertAlign val="subscript"/>
        <sz val="11"/>
        <rFont val="Calibri"/>
        <family val="2"/>
        <scheme val="minor"/>
      </rPr>
      <t>CO2,25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</si>
  <si>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kL,GCH4</t>
    </r>
    <r>
      <rPr>
        <sz val="11"/>
        <rFont val="Calibri"/>
        <family val="2"/>
        <scheme val="minor"/>
      </rPr>
      <t>*(D</t>
    </r>
    <r>
      <rPr>
        <vertAlign val="subscript"/>
        <sz val="11"/>
        <rFont val="Calibri"/>
        <family val="2"/>
        <charset val="238"/>
        <scheme val="minor"/>
      </rPr>
      <t>G</t>
    </r>
    <r>
      <rPr>
        <vertAlign val="subscript"/>
        <sz val="11"/>
        <rFont val="Calibri"/>
        <family val="2"/>
        <scheme val="minor"/>
      </rPr>
      <t>CH4,25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</si>
  <si>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kL,GH2</t>
    </r>
    <r>
      <rPr>
        <sz val="11"/>
        <rFont val="Calibri"/>
        <family val="2"/>
        <scheme val="minor"/>
      </rPr>
      <t>*(D</t>
    </r>
    <r>
      <rPr>
        <vertAlign val="subscript"/>
        <sz val="11"/>
        <rFont val="Calibri"/>
        <family val="2"/>
        <charset val="238"/>
        <scheme val="minor"/>
      </rPr>
      <t>G</t>
    </r>
    <r>
      <rPr>
        <vertAlign val="subscript"/>
        <sz val="11"/>
        <rFont val="Calibri"/>
        <family val="2"/>
        <scheme val="minor"/>
      </rPr>
      <t>H2,25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</si>
  <si>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f</t>
    </r>
    <r>
      <rPr>
        <vertAlign val="subscript"/>
        <sz val="11"/>
        <rFont val="Calibri"/>
        <family val="2"/>
        <scheme val="minor"/>
      </rPr>
      <t>kL,GNH3</t>
    </r>
    <r>
      <rPr>
        <sz val="11"/>
        <rFont val="Calibri"/>
        <family val="2"/>
        <scheme val="minor"/>
      </rPr>
      <t>*(D</t>
    </r>
    <r>
      <rPr>
        <vertAlign val="subscript"/>
        <sz val="11"/>
        <rFont val="Calibri"/>
        <family val="2"/>
        <charset val="238"/>
        <scheme val="minor"/>
      </rPr>
      <t>G</t>
    </r>
    <r>
      <rPr>
        <vertAlign val="subscript"/>
        <sz val="11"/>
        <rFont val="Calibri"/>
        <family val="2"/>
        <scheme val="minor"/>
      </rPr>
      <t>NH3,25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</si>
  <si>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Press "Global Check" button</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</si>
  <si>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</si>
  <si>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</si>
  <si>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</si>
  <si>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</si>
  <si>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</si>
  <si>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</si>
  <si>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</si>
  <si>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</si>
  <si>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</si>
  <si>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</si>
  <si>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IS cut-off threshold for Davies activity coefficient correction</t>
  </si>
  <si>
    <t>SNHx, SMEOL considered to be volatilized</t>
  </si>
  <si>
    <r>
      <t>i</t>
    </r>
    <r>
      <rPr>
        <vertAlign val="subscript"/>
        <sz val="11"/>
        <rFont val="Calibri"/>
        <family val="2"/>
        <scheme val="minor"/>
      </rPr>
      <t>Ca,INORG</t>
    </r>
  </si>
  <si>
    <r>
      <t>Ca content of X</t>
    </r>
    <r>
      <rPr>
        <vertAlign val="subscript"/>
        <sz val="11"/>
        <rFont val="Calibri"/>
        <family val="2"/>
        <scheme val="minor"/>
      </rPr>
      <t>INORG</t>
    </r>
  </si>
  <si>
    <r>
      <t>g Ca.g TSS</t>
    </r>
    <r>
      <rPr>
        <vertAlign val="superscript"/>
        <sz val="11"/>
        <rFont val="Calibri"/>
        <family val="2"/>
        <scheme val="minor"/>
      </rPr>
      <t>-1</t>
    </r>
  </si>
  <si>
    <r>
      <t>i</t>
    </r>
    <r>
      <rPr>
        <vertAlign val="subscript"/>
        <sz val="11"/>
        <rFont val="Calibri"/>
        <family val="2"/>
        <scheme val="minor"/>
      </rPr>
      <t>Mg,INORG</t>
    </r>
  </si>
  <si>
    <r>
      <t>Mg content of X</t>
    </r>
    <r>
      <rPr>
        <vertAlign val="subscript"/>
        <sz val="11"/>
        <rFont val="Calibri"/>
        <family val="2"/>
        <scheme val="minor"/>
      </rPr>
      <t>INORG</t>
    </r>
  </si>
  <si>
    <r>
      <t>g Mg.g TSS</t>
    </r>
    <r>
      <rPr>
        <vertAlign val="superscript"/>
        <sz val="11"/>
        <rFont val="Calibri"/>
        <family val="2"/>
        <scheme val="minor"/>
      </rPr>
      <t>-1</t>
    </r>
  </si>
  <si>
    <r>
      <t>f</t>
    </r>
    <r>
      <rPr>
        <vertAlign val="subscript"/>
        <sz val="11"/>
        <rFont val="Calibri"/>
        <family val="2"/>
        <scheme val="minor"/>
      </rPr>
      <t>VFA,DM</t>
    </r>
  </si>
  <si>
    <r>
      <t>fraction of S</t>
    </r>
    <r>
      <rPr>
        <vertAlign val="subscript"/>
        <sz val="11"/>
        <rFont val="Calibri"/>
        <family val="2"/>
        <scheme val="minor"/>
      </rPr>
      <t>VFA</t>
    </r>
    <r>
      <rPr>
        <sz val="11"/>
        <rFont val="Calibri"/>
        <family val="2"/>
        <scheme val="minor"/>
      </rPr>
      <t xml:space="preserve"> not volatilized in Dry Matter analysis</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</si>
  <si>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</si>
  <si>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</si>
  <si>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</si>
  <si>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</si>
  <si>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</si>
  <si>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</si>
  <si>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i</t>
    </r>
    <r>
      <rPr>
        <vertAlign val="subscript"/>
        <sz val="11"/>
        <rFont val="Calibri"/>
        <family val="2"/>
      </rPr>
      <t>INORG</t>
    </r>
    <r>
      <rPr>
        <sz val="11"/>
        <rFont val="Calibri"/>
        <family val="2"/>
      </rPr>
      <t>*i</t>
    </r>
    <r>
      <rPr>
        <vertAlign val="subscript"/>
        <sz val="11"/>
        <rFont val="Calibri"/>
        <family val="2"/>
      </rPr>
      <t>Ca,INORG</t>
    </r>
  </si>
  <si>
    <r>
      <t>i</t>
    </r>
    <r>
      <rPr>
        <vertAlign val="subscript"/>
        <sz val="11"/>
        <rFont val="Calibri"/>
        <family val="2"/>
      </rPr>
      <t>INORG</t>
    </r>
    <r>
      <rPr>
        <sz val="11"/>
        <rFont val="Calibri"/>
        <family val="2"/>
      </rPr>
      <t>*i</t>
    </r>
    <r>
      <rPr>
        <vertAlign val="subscript"/>
        <sz val="11"/>
        <rFont val="Calibri"/>
        <family val="2"/>
      </rPr>
      <t>Mg,INORG</t>
    </r>
  </si>
  <si>
    <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P,BIO</t>
    </r>
  </si>
  <si>
    <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P,BIO</t>
    </r>
  </si>
  <si>
    <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</si>
  <si>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</si>
  <si>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K</t>
    </r>
    <r>
      <rPr>
        <vertAlign val="subscript"/>
        <sz val="11"/>
        <rFont val="Calibri"/>
        <family val="2"/>
        <scheme val="minor"/>
      </rPr>
      <t>Mg,BIO,AS</t>
    </r>
  </si>
  <si>
    <t>Half-saturation of Mg for biomasses (AS)</t>
  </si>
  <si>
    <r>
      <t>K</t>
    </r>
    <r>
      <rPr>
        <vertAlign val="subscript"/>
        <sz val="11"/>
        <rFont val="Calibri"/>
        <family val="2"/>
        <scheme val="minor"/>
      </rPr>
      <t>Ca,BIO,AS</t>
    </r>
  </si>
  <si>
    <t>Half-saturation of Ca for biomasses (AS)</t>
  </si>
  <si>
    <r>
      <t>K</t>
    </r>
    <r>
      <rPr>
        <vertAlign val="subscript"/>
        <sz val="11"/>
        <rFont val="Calibri"/>
        <family val="2"/>
        <scheme val="minor"/>
      </rPr>
      <t>Mg,BIO</t>
    </r>
  </si>
  <si>
    <t>Half-saturation of Mg for biomasses</t>
  </si>
  <si>
    <r>
      <t>K</t>
    </r>
    <r>
      <rPr>
        <vertAlign val="subscript"/>
        <sz val="11"/>
        <rFont val="Calibri"/>
        <family val="2"/>
        <scheme val="minor"/>
      </rPr>
      <t>Mg,BIO,AS</t>
    </r>
    <r>
      <rPr>
        <sz val="11"/>
        <rFont val="Calibri"/>
        <family val="2"/>
        <scheme val="minor"/>
      </rPr>
      <t>*f</t>
    </r>
    <r>
      <rPr>
        <vertAlign val="subscript"/>
        <sz val="11"/>
        <rFont val="Calibri"/>
        <family val="2"/>
        <scheme val="minor"/>
      </rPr>
      <t>KS</t>
    </r>
  </si>
  <si>
    <r>
      <t>K</t>
    </r>
    <r>
      <rPr>
        <vertAlign val="subscript"/>
        <sz val="11"/>
        <rFont val="Calibri"/>
        <family val="2"/>
        <scheme val="minor"/>
      </rPr>
      <t>Ca,BIO</t>
    </r>
  </si>
  <si>
    <t>Half-saturation of Ca for biomasses</t>
  </si>
  <si>
    <r>
      <t>K</t>
    </r>
    <r>
      <rPr>
        <vertAlign val="subscript"/>
        <sz val="11"/>
        <rFont val="Calibri"/>
        <family val="2"/>
        <scheme val="minor"/>
      </rPr>
      <t>Ca,BIO,AS</t>
    </r>
    <r>
      <rPr>
        <sz val="11"/>
        <rFont val="Calibri"/>
        <family val="2"/>
        <scheme val="minor"/>
      </rPr>
      <t>*f</t>
    </r>
    <r>
      <rPr>
        <vertAlign val="subscript"/>
        <sz val="11"/>
        <rFont val="Calibri"/>
        <family val="2"/>
        <scheme val="minor"/>
      </rPr>
      <t>KS</t>
    </r>
  </si>
  <si>
    <r>
      <t>Msat</t>
    </r>
    <r>
      <rPr>
        <vertAlign val="subscript"/>
        <sz val="11"/>
        <rFont val="Calibri"/>
        <family val="2"/>
        <scheme val="minor"/>
      </rPr>
      <t>SCa,KCa</t>
    </r>
  </si>
  <si>
    <t>Saturation term for Ca for BIO</t>
  </si>
  <si>
    <r>
      <t>Msat(S</t>
    </r>
    <r>
      <rPr>
        <vertAlign val="subscript"/>
        <sz val="11"/>
        <rFont val="Calibri"/>
        <family val="2"/>
        <scheme val="minor"/>
      </rPr>
      <t>Ca</t>
    </r>
    <r>
      <rPr>
        <sz val="11"/>
        <rFont val="Calibri"/>
        <family val="2"/>
        <scheme val="minor"/>
      </rPr>
      <t>;K</t>
    </r>
    <r>
      <rPr>
        <vertAlign val="subscript"/>
        <sz val="11"/>
        <rFont val="Calibri"/>
        <family val="2"/>
        <scheme val="minor"/>
      </rPr>
      <t>Ca,BIO</t>
    </r>
    <r>
      <rPr>
        <sz val="11"/>
        <rFont val="Calibri"/>
        <family val="2"/>
        <scheme val="minor"/>
      </rPr>
      <t>)</t>
    </r>
  </si>
  <si>
    <r>
      <t>Msat</t>
    </r>
    <r>
      <rPr>
        <vertAlign val="subscript"/>
        <sz val="11"/>
        <rFont val="Calibri"/>
        <family val="2"/>
        <scheme val="minor"/>
      </rPr>
      <t>SMg,KMg</t>
    </r>
  </si>
  <si>
    <t>Saturation term for Mg for BIO</t>
  </si>
  <si>
    <r>
      <t>Msat(S</t>
    </r>
    <r>
      <rPr>
        <vertAlign val="subscript"/>
        <sz val="11"/>
        <rFont val="Calibri"/>
        <family val="2"/>
        <scheme val="minor"/>
      </rPr>
      <t>Mg</t>
    </r>
    <r>
      <rPr>
        <sz val="11"/>
        <rFont val="Calibri"/>
        <family val="2"/>
        <scheme val="minor"/>
      </rPr>
      <t>;K</t>
    </r>
    <r>
      <rPr>
        <vertAlign val="subscript"/>
        <sz val="11"/>
        <rFont val="Calibri"/>
        <family val="2"/>
        <scheme val="minor"/>
      </rPr>
      <t>Mg,BIO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</si>
  <si>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</si>
  <si>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SB,KSB</t>
    </r>
    <r>
      <rPr>
        <sz val="11"/>
        <rFont val="Calibri"/>
        <family val="2"/>
      </rPr>
      <t>*Minh</t>
    </r>
    <r>
      <rPr>
        <vertAlign val="subscript"/>
        <sz val="11"/>
        <rFont val="Calibri"/>
        <family val="2"/>
      </rPr>
      <t>SVFA,KVFA</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</si>
  <si>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*Logsat</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</si>
  <si>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FERM,OHO,T</t>
    </r>
    <r>
      <rPr>
        <sz val="11"/>
        <rFont val="Calibri"/>
        <family val="2"/>
      </rPr>
      <t>*X</t>
    </r>
    <r>
      <rPr>
        <vertAlign val="subscript"/>
        <sz val="11"/>
        <rFont val="Calibri"/>
        <family val="2"/>
      </rPr>
      <t>OHO</t>
    </r>
    <r>
      <rPr>
        <sz val="11"/>
        <rFont val="Calibri"/>
        <family val="2"/>
      </rPr>
      <t>*Loginh</t>
    </r>
    <r>
      <rPr>
        <vertAlign val="subscript"/>
        <sz val="11"/>
        <rFont val="Calibri"/>
        <family val="2"/>
      </rPr>
      <t>SVFA,KVFA,FERM</t>
    </r>
    <r>
      <rPr>
        <sz val="11"/>
        <rFont val="Calibri"/>
        <family val="2"/>
      </rPr>
      <t>*Msat</t>
    </r>
    <r>
      <rPr>
        <vertAlign val="subscript"/>
        <sz val="11"/>
        <rFont val="Calibri"/>
        <family val="2"/>
      </rPr>
      <t>SB,KSB,ana</t>
    </r>
    <r>
      <rPr>
        <sz val="11"/>
        <rFont val="Calibri"/>
        <family val="2"/>
      </rPr>
      <t>*Minh</t>
    </r>
    <r>
      <rPr>
        <vertAlign val="subscript"/>
        <sz val="11"/>
        <rFont val="Calibri"/>
        <family val="2"/>
      </rPr>
      <t>SO2,KO2,OHO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SNO3,KNO3,OHO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*Msat</t>
    </r>
    <r>
      <rPr>
        <vertAlign val="subscript"/>
        <sz val="11"/>
        <rFont val="Calibri"/>
        <family val="2"/>
      </rPr>
      <t>SCO2,KCO2,BIO</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</si>
  <si>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*Msat</t>
    </r>
    <r>
      <rPr>
        <vertAlign val="subscript"/>
        <sz val="11"/>
        <rFont val="Calibri"/>
        <family val="2"/>
      </rPr>
      <t>SMEOL,KMEOL,OHO</t>
    </r>
    <r>
      <rPr>
        <sz val="11"/>
        <rFont val="Calibri"/>
        <family val="2"/>
      </rPr>
      <t>*Msat</t>
    </r>
    <r>
      <rPr>
        <vertAlign val="subscript"/>
        <sz val="11"/>
        <rFont val="Calibri"/>
        <family val="2"/>
      </rPr>
      <t>SO2,KO2,OHO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</si>
  <si>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</si>
  <si>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MEOLO,T</t>
    </r>
    <r>
      <rPr>
        <sz val="11"/>
        <rFont val="Calibri"/>
        <family val="2"/>
      </rPr>
      <t>*X</t>
    </r>
    <r>
      <rPr>
        <vertAlign val="subscript"/>
        <sz val="11"/>
        <rFont val="Calibri"/>
        <family val="2"/>
      </rPr>
      <t>MEOLO</t>
    </r>
    <r>
      <rPr>
        <sz val="11"/>
        <rFont val="Calibri"/>
        <family val="2"/>
      </rPr>
      <t>*Msat</t>
    </r>
    <r>
      <rPr>
        <vertAlign val="subscript"/>
        <sz val="11"/>
        <rFont val="Calibri"/>
        <family val="2"/>
      </rPr>
      <t>SMEOL,KMEOL</t>
    </r>
    <r>
      <rPr>
        <sz val="11"/>
        <rFont val="Calibri"/>
        <family val="2"/>
      </rPr>
      <t>*Msat</t>
    </r>
    <r>
      <rPr>
        <vertAlign val="subscript"/>
        <sz val="11"/>
        <rFont val="Calibri"/>
        <family val="2"/>
      </rPr>
      <t>SNO3,KNO3,MEOLO</t>
    </r>
    <r>
      <rPr>
        <sz val="11"/>
        <rFont val="Calibri"/>
        <family val="2"/>
      </rPr>
      <t>*Minh</t>
    </r>
    <r>
      <rPr>
        <vertAlign val="subscript"/>
        <sz val="11"/>
        <rFont val="Calibri"/>
        <family val="2"/>
      </rPr>
      <t>SNO2,KNO2,MEOLO</t>
    </r>
    <r>
      <rPr>
        <sz val="11"/>
        <rFont val="Calibri"/>
        <family val="2"/>
      </rPr>
      <t>*Minh</t>
    </r>
    <r>
      <rPr>
        <vertAlign val="subscript"/>
        <sz val="11"/>
        <rFont val="Calibri"/>
        <family val="2"/>
      </rPr>
      <t>SO2,KiO2,MEOLO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</si>
  <si>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SNHx,KNHx,AMX</t>
    </r>
    <r>
      <rPr>
        <sz val="11"/>
        <color indexed="8"/>
        <rFont val="Calibri"/>
        <family val="2"/>
      </rPr>
      <t>*Msat</t>
    </r>
    <r>
      <rPr>
        <vertAlign val="subscript"/>
        <sz val="11"/>
        <color indexed="8"/>
        <rFont val="Calibri"/>
        <family val="2"/>
        <charset val="238"/>
      </rPr>
      <t>SNO2,KNO2,AMX</t>
    </r>
    <r>
      <rPr>
        <sz val="11"/>
        <color indexed="8"/>
        <rFont val="Calibri"/>
        <family val="2"/>
      </rPr>
      <t>*Minh</t>
    </r>
    <r>
      <rPr>
        <vertAlign val="subscript"/>
        <sz val="11"/>
        <color indexed="8"/>
        <rFont val="Calibri"/>
        <family val="2"/>
        <charset val="238"/>
      </rPr>
      <t>SO2,KiO2,AMX</t>
    </r>
    <r>
      <rPr>
        <sz val="11"/>
        <color indexed="8"/>
        <rFont val="Calibri"/>
        <family val="2"/>
      </rPr>
      <t>*LogsatpH</t>
    </r>
    <r>
      <rPr>
        <vertAlign val="subscript"/>
        <sz val="11"/>
        <color indexed="8"/>
        <rFont val="Calibri"/>
        <family val="2"/>
        <charset val="238"/>
      </rPr>
      <t>CO2,AMX</t>
    </r>
    <r>
      <rPr>
        <sz val="11"/>
        <color indexed="8"/>
        <rFont val="Calibri"/>
        <family val="2"/>
      </rPr>
      <t>*Msat</t>
    </r>
    <r>
      <rPr>
        <vertAlign val="subscript"/>
        <sz val="11"/>
        <color indexed="8"/>
        <rFont val="Calibri"/>
        <family val="2"/>
        <charset val="238"/>
      </rPr>
      <t>SPO4,KPO4,BIO</t>
    </r>
    <r>
      <rPr>
        <sz val="11"/>
        <color indexed="8"/>
        <rFont val="Calibri"/>
        <family val="2"/>
      </rPr>
      <t>*Msat</t>
    </r>
    <r>
      <rPr>
        <vertAlign val="subscript"/>
        <sz val="11"/>
        <color indexed="8"/>
        <rFont val="Calibri"/>
        <family val="2"/>
        <charset val="238"/>
      </rPr>
      <t>SCAT,KCAT</t>
    </r>
    <r>
      <rPr>
        <sz val="11"/>
        <color indexed="8"/>
        <rFont val="Calibri"/>
        <family val="2"/>
      </rPr>
      <t>*Msat</t>
    </r>
    <r>
      <rPr>
        <vertAlign val="subscript"/>
        <sz val="11"/>
        <color indexed="8"/>
        <rFont val="Calibri"/>
        <family val="2"/>
        <charset val="238"/>
      </rPr>
      <t>SAN,KAN</t>
    </r>
    <r>
      <rPr>
        <sz val="11"/>
        <color rgb="FF000000"/>
        <rFont val="Calibri"/>
        <family val="2"/>
      </rPr>
      <t>*Msat</t>
    </r>
    <r>
      <rPr>
        <vertAlign val="subscript"/>
        <sz val="11"/>
        <color indexed="8"/>
        <rFont val="Calibri"/>
        <family val="2"/>
        <charset val="238"/>
      </rPr>
      <t>SCa,KCa</t>
    </r>
    <r>
      <rPr>
        <sz val="11"/>
        <color rgb="FF000000"/>
        <rFont val="Calibri"/>
        <family val="2"/>
      </rPr>
      <t>*Msat</t>
    </r>
    <r>
      <rPr>
        <vertAlign val="subscript"/>
        <sz val="11"/>
        <color indexed="8"/>
        <rFont val="Calibri"/>
        <family val="2"/>
        <charset val="238"/>
      </rPr>
      <t>SMg,KMg</t>
    </r>
    <r>
      <rPr>
        <sz val="11"/>
        <color indexed="8"/>
        <rFont val="Calibri"/>
        <family val="2"/>
      </rPr>
      <t>*Bellinh</t>
    </r>
    <r>
      <rPr>
        <vertAlign val="subscript"/>
        <sz val="11"/>
        <color indexed="8"/>
        <rFont val="Calibri"/>
        <family val="2"/>
        <charset val="238"/>
      </rPr>
      <t>pH</t>
    </r>
    <r>
      <rPr>
        <sz val="11"/>
        <color indexed="8"/>
        <rFont val="Calibri"/>
        <family val="2"/>
      </rPr>
      <t>*MinhpH</t>
    </r>
    <r>
      <rPr>
        <vertAlign val="subscript"/>
        <sz val="11"/>
        <color indexed="8"/>
        <rFont val="Calibri"/>
        <family val="2"/>
        <charset val="238"/>
      </rPr>
      <t>HNO2,AMX</t>
    </r>
  </si>
  <si>
    <r>
      <t>µ</t>
    </r>
    <r>
      <rPr>
        <vertAlign val="subscript"/>
        <sz val="11"/>
        <rFont val="Calibri"/>
        <family val="2"/>
      </rPr>
      <t>HMETO,T</t>
    </r>
    <r>
      <rPr>
        <sz val="11"/>
        <rFont val="Calibri"/>
        <family val="2"/>
      </rPr>
      <t>*X</t>
    </r>
    <r>
      <rPr>
        <vertAlign val="subscript"/>
        <sz val="11"/>
        <rFont val="Calibri"/>
        <family val="2"/>
      </rPr>
      <t>HMETO</t>
    </r>
    <r>
      <rPr>
        <sz val="11"/>
        <rFont val="Calibri"/>
        <family val="2"/>
      </rPr>
      <t>*Msat</t>
    </r>
    <r>
      <rPr>
        <vertAlign val="subscript"/>
        <sz val="11"/>
        <rFont val="Calibri"/>
        <family val="2"/>
      </rPr>
      <t>SCO2,KCO2,BIO</t>
    </r>
    <r>
      <rPr>
        <sz val="11"/>
        <rFont val="Calibri"/>
        <family val="2"/>
      </rPr>
      <t>*Msat</t>
    </r>
    <r>
      <rPr>
        <vertAlign val="subscript"/>
        <sz val="11"/>
        <rFont val="Calibri"/>
        <family val="2"/>
      </rPr>
      <t>SH2,KH2,HMETO</t>
    </r>
    <r>
      <rPr>
        <sz val="11"/>
        <rFont val="Calibri"/>
        <family val="2"/>
      </rPr>
      <t>*Minh</t>
    </r>
    <r>
      <rPr>
        <vertAlign val="subscript"/>
        <sz val="11"/>
        <rFont val="Calibri"/>
        <family val="2"/>
      </rPr>
      <t>SO2,KiO2,HMETO</t>
    </r>
    <r>
      <rPr>
        <sz val="11"/>
        <rFont val="Calibri"/>
        <family val="2"/>
      </rPr>
      <t>*Minh</t>
    </r>
    <r>
      <rPr>
        <vertAlign val="subscript"/>
        <sz val="11"/>
        <rFont val="Calibri"/>
        <family val="2"/>
      </rPr>
      <t>SNOx,KNO3,HMETO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pH,HMETO</t>
    </r>
  </si>
  <si>
    <r>
      <t>error</t>
    </r>
    <r>
      <rPr>
        <vertAlign val="subscript"/>
        <sz val="11"/>
        <rFont val="Calibri"/>
        <family val="2"/>
        <charset val="238"/>
        <scheme val="minor"/>
      </rPr>
      <t>NHx,NOx</t>
    </r>
  </si>
  <si>
    <r>
      <t>N</t>
    </r>
    <r>
      <rPr>
        <sz val="11"/>
        <rFont val="Calibri"/>
        <family val="2"/>
        <charset val="238"/>
        <scheme val="minor"/>
      </rPr>
      <t>H</t>
    </r>
    <r>
      <rPr>
        <vertAlign val="subscript"/>
        <sz val="11"/>
        <rFont val="Calibri"/>
        <family val="2"/>
        <charset val="238"/>
        <scheme val="minor"/>
      </rPr>
      <t>x</t>
    </r>
    <r>
      <rPr>
        <sz val="11"/>
        <rFont val="Calibri"/>
        <family val="2"/>
        <charset val="238"/>
        <scheme val="minor"/>
      </rPr>
      <t>-NO</t>
    </r>
    <r>
      <rPr>
        <vertAlign val="subscript"/>
        <sz val="11"/>
        <rFont val="Calibri"/>
        <family val="2"/>
        <charset val="238"/>
        <scheme val="minor"/>
      </rPr>
      <t>x</t>
    </r>
    <r>
      <rPr>
        <sz val="11"/>
        <rFont val="Calibri"/>
        <family val="2"/>
        <scheme val="minor"/>
      </rPr>
      <t xml:space="preserve"> error</t>
    </r>
  </si>
  <si>
    <r>
      <t>S</t>
    </r>
    <r>
      <rPr>
        <vertAlign val="subscript"/>
        <sz val="11"/>
        <rFont val="Calibri"/>
        <family val="2"/>
        <charset val="238"/>
        <scheme val="minor"/>
      </rPr>
      <t>NHx</t>
    </r>
    <r>
      <rPr>
        <sz val="11"/>
        <rFont val="Calibri"/>
        <family val="2"/>
        <scheme val="minor"/>
      </rPr>
      <t xml:space="preserve"> - S</t>
    </r>
    <r>
      <rPr>
        <vertAlign val="subscript"/>
        <sz val="11"/>
        <rFont val="Calibri"/>
        <family val="2"/>
        <charset val="238"/>
        <scheme val="minor"/>
      </rPr>
      <t>NOx</t>
    </r>
  </si>
  <si>
    <r>
      <t>g TS.m</t>
    </r>
    <r>
      <rPr>
        <vertAlign val="superscript"/>
        <sz val="11"/>
        <rFont val="Calibri"/>
        <family val="2"/>
        <scheme val="minor"/>
      </rPr>
      <t>-3</t>
    </r>
  </si>
  <si>
    <t>sum of the charges of Ca, Mg and K content of PP…</t>
  </si>
  <si>
    <t>...should be equal to 1…</t>
  </si>
  <si>
    <t>...e.g.: 2*0.1 + 2*0.35 + 1*0.1=1</t>
  </si>
  <si>
    <r>
      <t>g VSS.g TSS</t>
    </r>
    <r>
      <rPr>
        <vertAlign val="superscript"/>
        <sz val="11"/>
        <rFont val="Calibri"/>
        <family val="2"/>
        <charset val="238"/>
        <scheme val="minor"/>
      </rPr>
      <t>-1</t>
    </r>
  </si>
  <si>
    <r>
      <t>S</t>
    </r>
    <r>
      <rPr>
        <vertAlign val="subscript"/>
        <sz val="11"/>
        <rFont val="Calibri"/>
        <family val="2"/>
        <scheme val="minor"/>
      </rPr>
      <t>ALK,calc</t>
    </r>
  </si>
  <si>
    <t>Reference gas composition percentages</t>
  </si>
  <si>
    <t>Input gas</t>
  </si>
  <si>
    <t>Offgas with aeration</t>
  </si>
  <si>
    <t>Offgas without aeration</t>
  </si>
  <si>
    <t>Biogas</t>
  </si>
  <si>
    <r>
      <t>G</t>
    </r>
    <r>
      <rPr>
        <vertAlign val="subscript"/>
        <sz val="11"/>
        <rFont val="Calibri"/>
        <family val="2"/>
      </rPr>
      <t>CO2</t>
    </r>
  </si>
  <si>
    <r>
      <t>Carbon dioxide gas (CO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</si>
  <si>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CH4</t>
    </r>
  </si>
  <si>
    <r>
      <t>Methane gas (CH</t>
    </r>
    <r>
      <rPr>
        <vertAlign val="subscript"/>
        <sz val="11"/>
        <rFont val="Calibri"/>
        <family val="2"/>
      </rPr>
      <t>4</t>
    </r>
    <r>
      <rPr>
        <sz val="11"/>
        <rFont val="Calibri"/>
        <family val="2"/>
      </rPr>
      <t>)</t>
    </r>
    <r>
      <rPr>
        <sz val="11"/>
        <rFont val="Calibri"/>
        <family val="2"/>
        <scheme val="minor"/>
      </rPr>
      <t xml:space="preserve"> reference percentage</t>
    </r>
  </si>
  <si>
    <r>
      <t>G</t>
    </r>
    <r>
      <rPr>
        <vertAlign val="subscript"/>
        <sz val="11"/>
        <rFont val="Calibri"/>
        <family val="2"/>
      </rPr>
      <t>H2</t>
    </r>
  </si>
  <si>
    <r>
      <t>Hydrogen gas (H</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</si>
  <si>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O2</t>
    </r>
  </si>
  <si>
    <r>
      <t>Oxygen gas (O</t>
    </r>
    <r>
      <rPr>
        <vertAlign val="subscript"/>
        <sz val="11"/>
        <rFont val="Calibri"/>
        <family val="2"/>
      </rPr>
      <t>2</t>
    </r>
    <r>
      <rPr>
        <sz val="11"/>
        <rFont val="Calibri"/>
        <family val="2"/>
      </rPr>
      <t>)</t>
    </r>
    <r>
      <rPr>
        <sz val="11"/>
        <rFont val="Calibri"/>
        <family val="2"/>
        <scheme val="minor"/>
      </rPr>
      <t xml:space="preserve"> reference percentage</t>
    </r>
  </si>
  <si>
    <r>
      <t>G</t>
    </r>
    <r>
      <rPr>
        <vertAlign val="subscript"/>
        <sz val="11"/>
        <rFont val="Calibri"/>
        <family val="2"/>
      </rPr>
      <t>NH3</t>
    </r>
  </si>
  <si>
    <r>
      <t>Ammonia gas (NH</t>
    </r>
    <r>
      <rPr>
        <vertAlign val="subscript"/>
        <sz val="11"/>
        <rFont val="Calibri"/>
        <family val="2"/>
      </rPr>
      <t>3</t>
    </r>
    <r>
      <rPr>
        <sz val="11"/>
        <rFont val="Calibri"/>
        <family val="2"/>
      </rPr>
      <t>)</t>
    </r>
    <r>
      <rPr>
        <sz val="11"/>
        <rFont val="Calibri"/>
        <family val="2"/>
        <scheme val="minor"/>
      </rPr>
      <t xml:space="preserve"> reference percentage</t>
    </r>
  </si>
  <si>
    <r>
      <t>G</t>
    </r>
    <r>
      <rPr>
        <vertAlign val="subscript"/>
        <sz val="11"/>
        <rFont val="Calibri"/>
        <family val="2"/>
      </rPr>
      <t>N2</t>
    </r>
  </si>
  <si>
    <r>
      <t>Nitrogen gas (N</t>
    </r>
    <r>
      <rPr>
        <vertAlign val="subscript"/>
        <sz val="11"/>
        <rFont val="Calibri"/>
        <family val="2"/>
      </rPr>
      <t>2</t>
    </r>
    <r>
      <rPr>
        <sz val="11"/>
        <rFont val="Calibri"/>
        <family val="2"/>
      </rPr>
      <t>)</t>
    </r>
    <r>
      <rPr>
        <sz val="11"/>
        <rFont val="Calibri"/>
        <family val="2"/>
        <scheme val="minor"/>
      </rPr>
      <t xml:space="preserve"> reference percentage</t>
    </r>
  </si>
  <si>
    <t>High purity oxygen</t>
  </si>
  <si>
    <t>g N.m-3</t>
  </si>
  <si>
    <r>
      <t>S</t>
    </r>
    <r>
      <rPr>
        <b/>
        <vertAlign val="subscript"/>
        <sz val="11"/>
        <rFont val="Calibri"/>
        <family val="2"/>
        <scheme val="minor"/>
      </rPr>
      <t>N2O</t>
    </r>
  </si>
  <si>
    <r>
      <t>G</t>
    </r>
    <r>
      <rPr>
        <b/>
        <vertAlign val="subscript"/>
        <sz val="11"/>
        <rFont val="Calibri"/>
        <family val="2"/>
      </rPr>
      <t>NO</t>
    </r>
  </si>
  <si>
    <r>
      <t>G</t>
    </r>
    <r>
      <rPr>
        <b/>
        <vertAlign val="subscript"/>
        <sz val="11"/>
        <rFont val="Calibri"/>
        <family val="2"/>
      </rPr>
      <t>N2O</t>
    </r>
  </si>
  <si>
    <r>
      <t>Nitrous oxide gas (N</t>
    </r>
    <r>
      <rPr>
        <vertAlign val="subscript"/>
        <sz val="11"/>
        <rFont val="Calibri"/>
        <family val="2"/>
      </rPr>
      <t>2</t>
    </r>
    <r>
      <rPr>
        <sz val="11"/>
        <rFont val="Calibri"/>
        <family val="2"/>
      </rPr>
      <t>O)</t>
    </r>
  </si>
  <si>
    <t>Nitric oxide gas (NO)</t>
  </si>
  <si>
    <r>
      <t>G</t>
    </r>
    <r>
      <rPr>
        <b/>
        <vertAlign val="subscript"/>
        <sz val="11"/>
        <rFont val="Calibri"/>
        <family val="2"/>
      </rPr>
      <t>NO,atm</t>
    </r>
  </si>
  <si>
    <r>
      <t>G</t>
    </r>
    <r>
      <rPr>
        <b/>
        <vertAlign val="subscript"/>
        <sz val="11"/>
        <rFont val="Calibri"/>
        <family val="2"/>
      </rPr>
      <t>N2O,atm</t>
    </r>
  </si>
  <si>
    <r>
      <t>-EEQ</t>
    </r>
    <r>
      <rPr>
        <vertAlign val="subscript"/>
        <sz val="11"/>
        <color indexed="8"/>
        <rFont val="Calibri"/>
        <family val="2"/>
      </rPr>
      <t>NO</t>
    </r>
  </si>
  <si>
    <r>
      <t>-EEQ</t>
    </r>
    <r>
      <rPr>
        <vertAlign val="subscript"/>
        <sz val="11"/>
        <color indexed="8"/>
        <rFont val="Calibri"/>
        <family val="2"/>
      </rPr>
      <t>N2O</t>
    </r>
  </si>
  <si>
    <r>
      <t>-EEQ</t>
    </r>
    <r>
      <rPr>
        <vertAlign val="subscript"/>
        <sz val="11"/>
        <rFont val="Calibri"/>
        <family val="2"/>
      </rPr>
      <t>NO</t>
    </r>
  </si>
  <si>
    <r>
      <t>-EEQ</t>
    </r>
    <r>
      <rPr>
        <vertAlign val="subscript"/>
        <sz val="11"/>
        <rFont val="Calibri"/>
        <family val="2"/>
      </rPr>
      <t>N2</t>
    </r>
    <r>
      <rPr>
        <vertAlign val="subscript"/>
        <sz val="11"/>
        <rFont val="Calibri"/>
        <family val="2"/>
        <scheme val="minor"/>
      </rPr>
      <t>O</t>
    </r>
  </si>
  <si>
    <r>
      <t>-EEQ</t>
    </r>
    <r>
      <rPr>
        <vertAlign val="subscript"/>
        <sz val="11"/>
        <rFont val="Calibri"/>
        <family val="2"/>
      </rPr>
      <t>N2</t>
    </r>
    <r>
      <rPr>
        <vertAlign val="subscript"/>
        <sz val="11"/>
        <rFont val="Calibri"/>
        <family val="2"/>
        <scheme val="minor"/>
      </rPr>
      <t>O</t>
    </r>
    <r>
      <rPr>
        <sz val="11"/>
        <rFont val="Calibri"/>
        <family val="2"/>
        <scheme val="minor"/>
      </rPr>
      <t>/Δ</t>
    </r>
    <r>
      <rPr>
        <vertAlign val="subscript"/>
        <sz val="11"/>
        <rFont val="Calibri"/>
        <family val="2"/>
        <scheme val="minor"/>
      </rPr>
      <t>atm</t>
    </r>
  </si>
  <si>
    <r>
      <t>1/Δ</t>
    </r>
    <r>
      <rPr>
        <vertAlign val="subscript"/>
        <sz val="11"/>
        <rFont val="Calibri"/>
        <family val="2"/>
        <scheme val="minor"/>
      </rPr>
      <t>atm</t>
    </r>
  </si>
  <si>
    <r>
      <t>-EEQ</t>
    </r>
    <r>
      <rPr>
        <vertAlign val="subscript"/>
        <sz val="11"/>
        <rFont val="Calibri"/>
        <family val="2"/>
      </rPr>
      <t>N</t>
    </r>
    <r>
      <rPr>
        <vertAlign val="subscript"/>
        <sz val="11"/>
        <rFont val="Calibri"/>
        <family val="2"/>
        <scheme val="minor"/>
      </rPr>
      <t>O</t>
    </r>
    <r>
      <rPr>
        <sz val="11"/>
        <rFont val="Calibri"/>
        <family val="2"/>
        <scheme val="minor"/>
      </rPr>
      <t>/Δ</t>
    </r>
    <r>
      <rPr>
        <vertAlign val="subscript"/>
        <sz val="11"/>
        <rFont val="Calibri"/>
        <family val="2"/>
        <scheme val="minor"/>
      </rPr>
      <t>atm</t>
    </r>
  </si>
  <si>
    <t>Nitric oxide gas transfer - bubbles</t>
  </si>
  <si>
    <t>Nitrous oxide gas transfer - bubbles</t>
  </si>
  <si>
    <t>Nitric oxide gas transfer - surface</t>
  </si>
  <si>
    <t>Nitrous oxide gas transfer - surface</t>
  </si>
  <si>
    <r>
      <t>Nitrous oxide (N</t>
    </r>
    <r>
      <rPr>
        <vertAlign val="subscript"/>
        <sz val="11"/>
        <rFont val="Calibri"/>
        <family val="2"/>
      </rPr>
      <t>2</t>
    </r>
    <r>
      <rPr>
        <sz val="11"/>
        <rFont val="Calibri"/>
        <family val="2"/>
      </rPr>
      <t>O)</t>
    </r>
  </si>
  <si>
    <t>r95</t>
  </si>
  <si>
    <t>r96</t>
  </si>
  <si>
    <t>r97</t>
  </si>
  <si>
    <t>r98</t>
  </si>
  <si>
    <t>r99</t>
  </si>
  <si>
    <t>r100</t>
  </si>
  <si>
    <t>r101</t>
  </si>
  <si>
    <t>r102</t>
  </si>
  <si>
    <r>
      <t>OHO growth on VFAs, NO</t>
    </r>
    <r>
      <rPr>
        <vertAlign val="subscript"/>
        <sz val="11"/>
        <color rgb="FF000000"/>
        <rFont val="Calibri"/>
        <family val="2"/>
        <scheme val="minor"/>
      </rPr>
      <t>3</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</si>
  <si>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2</t>
    </r>
  </si>
  <si>
    <r>
      <t>OHO growth on S</t>
    </r>
    <r>
      <rPr>
        <vertAlign val="subscript"/>
        <sz val="11"/>
        <color rgb="FF000000"/>
        <rFont val="Calibri"/>
        <family val="2"/>
        <scheme val="minor"/>
      </rPr>
      <t>B</t>
    </r>
    <r>
      <rPr>
        <sz val="11"/>
        <color rgb="FF000000"/>
        <rFont val="Calibri"/>
        <family val="2"/>
        <charset val="238"/>
        <scheme val="minor"/>
      </rPr>
      <t>, NO</t>
    </r>
    <r>
      <rPr>
        <vertAlign val="subscript"/>
        <sz val="11"/>
        <color rgb="FF000000"/>
        <rFont val="Calibri"/>
        <family val="2"/>
        <scheme val="minor"/>
      </rPr>
      <t>3</t>
    </r>
  </si>
  <si>
    <r>
      <t>-1/Y</t>
    </r>
    <r>
      <rPr>
        <vertAlign val="subscript"/>
        <sz val="11"/>
        <rFont val="Calibri"/>
        <family val="2"/>
      </rPr>
      <t>OHO,VFA,anox</t>
    </r>
  </si>
  <si>
    <r>
      <t>-1/Y</t>
    </r>
    <r>
      <rPr>
        <vertAlign val="subscript"/>
        <sz val="11"/>
        <rFont val="Calibri"/>
        <family val="2"/>
      </rPr>
      <t>OHO,SB,anox</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</si>
  <si>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</si>
  <si>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</si>
  <si>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NO2,NO3</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</si>
  <si>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NO2,NO3</t>
    </r>
    <r>
      <rPr>
        <sz val="11"/>
        <rFont val="Calibri"/>
        <family val="2"/>
      </rPr>
      <t>*Y</t>
    </r>
    <r>
      <rPr>
        <vertAlign val="subscript"/>
        <sz val="11"/>
        <rFont val="Calibri"/>
        <family val="2"/>
      </rPr>
      <t>OHO,SB,anox</t>
    </r>
    <r>
      <rPr>
        <sz val="11"/>
        <rFont val="Calibri"/>
        <family val="2"/>
      </rPr>
      <t>)</t>
    </r>
  </si>
  <si>
    <r>
      <t>i</t>
    </r>
    <r>
      <rPr>
        <vertAlign val="subscript"/>
        <sz val="11"/>
        <rFont val="Calibri"/>
        <family val="2"/>
      </rPr>
      <t>CIT,VFA</t>
    </r>
    <r>
      <rPr>
        <sz val="11"/>
        <rFont val="Calibri"/>
        <family val="2"/>
      </rPr>
      <t>/Y</t>
    </r>
    <r>
      <rPr>
        <vertAlign val="subscript"/>
        <sz val="11"/>
        <rFont val="Calibri"/>
        <family val="2"/>
      </rPr>
      <t>OHO,VFA,anox</t>
    </r>
    <r>
      <rPr>
        <sz val="11"/>
        <rFont val="Calibri"/>
        <family val="2"/>
      </rPr>
      <t>-i</t>
    </r>
    <r>
      <rPr>
        <vertAlign val="subscript"/>
        <sz val="11"/>
        <rFont val="Calibri"/>
        <family val="2"/>
      </rPr>
      <t>CIT,BIO</t>
    </r>
  </si>
  <si>
    <r>
      <t>i</t>
    </r>
    <r>
      <rPr>
        <vertAlign val="subscript"/>
        <sz val="11"/>
        <rFont val="Calibri"/>
        <family val="2"/>
      </rPr>
      <t>CIT,SB</t>
    </r>
    <r>
      <rPr>
        <sz val="11"/>
        <rFont val="Calibri"/>
        <family val="2"/>
      </rPr>
      <t>/Y</t>
    </r>
    <r>
      <rPr>
        <vertAlign val="subscript"/>
        <sz val="11"/>
        <rFont val="Calibri"/>
        <family val="2"/>
      </rPr>
      <t>OHO,SB,anox</t>
    </r>
    <r>
      <rPr>
        <sz val="11"/>
        <rFont val="Calibri"/>
        <family val="2"/>
      </rPr>
      <t>-i</t>
    </r>
    <r>
      <rPr>
        <vertAlign val="subscript"/>
        <sz val="11"/>
        <rFont val="Calibri"/>
        <family val="2"/>
      </rPr>
      <t>CIT,BIO</t>
    </r>
  </si>
  <si>
    <r>
      <t>Y</t>
    </r>
    <r>
      <rPr>
        <vertAlign val="subscript"/>
        <sz val="11"/>
        <rFont val="Calibri"/>
        <family val="2"/>
        <scheme val="minor"/>
      </rPr>
      <t>OHO,VFA,anox</t>
    </r>
  </si>
  <si>
    <t>Yield of OHOs on VFA under anoxic conditions</t>
  </si>
  <si>
    <r>
      <t>Y</t>
    </r>
    <r>
      <rPr>
        <vertAlign val="subscript"/>
        <sz val="11"/>
        <rFont val="Calibri"/>
        <family val="2"/>
        <scheme val="minor"/>
      </rPr>
      <t>OHO,SB,anox</t>
    </r>
  </si>
  <si>
    <t>Yield of OHOs on readily biodegradable substrate under anoxic conditions</t>
  </si>
  <si>
    <r>
      <t>g.m</t>
    </r>
    <r>
      <rPr>
        <vertAlign val="superscript"/>
        <sz val="11"/>
        <rFont val="Calibri"/>
        <family val="2"/>
      </rPr>
      <t>-3</t>
    </r>
    <r>
      <rPr>
        <sz val="11"/>
        <rFont val="Calibri"/>
        <family val="2"/>
      </rPr>
      <t>.d</t>
    </r>
    <r>
      <rPr>
        <vertAlign val="superscript"/>
        <sz val="11"/>
        <rFont val="Calibri"/>
        <family val="2"/>
      </rPr>
      <t>-1</t>
    </r>
    <r>
      <rPr>
        <sz val="11"/>
        <color theme="1"/>
        <rFont val="Calibri"/>
        <family val="2"/>
        <scheme val="minor"/>
      </rPr>
      <t/>
    </r>
  </si>
  <si>
    <r>
      <t>T</t>
    </r>
    <r>
      <rPr>
        <vertAlign val="subscript"/>
        <sz val="11"/>
        <rFont val="Calibri"/>
        <family val="2"/>
        <scheme val="minor"/>
      </rPr>
      <t>COD</t>
    </r>
    <r>
      <rPr>
        <sz val="11"/>
        <rFont val="Calibri"/>
        <family val="2"/>
        <scheme val="minor"/>
      </rPr>
      <t xml:space="preserve"> + S</t>
    </r>
    <r>
      <rPr>
        <vertAlign val="subscript"/>
        <sz val="11"/>
        <rFont val="Calibri"/>
        <family val="2"/>
        <scheme val="minor"/>
      </rPr>
      <t>H2</t>
    </r>
    <r>
      <rPr>
        <sz val="11"/>
        <rFont val="Calibri"/>
        <family val="2"/>
        <scheme val="minor"/>
      </rPr>
      <t xml:space="preserve"> + S</t>
    </r>
    <r>
      <rPr>
        <vertAlign val="subscript"/>
        <sz val="11"/>
        <rFont val="Calibri"/>
        <family val="2"/>
        <scheme val="minor"/>
      </rPr>
      <t>CH4</t>
    </r>
    <r>
      <rPr>
        <sz val="11"/>
        <rFont val="Calibri"/>
        <family val="2"/>
        <scheme val="minor"/>
      </rPr>
      <t xml:space="preserve">  + EEQ</t>
    </r>
    <r>
      <rPr>
        <vertAlign val="subscript"/>
        <sz val="11"/>
        <rFont val="Calibri"/>
        <family val="2"/>
        <scheme val="minor"/>
      </rPr>
      <t>Fe2</t>
    </r>
    <r>
      <rPr>
        <sz val="11"/>
        <rFont val="Calibri"/>
        <family val="2"/>
        <scheme val="minor"/>
      </rPr>
      <t>*S</t>
    </r>
    <r>
      <rPr>
        <vertAlign val="subscript"/>
        <sz val="11"/>
        <rFont val="Calibri"/>
        <family val="2"/>
        <scheme val="minor"/>
      </rPr>
      <t>Fe2</t>
    </r>
    <r>
      <rPr>
        <sz val="11"/>
        <rFont val="Calibri"/>
        <family val="2"/>
        <scheme val="minor"/>
      </rPr>
      <t xml:space="preserve"> + (3*AM</t>
    </r>
    <r>
      <rPr>
        <vertAlign val="subscript"/>
        <sz val="11"/>
        <rFont val="Calibri"/>
        <family val="2"/>
        <scheme val="minor"/>
      </rPr>
      <t>Fe</t>
    </r>
    <r>
      <rPr>
        <sz val="11"/>
        <rFont val="Calibri"/>
        <family val="2"/>
        <scheme val="minor"/>
      </rPr>
      <t>/MM</t>
    </r>
    <r>
      <rPr>
        <vertAlign val="subscript"/>
        <sz val="11"/>
        <rFont val="Calibri"/>
        <family val="2"/>
        <scheme val="minor"/>
      </rPr>
      <t>Vivi</t>
    </r>
    <r>
      <rPr>
        <sz val="11"/>
        <rFont val="Calibri"/>
        <family val="2"/>
        <scheme val="minor"/>
      </rPr>
      <t>*EEQ</t>
    </r>
    <r>
      <rPr>
        <vertAlign val="subscript"/>
        <sz val="11"/>
        <rFont val="Calibri"/>
        <family val="2"/>
        <scheme val="minor"/>
      </rPr>
      <t>Fe2</t>
    </r>
    <r>
      <rPr>
        <sz val="11"/>
        <rFont val="Calibri"/>
        <family val="2"/>
        <scheme val="minor"/>
      </rPr>
      <t>)*X</t>
    </r>
    <r>
      <rPr>
        <vertAlign val="subscript"/>
        <sz val="11"/>
        <rFont val="Calibri"/>
        <family val="2"/>
        <scheme val="minor"/>
      </rPr>
      <t>Vivi</t>
    </r>
    <r>
      <rPr>
        <sz val="11"/>
        <rFont val="Calibri"/>
        <family val="2"/>
        <scheme val="minor"/>
      </rPr>
      <t xml:space="preserve"> - EEQ</t>
    </r>
    <r>
      <rPr>
        <vertAlign val="subscript"/>
        <sz val="11"/>
        <rFont val="Calibri"/>
        <family val="2"/>
        <scheme val="minor"/>
      </rPr>
      <t>NO3</t>
    </r>
    <r>
      <rPr>
        <sz val="11"/>
        <rFont val="Calibri"/>
        <family val="2"/>
        <scheme val="minor"/>
      </rPr>
      <t>*S</t>
    </r>
    <r>
      <rPr>
        <vertAlign val="subscript"/>
        <sz val="11"/>
        <rFont val="Calibri"/>
        <family val="2"/>
        <scheme val="minor"/>
      </rPr>
      <t>NO3</t>
    </r>
    <r>
      <rPr>
        <sz val="11"/>
        <rFont val="Calibri"/>
        <family val="2"/>
        <scheme val="minor"/>
      </rPr>
      <t xml:space="preserve"> - EEQ</t>
    </r>
    <r>
      <rPr>
        <vertAlign val="subscript"/>
        <sz val="11"/>
        <rFont val="Calibri"/>
        <family val="2"/>
        <scheme val="minor"/>
      </rPr>
      <t>NO2</t>
    </r>
    <r>
      <rPr>
        <sz val="11"/>
        <rFont val="Calibri"/>
        <family val="2"/>
        <scheme val="minor"/>
      </rPr>
      <t>*S</t>
    </r>
    <r>
      <rPr>
        <vertAlign val="subscript"/>
        <sz val="11"/>
        <rFont val="Calibri"/>
        <family val="2"/>
        <scheme val="minor"/>
      </rPr>
      <t>NO2</t>
    </r>
    <r>
      <rPr>
        <sz val="11"/>
        <rFont val="Calibri"/>
        <family val="2"/>
        <scheme val="minor"/>
      </rPr>
      <t xml:space="preserve"> - EEQ</t>
    </r>
    <r>
      <rPr>
        <vertAlign val="subscript"/>
        <sz val="11"/>
        <rFont val="Calibri"/>
        <family val="2"/>
        <scheme val="minor"/>
      </rPr>
      <t>NO</t>
    </r>
    <r>
      <rPr>
        <sz val="11"/>
        <rFont val="Calibri"/>
        <family val="2"/>
        <scheme val="minor"/>
      </rPr>
      <t>*S</t>
    </r>
    <r>
      <rPr>
        <vertAlign val="subscript"/>
        <sz val="11"/>
        <rFont val="Calibri"/>
        <family val="2"/>
        <scheme val="minor"/>
      </rPr>
      <t>NO</t>
    </r>
    <r>
      <rPr>
        <sz val="11"/>
        <rFont val="Calibri"/>
        <family val="2"/>
        <scheme val="minor"/>
      </rPr>
      <t>- EEQ</t>
    </r>
    <r>
      <rPr>
        <vertAlign val="subscript"/>
        <sz val="11"/>
        <rFont val="Calibri"/>
        <family val="2"/>
        <scheme val="minor"/>
      </rPr>
      <t>N2O</t>
    </r>
    <r>
      <rPr>
        <sz val="11"/>
        <rFont val="Calibri"/>
        <family val="2"/>
        <scheme val="minor"/>
      </rPr>
      <t>*S</t>
    </r>
    <r>
      <rPr>
        <vertAlign val="subscript"/>
        <sz val="11"/>
        <rFont val="Calibri"/>
        <family val="2"/>
        <scheme val="minor"/>
      </rPr>
      <t>N2O</t>
    </r>
    <r>
      <rPr>
        <sz val="11"/>
        <rFont val="Calibri"/>
        <family val="2"/>
        <scheme val="minor"/>
      </rPr>
      <t>- EEQ</t>
    </r>
    <r>
      <rPr>
        <vertAlign val="subscript"/>
        <sz val="11"/>
        <rFont val="Calibri"/>
        <family val="2"/>
        <scheme val="minor"/>
      </rPr>
      <t>N2</t>
    </r>
    <r>
      <rPr>
        <sz val="11"/>
        <rFont val="Calibri"/>
        <family val="2"/>
        <scheme val="minor"/>
      </rPr>
      <t>*S</t>
    </r>
    <r>
      <rPr>
        <vertAlign val="subscript"/>
        <sz val="11"/>
        <rFont val="Calibri"/>
        <family val="2"/>
        <scheme val="minor"/>
      </rPr>
      <t>N2</t>
    </r>
    <r>
      <rPr>
        <sz val="11"/>
        <rFont val="Calibri"/>
        <family val="2"/>
        <scheme val="minor"/>
      </rPr>
      <t xml:space="preserve"> - S</t>
    </r>
    <r>
      <rPr>
        <vertAlign val="subscript"/>
        <sz val="11"/>
        <rFont val="Calibri"/>
        <family val="2"/>
        <scheme val="minor"/>
      </rPr>
      <t>O2</t>
    </r>
  </si>
  <si>
    <r>
      <t>f</t>
    </r>
    <r>
      <rPr>
        <vertAlign val="subscript"/>
        <sz val="11"/>
        <rFont val="Calibri"/>
        <family val="2"/>
        <scheme val="minor"/>
      </rPr>
      <t>kL,GN2O</t>
    </r>
  </si>
  <si>
    <r>
      <t>Correction factor for mass transfer of N</t>
    </r>
    <r>
      <rPr>
        <vertAlign val="subscript"/>
        <sz val="11"/>
        <color rgb="FF000000"/>
        <rFont val="Calibri"/>
        <family val="2"/>
        <scheme val="minor"/>
      </rPr>
      <t>2</t>
    </r>
    <r>
      <rPr>
        <sz val="11"/>
        <rFont val="Calibri"/>
        <family val="2"/>
        <scheme val="minor"/>
      </rPr>
      <t>O</t>
    </r>
  </si>
  <si>
    <t>Correction factor for mass transfer of NO</t>
  </si>
  <si>
    <r>
      <t>f</t>
    </r>
    <r>
      <rPr>
        <vertAlign val="subscript"/>
        <sz val="11"/>
        <rFont val="Calibri"/>
        <family val="2"/>
        <scheme val="minor"/>
      </rPr>
      <t>kL,GNO</t>
    </r>
  </si>
  <si>
    <r>
      <t>MM</t>
    </r>
    <r>
      <rPr>
        <vertAlign val="subscript"/>
        <sz val="11"/>
        <rFont val="Calibri"/>
        <family val="2"/>
        <scheme val="minor"/>
      </rPr>
      <t>NO</t>
    </r>
  </si>
  <si>
    <r>
      <t>MM</t>
    </r>
    <r>
      <rPr>
        <vertAlign val="subscript"/>
        <sz val="11"/>
        <rFont val="Calibri"/>
        <family val="2"/>
        <scheme val="minor"/>
      </rPr>
      <t>N2O</t>
    </r>
  </si>
  <si>
    <t>Molar mass of nitric oxide ion</t>
  </si>
  <si>
    <t>Molar mass of nitrous oxide ion</t>
  </si>
  <si>
    <r>
      <t>X</t>
    </r>
    <r>
      <rPr>
        <vertAlign val="subscript"/>
        <sz val="11"/>
        <rFont val="Calibri"/>
        <family val="2"/>
        <scheme val="minor"/>
      </rPr>
      <t>TSS</t>
    </r>
    <r>
      <rPr>
        <sz val="11"/>
        <rFont val="Calibri"/>
        <family val="2"/>
        <scheme val="minor"/>
      </rPr>
      <t>+S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+C</t>
    </r>
    <r>
      <rPr>
        <vertAlign val="subscript"/>
        <sz val="11"/>
        <rFont val="Calibri"/>
        <family val="2"/>
        <scheme val="minor"/>
      </rPr>
      <t>U</t>
    </r>
    <r>
      <rPr>
        <sz val="11"/>
        <rFont val="Calibri"/>
        <family val="2"/>
        <scheme val="minor"/>
      </rPr>
      <t>/i</t>
    </r>
    <r>
      <rPr>
        <vertAlign val="subscript"/>
        <sz val="11"/>
        <rFont val="Calibri"/>
        <family val="2"/>
        <scheme val="minor"/>
      </rPr>
      <t>CV,CU</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NO2</t>
    </r>
    <r>
      <rPr>
        <sz val="11"/>
        <rFont val="Calibri"/>
        <family val="2"/>
        <scheme val="minor"/>
      </rPr>
      <t>*MM</t>
    </r>
    <r>
      <rPr>
        <vertAlign val="subscript"/>
        <sz val="11"/>
        <rFont val="Calibri"/>
        <family val="2"/>
        <scheme val="minor"/>
      </rPr>
      <t>NO2</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t>
    </r>
    <r>
      <rPr>
        <sz val="11"/>
        <rFont val="Calibri"/>
        <family val="2"/>
        <scheme val="minor"/>
      </rPr>
      <t>*MM</t>
    </r>
    <r>
      <rPr>
        <vertAlign val="subscript"/>
        <sz val="11"/>
        <rFont val="Calibri"/>
        <family val="2"/>
        <scheme val="minor"/>
      </rPr>
      <t>NO</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N2O</t>
    </r>
    <r>
      <rPr>
        <sz val="11"/>
        <rFont val="Calibri"/>
        <family val="2"/>
        <scheme val="minor"/>
      </rPr>
      <t>*MM</t>
    </r>
    <r>
      <rPr>
        <vertAlign val="subscript"/>
        <sz val="11"/>
        <rFont val="Calibri"/>
        <family val="2"/>
        <scheme val="minor"/>
      </rPr>
      <t>N2O</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r>
      <rPr>
        <sz val="11"/>
        <rFont val="Calibri"/>
        <family val="2"/>
        <scheme val="minor"/>
      </rPr>
      <t>+S</t>
    </r>
    <r>
      <rPr>
        <vertAlign val="subscript"/>
        <sz val="11"/>
        <rFont val="Calibri"/>
        <family val="2"/>
        <scheme val="minor"/>
      </rPr>
      <t>CAT</t>
    </r>
    <r>
      <rPr>
        <sz val="11"/>
        <rFont val="Calibri"/>
        <family val="2"/>
        <scheme val="minor"/>
      </rPr>
      <t>+S</t>
    </r>
    <r>
      <rPr>
        <vertAlign val="subscript"/>
        <sz val="11"/>
        <rFont val="Calibri"/>
        <family val="2"/>
        <scheme val="minor"/>
      </rPr>
      <t>AN</t>
    </r>
    <r>
      <rPr>
        <sz val="11"/>
        <rFont val="Calibri"/>
        <family val="2"/>
        <scheme val="minor"/>
      </rPr>
      <t>+S</t>
    </r>
    <r>
      <rPr>
        <vertAlign val="subscript"/>
        <sz val="11"/>
        <rFont val="Calibri"/>
        <family val="2"/>
        <scheme val="minor"/>
      </rPr>
      <t>Ca</t>
    </r>
    <r>
      <rPr>
        <sz val="11"/>
        <rFont val="Calibri"/>
        <family val="2"/>
        <scheme val="minor"/>
      </rPr>
      <t>+S</t>
    </r>
    <r>
      <rPr>
        <vertAlign val="subscript"/>
        <sz val="11"/>
        <rFont val="Calibri"/>
        <family val="2"/>
        <scheme val="minor"/>
      </rPr>
      <t>Mg</t>
    </r>
    <r>
      <rPr>
        <sz val="11"/>
        <rFont val="Calibri"/>
        <family val="2"/>
        <scheme val="minor"/>
      </rPr>
      <t>+S</t>
    </r>
    <r>
      <rPr>
        <vertAlign val="subscript"/>
        <sz val="11"/>
        <rFont val="Calibri"/>
        <family val="2"/>
        <scheme val="minor"/>
      </rPr>
      <t>K</t>
    </r>
    <r>
      <rPr>
        <sz val="11"/>
        <rFont val="Calibri"/>
        <family val="2"/>
        <scheme val="minor"/>
      </rPr>
      <t>+S</t>
    </r>
    <r>
      <rPr>
        <vertAlign val="subscript"/>
        <sz val="11"/>
        <rFont val="Calibri"/>
        <family val="2"/>
        <scheme val="minor"/>
      </rPr>
      <t>Fe2</t>
    </r>
  </si>
  <si>
    <r>
      <t>k</t>
    </r>
    <r>
      <rPr>
        <vertAlign val="subscript"/>
        <sz val="11"/>
        <rFont val="Calibri"/>
        <family val="2"/>
      </rPr>
      <t>L</t>
    </r>
    <r>
      <rPr>
        <sz val="11"/>
        <rFont val="Calibri"/>
        <family val="2"/>
      </rPr>
      <t>a</t>
    </r>
    <r>
      <rPr>
        <vertAlign val="subscript"/>
        <sz val="11"/>
        <rFont val="Calibri"/>
        <family val="2"/>
        <charset val="238"/>
      </rPr>
      <t>GN2O</t>
    </r>
    <r>
      <rPr>
        <vertAlign val="subscript"/>
        <sz val="11"/>
        <rFont val="Calibri"/>
        <family val="2"/>
      </rPr>
      <t>,bub</t>
    </r>
  </si>
  <si>
    <t>N2O mass transfer coefficient for gas bubbles from PU code</t>
  </si>
  <si>
    <r>
      <t>k</t>
    </r>
    <r>
      <rPr>
        <vertAlign val="subscript"/>
        <sz val="11"/>
        <rFont val="Calibri"/>
        <family val="2"/>
      </rPr>
      <t>L</t>
    </r>
    <r>
      <rPr>
        <sz val="11"/>
        <rFont val="Calibri"/>
        <family val="2"/>
      </rPr>
      <t>a</t>
    </r>
    <r>
      <rPr>
        <vertAlign val="subscript"/>
        <sz val="11"/>
        <rFont val="Calibri"/>
        <family val="2"/>
        <charset val="238"/>
      </rPr>
      <t>GNO</t>
    </r>
    <r>
      <rPr>
        <vertAlign val="subscript"/>
        <sz val="11"/>
        <rFont val="Calibri"/>
        <family val="2"/>
      </rPr>
      <t>,bub</t>
    </r>
  </si>
  <si>
    <t>NO mass transfer coefficient for gas bubbles from PU code</t>
  </si>
  <si>
    <r>
      <t>S</t>
    </r>
    <r>
      <rPr>
        <vertAlign val="subscript"/>
        <sz val="11"/>
        <rFont val="Calibri"/>
        <family val="2"/>
        <charset val="238"/>
      </rPr>
      <t>G</t>
    </r>
    <r>
      <rPr>
        <vertAlign val="subscript"/>
        <sz val="11"/>
        <rFont val="Calibri"/>
        <family val="2"/>
      </rPr>
      <t>N2O,bub,sat</t>
    </r>
  </si>
  <si>
    <t>N2O saturation concentration at gas bubble interface</t>
  </si>
  <si>
    <t>NO saturation concentration at gas bubble interface</t>
  </si>
  <si>
    <r>
      <t>S</t>
    </r>
    <r>
      <rPr>
        <vertAlign val="subscript"/>
        <sz val="11"/>
        <rFont val="Calibri"/>
        <family val="2"/>
        <charset val="238"/>
      </rPr>
      <t>G</t>
    </r>
    <r>
      <rPr>
        <vertAlign val="subscript"/>
        <sz val="11"/>
        <rFont val="Calibri"/>
        <family val="2"/>
      </rPr>
      <t>NO,bub,sat</t>
    </r>
  </si>
  <si>
    <r>
      <t>f(G</t>
    </r>
    <r>
      <rPr>
        <vertAlign val="subscript"/>
        <sz val="11"/>
        <rFont val="Calibri"/>
        <family val="2"/>
      </rPr>
      <t>N2O</t>
    </r>
    <r>
      <rPr>
        <sz val="11"/>
        <rFont val="Calibri"/>
        <family val="2"/>
      </rPr>
      <t>)</t>
    </r>
  </si>
  <si>
    <r>
      <t>f(G</t>
    </r>
    <r>
      <rPr>
        <vertAlign val="subscript"/>
        <sz val="11"/>
        <rFont val="Calibri"/>
        <family val="2"/>
      </rPr>
      <t>NO</t>
    </r>
    <r>
      <rPr>
        <sz val="11"/>
        <rFont val="Calibri"/>
        <family val="2"/>
      </rPr>
      <t>)</t>
    </r>
  </si>
  <si>
    <r>
      <t>k</t>
    </r>
    <r>
      <rPr>
        <vertAlign val="subscript"/>
        <sz val="11"/>
        <rFont val="Calibri"/>
        <family val="2"/>
      </rPr>
      <t>L</t>
    </r>
    <r>
      <rPr>
        <sz val="11"/>
        <rFont val="Calibri"/>
        <family val="2"/>
      </rPr>
      <t>a</t>
    </r>
    <r>
      <rPr>
        <vertAlign val="subscript"/>
        <sz val="11"/>
        <rFont val="Calibri"/>
        <family val="2"/>
        <charset val="238"/>
      </rPr>
      <t>GN2O</t>
    </r>
    <r>
      <rPr>
        <vertAlign val="subscript"/>
        <sz val="11"/>
        <rFont val="Calibri"/>
        <family val="2"/>
      </rPr>
      <t>,sur</t>
    </r>
  </si>
  <si>
    <t>N2O mass transfer coefficient at liquid surface from PU code</t>
  </si>
  <si>
    <r>
      <t>k</t>
    </r>
    <r>
      <rPr>
        <vertAlign val="subscript"/>
        <sz val="11"/>
        <rFont val="Calibri"/>
        <family val="2"/>
      </rPr>
      <t>L</t>
    </r>
    <r>
      <rPr>
        <sz val="11"/>
        <rFont val="Calibri"/>
        <family val="2"/>
      </rPr>
      <t>a</t>
    </r>
    <r>
      <rPr>
        <vertAlign val="subscript"/>
        <sz val="11"/>
        <rFont val="Calibri"/>
        <family val="2"/>
        <charset val="238"/>
      </rPr>
      <t>GNO</t>
    </r>
    <r>
      <rPr>
        <vertAlign val="subscript"/>
        <sz val="11"/>
        <rFont val="Calibri"/>
        <family val="2"/>
      </rPr>
      <t>,sur</t>
    </r>
  </si>
  <si>
    <t>NO mass transfer coefficient at liquid surface from PU code</t>
  </si>
  <si>
    <r>
      <t>S</t>
    </r>
    <r>
      <rPr>
        <vertAlign val="subscript"/>
        <sz val="11"/>
        <rFont val="Calibri"/>
        <family val="2"/>
        <charset val="238"/>
      </rPr>
      <t>G</t>
    </r>
    <r>
      <rPr>
        <vertAlign val="subscript"/>
        <sz val="11"/>
        <rFont val="Calibri"/>
        <family val="2"/>
      </rPr>
      <t>N2O,sur,sat</t>
    </r>
  </si>
  <si>
    <t>N2O saturation concentration at atmospheric interface</t>
  </si>
  <si>
    <r>
      <t>S</t>
    </r>
    <r>
      <rPr>
        <vertAlign val="subscript"/>
        <sz val="11"/>
        <rFont val="Calibri"/>
        <family val="2"/>
        <charset val="238"/>
      </rPr>
      <t>G</t>
    </r>
    <r>
      <rPr>
        <vertAlign val="subscript"/>
        <sz val="11"/>
        <rFont val="Calibri"/>
        <family val="2"/>
      </rPr>
      <t>NO,sur,sat</t>
    </r>
  </si>
  <si>
    <t>NO saturation concentration at atmospheric interface</t>
  </si>
  <si>
    <r>
      <t>f(G</t>
    </r>
    <r>
      <rPr>
        <vertAlign val="subscript"/>
        <sz val="11"/>
        <rFont val="Calibri"/>
        <family val="2"/>
      </rPr>
      <t>N2O,atm</t>
    </r>
    <r>
      <rPr>
        <sz val="11"/>
        <rFont val="Calibri"/>
        <family val="2"/>
      </rPr>
      <t>)</t>
    </r>
  </si>
  <si>
    <r>
      <t>f(G</t>
    </r>
    <r>
      <rPr>
        <vertAlign val="subscript"/>
        <sz val="11"/>
        <rFont val="Calibri"/>
        <family val="2"/>
      </rPr>
      <t>NO,atm</t>
    </r>
    <r>
      <rPr>
        <sz val="11"/>
        <rFont val="Calibri"/>
        <family val="2"/>
      </rPr>
      <t>)</t>
    </r>
  </si>
  <si>
    <t>Balances per processes</t>
  </si>
  <si>
    <r>
      <t>G</t>
    </r>
    <r>
      <rPr>
        <vertAlign val="subscript"/>
        <sz val="11"/>
        <rFont val="Calibri"/>
        <family val="2"/>
      </rPr>
      <t>N2O</t>
    </r>
  </si>
  <si>
    <r>
      <t>G</t>
    </r>
    <r>
      <rPr>
        <vertAlign val="subscript"/>
        <sz val="11"/>
        <rFont val="Calibri"/>
        <family val="2"/>
      </rPr>
      <t>NO</t>
    </r>
  </si>
  <si>
    <r>
      <t>Nitrous oxide gas (N</t>
    </r>
    <r>
      <rPr>
        <vertAlign val="subscript"/>
        <sz val="11"/>
        <rFont val="Calibri"/>
        <family val="2"/>
      </rPr>
      <t>2</t>
    </r>
    <r>
      <rPr>
        <sz val="11"/>
        <rFont val="Calibri"/>
        <family val="2"/>
      </rPr>
      <t>O)</t>
    </r>
    <r>
      <rPr>
        <sz val="11"/>
        <rFont val="Calibri"/>
        <family val="2"/>
        <scheme val="minor"/>
      </rPr>
      <t xml:space="preserve"> reference percentage</t>
    </r>
  </si>
  <si>
    <r>
      <t>Nitric oxide gas (NO</t>
    </r>
    <r>
      <rPr>
        <sz val="11"/>
        <rFont val="Calibri"/>
        <family val="2"/>
      </rPr>
      <t>)</t>
    </r>
    <r>
      <rPr>
        <sz val="11"/>
        <rFont val="Calibri"/>
        <family val="2"/>
        <scheme val="minor"/>
      </rPr>
      <t xml:space="preserve"> reference percentage</t>
    </r>
  </si>
  <si>
    <r>
      <t>k</t>
    </r>
    <r>
      <rPr>
        <vertAlign val="subscript"/>
        <sz val="11"/>
        <rFont val="Calibri"/>
        <family val="2"/>
        <scheme val="minor"/>
      </rPr>
      <t>L</t>
    </r>
    <r>
      <rPr>
        <sz val="11"/>
        <rFont val="Calibri"/>
        <family val="2"/>
        <scheme val="minor"/>
      </rPr>
      <t>a</t>
    </r>
    <r>
      <rPr>
        <vertAlign val="subscript"/>
        <sz val="11"/>
        <rFont val="Calibri"/>
        <family val="2"/>
        <scheme val="minor"/>
      </rPr>
      <t>GNO,sur</t>
    </r>
    <r>
      <rPr>
        <sz val="11"/>
        <rFont val="Calibri"/>
        <family val="2"/>
        <scheme val="minor"/>
      </rPr>
      <t>*(S</t>
    </r>
    <r>
      <rPr>
        <vertAlign val="subscript"/>
        <sz val="11"/>
        <rFont val="Calibri"/>
        <family val="2"/>
        <scheme val="minor"/>
      </rPr>
      <t>GNO,sur,sat</t>
    </r>
    <r>
      <rPr>
        <sz val="11"/>
        <rFont val="Calibri"/>
        <family val="2"/>
        <scheme val="minor"/>
      </rPr>
      <t xml:space="preserve"> - S</t>
    </r>
    <r>
      <rPr>
        <vertAlign val="subscript"/>
        <sz val="11"/>
        <rFont val="Calibri"/>
        <family val="2"/>
        <scheme val="minor"/>
      </rPr>
      <t>NO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</si>
  <si>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GN2O,sur</t>
    </r>
    <r>
      <rPr>
        <sz val="11"/>
        <rFont val="Calibri"/>
        <family val="2"/>
        <scheme val="minor"/>
      </rPr>
      <t>*(S</t>
    </r>
    <r>
      <rPr>
        <vertAlign val="subscript"/>
        <sz val="11"/>
        <rFont val="Calibri"/>
        <family val="2"/>
        <scheme val="minor"/>
      </rPr>
      <t>GN2O,sur,sat</t>
    </r>
    <r>
      <rPr>
        <sz val="11"/>
        <rFont val="Calibri"/>
        <family val="2"/>
        <scheme val="minor"/>
      </rPr>
      <t xml:space="preserve"> - S</t>
    </r>
    <r>
      <rPr>
        <vertAlign val="subscript"/>
        <sz val="11"/>
        <rFont val="Calibri"/>
        <family val="2"/>
        <scheme val="minor"/>
      </rPr>
      <t>N2O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</si>
  <si>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GNO,bub</t>
    </r>
    <r>
      <rPr>
        <sz val="11"/>
        <rFont val="Calibri"/>
        <family val="2"/>
        <scheme val="minor"/>
      </rPr>
      <t>*(S</t>
    </r>
    <r>
      <rPr>
        <vertAlign val="subscript"/>
        <sz val="11"/>
        <rFont val="Calibri"/>
        <family val="2"/>
        <scheme val="minor"/>
      </rPr>
      <t>GNO,bub,sat</t>
    </r>
    <r>
      <rPr>
        <sz val="11"/>
        <rFont val="Calibri"/>
        <family val="2"/>
        <scheme val="minor"/>
      </rPr>
      <t xml:space="preserve"> - S</t>
    </r>
    <r>
      <rPr>
        <vertAlign val="subscript"/>
        <sz val="11"/>
        <rFont val="Calibri"/>
        <family val="2"/>
        <scheme val="minor"/>
      </rPr>
      <t>NO</t>
    </r>
    <r>
      <rPr>
        <sz val="11"/>
        <rFont val="Calibri"/>
        <family val="2"/>
        <scheme val="minor"/>
      </rPr>
      <t>)</t>
    </r>
  </si>
  <si>
    <r>
      <t>k</t>
    </r>
    <r>
      <rPr>
        <vertAlign val="subscript"/>
        <sz val="11"/>
        <rFont val="Calibri"/>
        <family val="2"/>
        <scheme val="minor"/>
      </rPr>
      <t>L</t>
    </r>
    <r>
      <rPr>
        <sz val="11"/>
        <rFont val="Calibri"/>
        <family val="2"/>
        <scheme val="minor"/>
      </rPr>
      <t>a</t>
    </r>
    <r>
      <rPr>
        <vertAlign val="subscript"/>
        <sz val="11"/>
        <rFont val="Calibri"/>
        <family val="2"/>
        <scheme val="minor"/>
      </rPr>
      <t>GN2O,bub</t>
    </r>
    <r>
      <rPr>
        <sz val="11"/>
        <rFont val="Calibri"/>
        <family val="2"/>
        <scheme val="minor"/>
      </rPr>
      <t>*(S</t>
    </r>
    <r>
      <rPr>
        <vertAlign val="subscript"/>
        <sz val="11"/>
        <rFont val="Calibri"/>
        <family val="2"/>
        <scheme val="minor"/>
      </rPr>
      <t>GN2O,bub,sat</t>
    </r>
    <r>
      <rPr>
        <sz val="11"/>
        <rFont val="Calibri"/>
        <family val="2"/>
        <scheme val="minor"/>
      </rPr>
      <t xml:space="preserve"> - S</t>
    </r>
    <r>
      <rPr>
        <vertAlign val="subscript"/>
        <sz val="11"/>
        <rFont val="Calibri"/>
        <family val="2"/>
        <scheme val="minor"/>
      </rPr>
      <t>N2O</t>
    </r>
    <r>
      <rPr>
        <sz val="11"/>
        <rFont val="Calibri"/>
        <family val="2"/>
        <scheme val="minor"/>
      </rPr>
      <t>)</t>
    </r>
  </si>
  <si>
    <r>
      <t>OHO growth on S</t>
    </r>
    <r>
      <rPr>
        <vertAlign val="subscript"/>
        <sz val="11"/>
        <color rgb="FF000000"/>
        <rFont val="Calibri"/>
        <family val="2"/>
        <scheme val="minor"/>
      </rPr>
      <t>B</t>
    </r>
    <r>
      <rPr>
        <sz val="11"/>
        <color rgb="FF000000"/>
        <rFont val="Calibri"/>
        <family val="2"/>
        <charset val="238"/>
        <scheme val="minor"/>
      </rPr>
      <t>, NO</t>
    </r>
  </si>
  <si>
    <r>
      <t>OHO growth on S</t>
    </r>
    <r>
      <rPr>
        <vertAlign val="subscript"/>
        <sz val="11"/>
        <color rgb="FF000000"/>
        <rFont val="Calibri"/>
        <family val="2"/>
        <scheme val="minor"/>
      </rPr>
      <t>B</t>
    </r>
    <r>
      <rPr>
        <sz val="11"/>
        <color rgb="FF000000"/>
        <rFont val="Calibri"/>
        <family val="2"/>
        <charset val="238"/>
        <scheme val="minor"/>
      </rPr>
      <t>, N</t>
    </r>
    <r>
      <rPr>
        <vertAlign val="subscript"/>
        <sz val="11"/>
        <color rgb="FF000000"/>
        <rFont val="Calibri"/>
        <family val="2"/>
        <scheme val="minor"/>
      </rPr>
      <t>2</t>
    </r>
    <r>
      <rPr>
        <sz val="11"/>
        <color rgb="FF000000"/>
        <rFont val="Calibri"/>
        <family val="2"/>
        <charset val="238"/>
        <scheme val="minor"/>
      </rPr>
      <t>O</t>
    </r>
  </si>
  <si>
    <r>
      <t>-(1-Y</t>
    </r>
    <r>
      <rPr>
        <vertAlign val="subscript"/>
        <sz val="11"/>
        <rFont val="Calibri"/>
        <family val="2"/>
      </rPr>
      <t>OHO,SB,anox</t>
    </r>
    <r>
      <rPr>
        <sz val="11"/>
        <rFont val="Calibri"/>
        <family val="2"/>
      </rPr>
      <t>)/(EEQ</t>
    </r>
    <r>
      <rPr>
        <vertAlign val="subscript"/>
        <sz val="11"/>
        <rFont val="Calibri"/>
        <family val="2"/>
      </rPr>
      <t>NO,NO2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</si>
  <si>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NO,NO2</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</si>
  <si>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N2O,NO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</si>
  <si>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N2O,NO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</si>
  <si>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N2,N2O</t>
    </r>
    <r>
      <rPr>
        <sz val="11"/>
        <rFont val="Calibri"/>
        <family val="2"/>
      </rPr>
      <t>*Y</t>
    </r>
    <r>
      <rPr>
        <vertAlign val="subscript"/>
        <sz val="11"/>
        <rFont val="Calibri"/>
        <family val="2"/>
      </rPr>
      <t>OHO,SB,anox</t>
    </r>
    <r>
      <rPr>
        <sz val="11"/>
        <rFont val="Calibri"/>
        <family val="2"/>
      </rPr>
      <t>)</t>
    </r>
  </si>
  <si>
    <r>
      <t>(1-Y</t>
    </r>
    <r>
      <rPr>
        <vertAlign val="subscript"/>
        <sz val="11"/>
        <rFont val="Calibri"/>
        <family val="2"/>
      </rPr>
      <t>OHO,SB,anox</t>
    </r>
    <r>
      <rPr>
        <sz val="11"/>
        <rFont val="Calibri"/>
        <family val="2"/>
      </rPr>
      <t>)/(EEQ</t>
    </r>
    <r>
      <rPr>
        <vertAlign val="subscript"/>
        <sz val="11"/>
        <rFont val="Calibri"/>
        <family val="2"/>
      </rPr>
      <t>N2,N2O</t>
    </r>
    <r>
      <rPr>
        <sz val="11"/>
        <rFont val="Calibri"/>
        <family val="2"/>
      </rPr>
      <t>*Y</t>
    </r>
    <r>
      <rPr>
        <vertAlign val="subscript"/>
        <sz val="11"/>
        <rFont val="Calibri"/>
        <family val="2"/>
      </rPr>
      <t>OHO,SB,anox</t>
    </r>
    <r>
      <rPr>
        <sz val="11"/>
        <rFont val="Calibri"/>
        <family val="2"/>
      </rPr>
      <t>)</t>
    </r>
  </si>
  <si>
    <t>Hiatt and Grady, 2008 (ηOHO,anox=0.6 in Sumo2)</t>
  </si>
  <si>
    <r>
      <t>η</t>
    </r>
    <r>
      <rPr>
        <vertAlign val="subscript"/>
        <sz val="11"/>
        <rFont val="Calibri"/>
        <family val="2"/>
        <scheme val="minor"/>
      </rPr>
      <t>OHO,NO3</t>
    </r>
  </si>
  <si>
    <r>
      <t>Reduction factor for anoxic growth of OHOs on NO</t>
    </r>
    <r>
      <rPr>
        <vertAlign val="subscript"/>
        <sz val="11"/>
        <rFont val="Calibri"/>
        <family val="2"/>
        <scheme val="minor"/>
      </rPr>
      <t>3</t>
    </r>
  </si>
  <si>
    <r>
      <t>Reduction factor for anoxic growth of OHOs on NO</t>
    </r>
    <r>
      <rPr>
        <vertAlign val="subscript"/>
        <sz val="11"/>
        <rFont val="Calibri"/>
        <family val="2"/>
        <scheme val="minor"/>
      </rPr>
      <t>2</t>
    </r>
  </si>
  <si>
    <r>
      <t>η</t>
    </r>
    <r>
      <rPr>
        <vertAlign val="subscript"/>
        <sz val="11"/>
        <rFont val="Calibri"/>
        <family val="2"/>
        <scheme val="minor"/>
      </rPr>
      <t>OHO,NO2</t>
    </r>
  </si>
  <si>
    <r>
      <t>η</t>
    </r>
    <r>
      <rPr>
        <vertAlign val="subscript"/>
        <sz val="11"/>
        <rFont val="Calibri"/>
        <family val="2"/>
        <scheme val="minor"/>
      </rPr>
      <t>OHO,NO</t>
    </r>
  </si>
  <si>
    <t>Reduction factor for anoxic growth of OHOs on NO</t>
  </si>
  <si>
    <r>
      <t>η</t>
    </r>
    <r>
      <rPr>
        <vertAlign val="subscript"/>
        <sz val="11"/>
        <rFont val="Calibri"/>
        <family val="2"/>
        <scheme val="minor"/>
      </rPr>
      <t>OHO,N2O</t>
    </r>
  </si>
  <si>
    <t>Reduction factor for anoxic growth of OHOs on N2O</t>
  </si>
  <si>
    <r>
      <t>K</t>
    </r>
    <r>
      <rPr>
        <vertAlign val="subscript"/>
        <sz val="11"/>
        <rFont val="Calibri"/>
        <family val="2"/>
        <scheme val="minor"/>
      </rPr>
      <t>SB,NO3,AS</t>
    </r>
  </si>
  <si>
    <r>
      <t>Half-saturation of readily biodegradable substrate for OHOs on NO</t>
    </r>
    <r>
      <rPr>
        <vertAlign val="subscript"/>
        <sz val="11"/>
        <rFont val="Calibri"/>
        <family val="2"/>
        <scheme val="minor"/>
      </rPr>
      <t>3</t>
    </r>
    <r>
      <rPr>
        <sz val="11"/>
        <rFont val="Calibri"/>
        <family val="2"/>
        <scheme val="minor"/>
      </rPr>
      <t xml:space="preserve"> (AS)</t>
    </r>
  </si>
  <si>
    <r>
      <t>K</t>
    </r>
    <r>
      <rPr>
        <vertAlign val="subscript"/>
        <sz val="11"/>
        <rFont val="Calibri"/>
        <family val="2"/>
        <scheme val="minor"/>
      </rPr>
      <t>SB,NO2,AS</t>
    </r>
  </si>
  <si>
    <r>
      <t>Half-saturation of readily biodegradable substrate for OHOs on NO</t>
    </r>
    <r>
      <rPr>
        <vertAlign val="subscript"/>
        <sz val="11"/>
        <rFont val="Calibri"/>
        <family val="2"/>
        <scheme val="minor"/>
      </rPr>
      <t>2</t>
    </r>
    <r>
      <rPr>
        <sz val="11"/>
        <rFont val="Calibri"/>
        <family val="2"/>
        <scheme val="minor"/>
      </rPr>
      <t xml:space="preserve"> (AS)</t>
    </r>
  </si>
  <si>
    <r>
      <t>K</t>
    </r>
    <r>
      <rPr>
        <vertAlign val="subscript"/>
        <sz val="11"/>
        <rFont val="Calibri"/>
        <family val="2"/>
        <scheme val="minor"/>
      </rPr>
      <t>SB,NO,AS</t>
    </r>
  </si>
  <si>
    <t>Half-saturation of readily biodegradable substrate for OHOs on NO (AS)</t>
  </si>
  <si>
    <r>
      <t>K</t>
    </r>
    <r>
      <rPr>
        <vertAlign val="subscript"/>
        <sz val="11"/>
        <rFont val="Calibri"/>
        <family val="2"/>
        <scheme val="minor"/>
      </rPr>
      <t>SB,N2O,AS</t>
    </r>
  </si>
  <si>
    <t>Half-saturation of readily biodegradable substrate for OHOs on N2O (AS)</t>
  </si>
  <si>
    <t>(=20 g COD.m-3 in Hiatt and Grady, 2008)</t>
  </si>
  <si>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3</t>
    </r>
    <r>
      <rPr>
        <sz val="11"/>
        <color rgb="FF000000"/>
        <rFont val="Calibri"/>
        <family val="2"/>
        <charset val="238"/>
        <scheme val="minor"/>
      </rPr>
      <t xml:space="preserve"> (AS)</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</si>
  <si>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2</t>
    </r>
    <r>
      <rPr>
        <sz val="11"/>
        <color rgb="FF000000"/>
        <rFont val="Calibri"/>
        <family val="2"/>
        <charset val="238"/>
        <scheme val="minor"/>
      </rPr>
      <t xml:space="preserve"> (AS)</t>
    </r>
  </si>
  <si>
    <r>
      <t>Half-saturation of O</t>
    </r>
    <r>
      <rPr>
        <vertAlign val="subscript"/>
        <sz val="11"/>
        <color rgb="FF000000"/>
        <rFont val="Calibri"/>
        <family val="2"/>
        <scheme val="minor"/>
      </rPr>
      <t>2</t>
    </r>
    <r>
      <rPr>
        <sz val="11"/>
        <color rgb="FF000000"/>
        <rFont val="Calibri"/>
        <family val="2"/>
        <charset val="238"/>
        <scheme val="minor"/>
      </rPr>
      <t xml:space="preserve"> for OHOs on NO (AS)</t>
    </r>
  </si>
  <si>
    <r>
      <t>K</t>
    </r>
    <r>
      <rPr>
        <vertAlign val="subscript"/>
        <sz val="11"/>
        <rFont val="Calibri"/>
        <family val="2"/>
        <scheme val="minor"/>
      </rPr>
      <t>O2,OHO,N2O,AS</t>
    </r>
  </si>
  <si>
    <r>
      <t>Half-saturation of O</t>
    </r>
    <r>
      <rPr>
        <vertAlign val="subscript"/>
        <sz val="11"/>
        <color rgb="FF000000"/>
        <rFont val="Calibri"/>
        <family val="2"/>
        <scheme val="minor"/>
      </rPr>
      <t>2</t>
    </r>
    <r>
      <rPr>
        <sz val="11"/>
        <color rgb="FF000000"/>
        <rFont val="Calibri"/>
        <family val="2"/>
        <charset val="238"/>
        <scheme val="minor"/>
      </rPr>
      <t xml:space="preserve"> for OHOs on N2O (AS)</t>
    </r>
  </si>
  <si>
    <r>
      <t>K</t>
    </r>
    <r>
      <rPr>
        <vertAlign val="subscript"/>
        <sz val="11"/>
        <rFont val="Calibri"/>
        <family val="2"/>
        <scheme val="minor"/>
      </rPr>
      <t>O2,OHO,NO3,AS</t>
    </r>
  </si>
  <si>
    <r>
      <t>K</t>
    </r>
    <r>
      <rPr>
        <vertAlign val="subscript"/>
        <sz val="11"/>
        <rFont val="Calibri"/>
        <family val="2"/>
        <scheme val="minor"/>
      </rPr>
      <t>O2,OHO,NO2,AS</t>
    </r>
  </si>
  <si>
    <r>
      <t>K</t>
    </r>
    <r>
      <rPr>
        <vertAlign val="subscript"/>
        <sz val="11"/>
        <rFont val="Calibri"/>
        <family val="2"/>
        <scheme val="minor"/>
      </rPr>
      <t>O2,OHO,NO,AS</t>
    </r>
  </si>
  <si>
    <t>(=0.1 g O2.m-3 in Hiatt and Grady, 2008)</t>
  </si>
  <si>
    <t>(=0.05 g N.m-3 in Sumo2)</t>
  </si>
  <si>
    <r>
      <t>K</t>
    </r>
    <r>
      <rPr>
        <vertAlign val="subscript"/>
        <sz val="11"/>
        <rFont val="Calibri"/>
        <family val="2"/>
        <scheme val="minor"/>
      </rPr>
      <t>NO,OHO,AS</t>
    </r>
  </si>
  <si>
    <r>
      <t>Half-saturation of NO</t>
    </r>
    <r>
      <rPr>
        <sz val="11"/>
        <color rgb="FF000000"/>
        <rFont val="Calibri"/>
        <family val="2"/>
        <charset val="238"/>
        <scheme val="minor"/>
      </rPr>
      <t xml:space="preserve"> for OHOs (AS)</t>
    </r>
  </si>
  <si>
    <r>
      <t>K</t>
    </r>
    <r>
      <rPr>
        <vertAlign val="subscript"/>
        <sz val="11"/>
        <rFont val="Calibri"/>
        <family val="2"/>
        <scheme val="minor"/>
      </rPr>
      <t>N2O,OHO,AS</t>
    </r>
  </si>
  <si>
    <r>
      <t>Half-saturation of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for OHOs (AS)</t>
    </r>
  </si>
  <si>
    <r>
      <t>Half-inhibition of NO</t>
    </r>
    <r>
      <rPr>
        <sz val="11"/>
        <color rgb="FF000000"/>
        <rFont val="Calibri"/>
        <family val="2"/>
        <charset val="238"/>
        <scheme val="minor"/>
      </rPr>
      <t xml:space="preserve"> for OHOs denitrification of NO</t>
    </r>
    <r>
      <rPr>
        <vertAlign val="subscript"/>
        <sz val="11"/>
        <color rgb="FF000000"/>
        <rFont val="Calibri"/>
        <family val="2"/>
        <scheme val="minor"/>
      </rPr>
      <t>2</t>
    </r>
    <r>
      <rPr>
        <sz val="11"/>
        <color rgb="FF000000"/>
        <rFont val="Calibri"/>
        <family val="2"/>
        <charset val="238"/>
        <scheme val="minor"/>
      </rPr>
      <t xml:space="preserve"> (AS)</t>
    </r>
  </si>
  <si>
    <r>
      <t>Ki</t>
    </r>
    <r>
      <rPr>
        <vertAlign val="subscript"/>
        <sz val="11"/>
        <rFont val="Calibri"/>
        <family val="2"/>
        <scheme val="minor"/>
      </rPr>
      <t>NO,OHO,NO2,AS</t>
    </r>
  </si>
  <si>
    <r>
      <t>Ki</t>
    </r>
    <r>
      <rPr>
        <vertAlign val="subscript"/>
        <sz val="11"/>
        <rFont val="Calibri"/>
        <family val="2"/>
        <scheme val="minor"/>
      </rPr>
      <t>NO,OHO,NO,AS</t>
    </r>
  </si>
  <si>
    <r>
      <t>Half-inhibition of NO</t>
    </r>
    <r>
      <rPr>
        <sz val="11"/>
        <color rgb="FF000000"/>
        <rFont val="Calibri"/>
        <family val="2"/>
        <charset val="238"/>
        <scheme val="minor"/>
      </rPr>
      <t xml:space="preserve"> for OHOs denitrification of NO (AS)</t>
    </r>
  </si>
  <si>
    <r>
      <t>Ki</t>
    </r>
    <r>
      <rPr>
        <vertAlign val="subscript"/>
        <sz val="11"/>
        <rFont val="Calibri"/>
        <family val="2"/>
        <scheme val="minor"/>
      </rPr>
      <t>NO,OHO,N2O,AS</t>
    </r>
  </si>
  <si>
    <r>
      <t>Half-inhibition of NO</t>
    </r>
    <r>
      <rPr>
        <sz val="11"/>
        <color rgb="FF000000"/>
        <rFont val="Calibri"/>
        <family val="2"/>
        <charset val="238"/>
        <scheme val="minor"/>
      </rPr>
      <t xml:space="preserve"> for OHOs denitrification of N</t>
    </r>
    <r>
      <rPr>
        <vertAlign val="subscript"/>
        <sz val="11"/>
        <color rgb="FF000000"/>
        <rFont val="Calibri"/>
        <family val="2"/>
        <scheme val="minor"/>
      </rPr>
      <t>2</t>
    </r>
    <r>
      <rPr>
        <sz val="11"/>
        <color rgb="FF000000"/>
        <rFont val="Calibri"/>
        <family val="2"/>
        <charset val="238"/>
        <scheme val="minor"/>
      </rPr>
      <t>O (AS)</t>
    </r>
  </si>
  <si>
    <t>Hiatt and Grady, 2008</t>
  </si>
  <si>
    <r>
      <t>OHO growth on VFAs</t>
    </r>
    <r>
      <rPr>
        <sz val="11"/>
        <color rgb="FF000000"/>
        <rFont val="Calibri"/>
        <family val="2"/>
        <charset val="238"/>
        <scheme val="minor"/>
      </rPr>
      <t>, NO</t>
    </r>
    <r>
      <rPr>
        <vertAlign val="subscript"/>
        <sz val="11"/>
        <color rgb="FF000000"/>
        <rFont val="Calibri"/>
        <family val="2"/>
        <scheme val="minor"/>
      </rPr>
      <t>2</t>
    </r>
  </si>
  <si>
    <r>
      <t>OHO growth on VFAs</t>
    </r>
    <r>
      <rPr>
        <sz val="11"/>
        <color rgb="FF000000"/>
        <rFont val="Calibri"/>
        <family val="2"/>
        <charset val="238"/>
        <scheme val="minor"/>
      </rPr>
      <t>, NO</t>
    </r>
  </si>
  <si>
    <r>
      <t>OHO growth on VFAs</t>
    </r>
    <r>
      <rPr>
        <sz val="11"/>
        <color rgb="FF000000"/>
        <rFont val="Calibri"/>
        <family val="2"/>
        <charset val="238"/>
        <scheme val="minor"/>
      </rPr>
      <t>, N</t>
    </r>
    <r>
      <rPr>
        <vertAlign val="subscript"/>
        <sz val="11"/>
        <color rgb="FF000000"/>
        <rFont val="Calibri"/>
        <family val="2"/>
        <scheme val="minor"/>
      </rPr>
      <t>2</t>
    </r>
    <r>
      <rPr>
        <sz val="11"/>
        <color rgb="FF000000"/>
        <rFont val="Calibri"/>
        <family val="2"/>
        <charset val="238"/>
        <scheme val="minor"/>
      </rPr>
      <t>O</t>
    </r>
  </si>
  <si>
    <r>
      <t>-(1-Y</t>
    </r>
    <r>
      <rPr>
        <vertAlign val="subscript"/>
        <sz val="11"/>
        <rFont val="Calibri"/>
        <family val="2"/>
      </rPr>
      <t>OHO,VFA,anox</t>
    </r>
    <r>
      <rPr>
        <sz val="11"/>
        <rFont val="Calibri"/>
        <family val="2"/>
      </rPr>
      <t>)/(EEQ</t>
    </r>
    <r>
      <rPr>
        <vertAlign val="subscript"/>
        <sz val="11"/>
        <rFont val="Calibri"/>
        <family val="2"/>
      </rPr>
      <t>NO,NO2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</si>
  <si>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NO,NO2</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</si>
  <si>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N2O,NO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</si>
  <si>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N2O,NO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</si>
  <si>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N2,N2O</t>
    </r>
    <r>
      <rPr>
        <sz val="11"/>
        <rFont val="Calibri"/>
        <family val="2"/>
      </rPr>
      <t>*Y</t>
    </r>
    <r>
      <rPr>
        <vertAlign val="subscript"/>
        <sz val="11"/>
        <rFont val="Calibri"/>
        <family val="2"/>
      </rPr>
      <t>OHO,VFA,anox</t>
    </r>
    <r>
      <rPr>
        <sz val="11"/>
        <rFont val="Calibri"/>
        <family val="2"/>
      </rPr>
      <t>)</t>
    </r>
  </si>
  <si>
    <r>
      <t>(1-Y</t>
    </r>
    <r>
      <rPr>
        <vertAlign val="subscript"/>
        <sz val="11"/>
        <rFont val="Calibri"/>
        <family val="2"/>
      </rPr>
      <t>OHO,VFA,anox</t>
    </r>
    <r>
      <rPr>
        <sz val="11"/>
        <rFont val="Calibri"/>
        <family val="2"/>
      </rPr>
      <t>)/(EEQ</t>
    </r>
    <r>
      <rPr>
        <vertAlign val="subscript"/>
        <sz val="11"/>
        <rFont val="Calibri"/>
        <family val="2"/>
      </rPr>
      <t>N2,N2O</t>
    </r>
    <r>
      <rPr>
        <sz val="11"/>
        <rFont val="Calibri"/>
        <family val="2"/>
      </rPr>
      <t>*Y</t>
    </r>
    <r>
      <rPr>
        <vertAlign val="subscript"/>
        <sz val="11"/>
        <rFont val="Calibri"/>
        <family val="2"/>
      </rPr>
      <t>OHO,VFA,anox</t>
    </r>
    <r>
      <rPr>
        <sz val="11"/>
        <rFont val="Calibri"/>
        <family val="2"/>
      </rPr>
      <t>)</t>
    </r>
  </si>
  <si>
    <r>
      <t>Half-saturation of readily biodegradable substrate for OHOs on NO</t>
    </r>
    <r>
      <rPr>
        <vertAlign val="subscript"/>
        <sz val="11"/>
        <rFont val="Calibri"/>
        <family val="2"/>
        <scheme val="minor"/>
      </rPr>
      <t>3</t>
    </r>
  </si>
  <si>
    <r>
      <t>Half-saturation of readily biodegradable substrate for OHOs on NO</t>
    </r>
    <r>
      <rPr>
        <vertAlign val="subscript"/>
        <sz val="11"/>
        <rFont val="Calibri"/>
        <family val="2"/>
        <scheme val="minor"/>
      </rPr>
      <t>2</t>
    </r>
  </si>
  <si>
    <t>Half-saturation of readily biodegradable substrate for OHOs on NO</t>
  </si>
  <si>
    <t>Half-saturation of readily biodegradable substrate for OHOs on N2O</t>
  </si>
  <si>
    <r>
      <t>K</t>
    </r>
    <r>
      <rPr>
        <vertAlign val="subscript"/>
        <sz val="11"/>
        <rFont val="Calibri"/>
        <family val="2"/>
        <scheme val="minor"/>
      </rPr>
      <t>SB,NO3</t>
    </r>
  </si>
  <si>
    <r>
      <t>K</t>
    </r>
    <r>
      <rPr>
        <vertAlign val="subscript"/>
        <sz val="11"/>
        <rFont val="Calibri"/>
        <family val="2"/>
        <scheme val="minor"/>
      </rPr>
      <t>SB,NO2</t>
    </r>
  </si>
  <si>
    <r>
      <t>K</t>
    </r>
    <r>
      <rPr>
        <vertAlign val="subscript"/>
        <sz val="11"/>
        <rFont val="Calibri"/>
        <family val="2"/>
        <scheme val="minor"/>
      </rPr>
      <t>SB,NO</t>
    </r>
  </si>
  <si>
    <r>
      <t>K</t>
    </r>
    <r>
      <rPr>
        <vertAlign val="subscript"/>
        <sz val="11"/>
        <rFont val="Calibri"/>
        <family val="2"/>
        <scheme val="minor"/>
      </rPr>
      <t>SB,N2O</t>
    </r>
  </si>
  <si>
    <r>
      <t>K</t>
    </r>
    <r>
      <rPr>
        <vertAlign val="subscript"/>
        <sz val="11"/>
        <rFont val="Calibri"/>
        <family val="2"/>
        <scheme val="minor"/>
      </rPr>
      <t>SB,NO3,AS</t>
    </r>
    <r>
      <rPr>
        <sz val="11"/>
        <rFont val="Calibri"/>
        <family val="2"/>
        <scheme val="minor"/>
      </rPr>
      <t>*f</t>
    </r>
    <r>
      <rPr>
        <vertAlign val="subscript"/>
        <sz val="11"/>
        <rFont val="Calibri"/>
        <family val="2"/>
        <scheme val="minor"/>
      </rPr>
      <t>KS</t>
    </r>
  </si>
  <si>
    <r>
      <t>K</t>
    </r>
    <r>
      <rPr>
        <vertAlign val="subscript"/>
        <sz val="11"/>
        <rFont val="Calibri"/>
        <family val="2"/>
        <scheme val="minor"/>
      </rPr>
      <t>SB,NO2,AS</t>
    </r>
    <r>
      <rPr>
        <sz val="11"/>
        <rFont val="Calibri"/>
        <family val="2"/>
        <scheme val="minor"/>
      </rPr>
      <t>*f</t>
    </r>
    <r>
      <rPr>
        <vertAlign val="subscript"/>
        <sz val="11"/>
        <rFont val="Calibri"/>
        <family val="2"/>
        <scheme val="minor"/>
      </rPr>
      <t>KS</t>
    </r>
  </si>
  <si>
    <r>
      <t>K</t>
    </r>
    <r>
      <rPr>
        <vertAlign val="subscript"/>
        <sz val="11"/>
        <rFont val="Calibri"/>
        <family val="2"/>
        <scheme val="minor"/>
      </rPr>
      <t>SB,NO,AS</t>
    </r>
    <r>
      <rPr>
        <sz val="11"/>
        <rFont val="Calibri"/>
        <family val="2"/>
        <scheme val="minor"/>
      </rPr>
      <t>*f</t>
    </r>
    <r>
      <rPr>
        <vertAlign val="subscript"/>
        <sz val="11"/>
        <rFont val="Calibri"/>
        <family val="2"/>
        <scheme val="minor"/>
      </rPr>
      <t>KS</t>
    </r>
  </si>
  <si>
    <r>
      <t>K</t>
    </r>
    <r>
      <rPr>
        <vertAlign val="subscript"/>
        <sz val="11"/>
        <rFont val="Calibri"/>
        <family val="2"/>
        <scheme val="minor"/>
      </rPr>
      <t>SB,N2O,AS</t>
    </r>
    <r>
      <rPr>
        <sz val="11"/>
        <rFont val="Calibri"/>
        <family val="2"/>
        <scheme val="minor"/>
      </rPr>
      <t>*f</t>
    </r>
    <r>
      <rPr>
        <vertAlign val="subscript"/>
        <sz val="11"/>
        <rFont val="Calibri"/>
        <family val="2"/>
        <scheme val="minor"/>
      </rPr>
      <t>KS</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</si>
  <si>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3</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</si>
  <si>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r>
      <rPr>
        <vertAlign val="subscript"/>
        <sz val="11"/>
        <color rgb="FF000000"/>
        <rFont val="Calibri"/>
        <family val="2"/>
        <scheme val="minor"/>
      </rPr>
      <t>2</t>
    </r>
  </si>
  <si>
    <r>
      <t>Half-saturation of O</t>
    </r>
    <r>
      <rPr>
        <vertAlign val="subscript"/>
        <sz val="11"/>
        <color rgb="FF000000"/>
        <rFont val="Calibri"/>
        <family val="2"/>
        <scheme val="minor"/>
      </rPr>
      <t>2</t>
    </r>
    <r>
      <rPr>
        <sz val="11"/>
        <color rgb="FF000000"/>
        <rFont val="Calibri"/>
        <family val="2"/>
        <charset val="238"/>
        <scheme val="minor"/>
      </rPr>
      <t xml:space="preserve"> for OHOs on NO</t>
    </r>
  </si>
  <si>
    <r>
      <t>Half-saturation of O</t>
    </r>
    <r>
      <rPr>
        <vertAlign val="subscript"/>
        <sz val="11"/>
        <color rgb="FF000000"/>
        <rFont val="Calibri"/>
        <family val="2"/>
        <scheme val="minor"/>
      </rPr>
      <t>2</t>
    </r>
    <r>
      <rPr>
        <sz val="11"/>
        <color rgb="FF000000"/>
        <rFont val="Calibri"/>
        <family val="2"/>
        <charset val="238"/>
        <scheme val="minor"/>
      </rPr>
      <t xml:space="preserve"> for OHOs on N2O</t>
    </r>
  </si>
  <si>
    <r>
      <t>K</t>
    </r>
    <r>
      <rPr>
        <vertAlign val="subscript"/>
        <sz val="11"/>
        <rFont val="Calibri"/>
        <family val="2"/>
        <scheme val="minor"/>
      </rPr>
      <t>O2,OHO,NO3</t>
    </r>
  </si>
  <si>
    <r>
      <t>K</t>
    </r>
    <r>
      <rPr>
        <vertAlign val="subscript"/>
        <sz val="11"/>
        <rFont val="Calibri"/>
        <family val="2"/>
        <scheme val="minor"/>
      </rPr>
      <t>O2,OHO,NO2</t>
    </r>
  </si>
  <si>
    <r>
      <t>K</t>
    </r>
    <r>
      <rPr>
        <vertAlign val="subscript"/>
        <sz val="11"/>
        <rFont val="Calibri"/>
        <family val="2"/>
        <scheme val="minor"/>
      </rPr>
      <t>O2,OHO,NO</t>
    </r>
  </si>
  <si>
    <r>
      <t>K</t>
    </r>
    <r>
      <rPr>
        <vertAlign val="subscript"/>
        <sz val="11"/>
        <rFont val="Calibri"/>
        <family val="2"/>
        <scheme val="minor"/>
      </rPr>
      <t>O2,OHO,N2O</t>
    </r>
  </si>
  <si>
    <r>
      <t>K</t>
    </r>
    <r>
      <rPr>
        <vertAlign val="subscript"/>
        <sz val="11"/>
        <rFont val="Calibri"/>
        <family val="2"/>
        <scheme val="minor"/>
      </rPr>
      <t>O2,OHO,NO3,AS</t>
    </r>
    <r>
      <rPr>
        <sz val="11"/>
        <rFont val="Calibri"/>
        <family val="2"/>
        <scheme val="minor"/>
      </rPr>
      <t>*f</t>
    </r>
    <r>
      <rPr>
        <vertAlign val="subscript"/>
        <sz val="11"/>
        <rFont val="Calibri"/>
        <family val="2"/>
        <scheme val="minor"/>
      </rPr>
      <t>KS</t>
    </r>
  </si>
  <si>
    <r>
      <t>K</t>
    </r>
    <r>
      <rPr>
        <vertAlign val="subscript"/>
        <sz val="11"/>
        <rFont val="Calibri"/>
        <family val="2"/>
        <scheme val="minor"/>
      </rPr>
      <t>O2,OHO,NO2,AS</t>
    </r>
    <r>
      <rPr>
        <sz val="11"/>
        <rFont val="Calibri"/>
        <family val="2"/>
        <scheme val="minor"/>
      </rPr>
      <t>*f</t>
    </r>
    <r>
      <rPr>
        <vertAlign val="subscript"/>
        <sz val="11"/>
        <rFont val="Calibri"/>
        <family val="2"/>
        <scheme val="minor"/>
      </rPr>
      <t>KS</t>
    </r>
  </si>
  <si>
    <r>
      <t>K</t>
    </r>
    <r>
      <rPr>
        <vertAlign val="subscript"/>
        <sz val="11"/>
        <rFont val="Calibri"/>
        <family val="2"/>
        <scheme val="minor"/>
      </rPr>
      <t>O2,OHO,NO,AS</t>
    </r>
    <r>
      <rPr>
        <sz val="11"/>
        <rFont val="Calibri"/>
        <family val="2"/>
        <scheme val="minor"/>
      </rPr>
      <t>*f</t>
    </r>
    <r>
      <rPr>
        <vertAlign val="subscript"/>
        <sz val="11"/>
        <rFont val="Calibri"/>
        <family val="2"/>
        <scheme val="minor"/>
      </rPr>
      <t>KS</t>
    </r>
  </si>
  <si>
    <r>
      <t>K</t>
    </r>
    <r>
      <rPr>
        <vertAlign val="subscript"/>
        <sz val="11"/>
        <rFont val="Calibri"/>
        <family val="2"/>
        <scheme val="minor"/>
      </rPr>
      <t>O2,OHO,N2O,AS</t>
    </r>
    <r>
      <rPr>
        <sz val="11"/>
        <rFont val="Calibri"/>
        <family val="2"/>
        <scheme val="minor"/>
      </rPr>
      <t>*f</t>
    </r>
    <r>
      <rPr>
        <vertAlign val="subscript"/>
        <sz val="11"/>
        <rFont val="Calibri"/>
        <family val="2"/>
        <scheme val="minor"/>
      </rPr>
      <t>KS</t>
    </r>
  </si>
  <si>
    <r>
      <t>Half-saturation of NO</t>
    </r>
    <r>
      <rPr>
        <sz val="11"/>
        <color rgb="FF000000"/>
        <rFont val="Calibri"/>
        <family val="2"/>
        <charset val="238"/>
        <scheme val="minor"/>
      </rPr>
      <t xml:space="preserve"> for OHOs</t>
    </r>
  </si>
  <si>
    <r>
      <t>Half-saturation of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for OHOs</t>
    </r>
  </si>
  <si>
    <r>
      <t>Half-inhibition of NO</t>
    </r>
    <r>
      <rPr>
        <sz val="11"/>
        <color rgb="FF000000"/>
        <rFont val="Calibri"/>
        <family val="2"/>
        <charset val="238"/>
        <scheme val="minor"/>
      </rPr>
      <t xml:space="preserve"> for OHOs denitrification of NO</t>
    </r>
    <r>
      <rPr>
        <vertAlign val="subscript"/>
        <sz val="11"/>
        <color rgb="FF000000"/>
        <rFont val="Calibri"/>
        <family val="2"/>
        <scheme val="minor"/>
      </rPr>
      <t>2</t>
    </r>
  </si>
  <si>
    <r>
      <t>Half-inhibition of NO</t>
    </r>
    <r>
      <rPr>
        <sz val="11"/>
        <color rgb="FF000000"/>
        <rFont val="Calibri"/>
        <family val="2"/>
        <charset val="238"/>
        <scheme val="minor"/>
      </rPr>
      <t xml:space="preserve"> for OHOs denitrification of NO</t>
    </r>
  </si>
  <si>
    <r>
      <t>Half-inhibition of NO</t>
    </r>
    <r>
      <rPr>
        <sz val="11"/>
        <color rgb="FF000000"/>
        <rFont val="Calibri"/>
        <family val="2"/>
        <charset val="238"/>
        <scheme val="minor"/>
      </rPr>
      <t xml:space="preserve"> for OHOs denitrification of N</t>
    </r>
    <r>
      <rPr>
        <vertAlign val="subscript"/>
        <sz val="11"/>
        <color rgb="FF000000"/>
        <rFont val="Calibri"/>
        <family val="2"/>
        <scheme val="minor"/>
      </rPr>
      <t>2</t>
    </r>
    <r>
      <rPr>
        <sz val="11"/>
        <color rgb="FF000000"/>
        <rFont val="Calibri"/>
        <family val="2"/>
        <charset val="238"/>
        <scheme val="minor"/>
      </rPr>
      <t>O</t>
    </r>
  </si>
  <si>
    <r>
      <t>K</t>
    </r>
    <r>
      <rPr>
        <vertAlign val="subscript"/>
        <sz val="11"/>
        <rFont val="Calibri"/>
        <family val="2"/>
        <scheme val="minor"/>
      </rPr>
      <t>NO2,OHO</t>
    </r>
  </si>
  <si>
    <r>
      <t>K</t>
    </r>
    <r>
      <rPr>
        <vertAlign val="subscript"/>
        <sz val="11"/>
        <rFont val="Calibri"/>
        <family val="2"/>
        <scheme val="minor"/>
      </rPr>
      <t>NO,OHO</t>
    </r>
  </si>
  <si>
    <r>
      <t>K</t>
    </r>
    <r>
      <rPr>
        <vertAlign val="subscript"/>
        <sz val="11"/>
        <rFont val="Calibri"/>
        <family val="2"/>
        <scheme val="minor"/>
      </rPr>
      <t>N2O,OHO</t>
    </r>
  </si>
  <si>
    <r>
      <t>Ki</t>
    </r>
    <r>
      <rPr>
        <vertAlign val="subscript"/>
        <sz val="11"/>
        <rFont val="Calibri"/>
        <family val="2"/>
        <scheme val="minor"/>
      </rPr>
      <t>NO,OHO,NO2</t>
    </r>
  </si>
  <si>
    <r>
      <t>Ki</t>
    </r>
    <r>
      <rPr>
        <vertAlign val="subscript"/>
        <sz val="11"/>
        <rFont val="Calibri"/>
        <family val="2"/>
        <scheme val="minor"/>
      </rPr>
      <t>NO,OHO,NO</t>
    </r>
  </si>
  <si>
    <r>
      <t>Ki</t>
    </r>
    <r>
      <rPr>
        <vertAlign val="subscript"/>
        <sz val="11"/>
        <rFont val="Calibri"/>
        <family val="2"/>
        <scheme val="minor"/>
      </rPr>
      <t>NO,OHO,N2O</t>
    </r>
  </si>
  <si>
    <r>
      <t>K</t>
    </r>
    <r>
      <rPr>
        <vertAlign val="subscript"/>
        <sz val="11"/>
        <rFont val="Calibri"/>
        <family val="2"/>
        <scheme val="minor"/>
      </rPr>
      <t>NO2,OHO,AS</t>
    </r>
    <r>
      <rPr>
        <sz val="11"/>
        <rFont val="Calibri"/>
        <family val="2"/>
        <scheme val="minor"/>
      </rPr>
      <t>*f</t>
    </r>
    <r>
      <rPr>
        <vertAlign val="subscript"/>
        <sz val="11"/>
        <rFont val="Calibri"/>
        <family val="2"/>
        <scheme val="minor"/>
      </rPr>
      <t>KS</t>
    </r>
  </si>
  <si>
    <r>
      <t>K</t>
    </r>
    <r>
      <rPr>
        <vertAlign val="subscript"/>
        <sz val="11"/>
        <rFont val="Calibri"/>
        <family val="2"/>
        <scheme val="minor"/>
      </rPr>
      <t>NO,OHO,AS</t>
    </r>
    <r>
      <rPr>
        <sz val="11"/>
        <rFont val="Calibri"/>
        <family val="2"/>
        <scheme val="minor"/>
      </rPr>
      <t>*f</t>
    </r>
    <r>
      <rPr>
        <vertAlign val="subscript"/>
        <sz val="11"/>
        <rFont val="Calibri"/>
        <family val="2"/>
        <scheme val="minor"/>
      </rPr>
      <t>KS</t>
    </r>
  </si>
  <si>
    <r>
      <t>K</t>
    </r>
    <r>
      <rPr>
        <vertAlign val="subscript"/>
        <sz val="11"/>
        <rFont val="Calibri"/>
        <family val="2"/>
        <scheme val="minor"/>
      </rPr>
      <t>N2O,OHO,AS</t>
    </r>
    <r>
      <rPr>
        <sz val="11"/>
        <rFont val="Calibri"/>
        <family val="2"/>
        <scheme val="minor"/>
      </rPr>
      <t>*f</t>
    </r>
    <r>
      <rPr>
        <vertAlign val="subscript"/>
        <sz val="11"/>
        <rFont val="Calibri"/>
        <family val="2"/>
        <scheme val="minor"/>
      </rPr>
      <t>KS</t>
    </r>
  </si>
  <si>
    <r>
      <t>Ki</t>
    </r>
    <r>
      <rPr>
        <vertAlign val="subscript"/>
        <sz val="11"/>
        <rFont val="Calibri"/>
        <family val="2"/>
        <scheme val="minor"/>
      </rPr>
      <t>NO,OHO,NO2,AS</t>
    </r>
    <r>
      <rPr>
        <sz val="11"/>
        <rFont val="Calibri"/>
        <family val="2"/>
        <scheme val="minor"/>
      </rPr>
      <t>*f</t>
    </r>
    <r>
      <rPr>
        <vertAlign val="subscript"/>
        <sz val="11"/>
        <rFont val="Calibri"/>
        <family val="2"/>
        <scheme val="minor"/>
      </rPr>
      <t>KS</t>
    </r>
  </si>
  <si>
    <r>
      <t>Ki</t>
    </r>
    <r>
      <rPr>
        <vertAlign val="subscript"/>
        <sz val="11"/>
        <rFont val="Calibri"/>
        <family val="2"/>
        <scheme val="minor"/>
      </rPr>
      <t>NO,OHO,NO,AS</t>
    </r>
    <r>
      <rPr>
        <sz val="11"/>
        <rFont val="Calibri"/>
        <family val="2"/>
        <scheme val="minor"/>
      </rPr>
      <t>*f</t>
    </r>
    <r>
      <rPr>
        <vertAlign val="subscript"/>
        <sz val="11"/>
        <rFont val="Calibri"/>
        <family val="2"/>
        <scheme val="minor"/>
      </rPr>
      <t>KS</t>
    </r>
  </si>
  <si>
    <r>
      <t>Ki</t>
    </r>
    <r>
      <rPr>
        <vertAlign val="subscript"/>
        <sz val="11"/>
        <rFont val="Calibri"/>
        <family val="2"/>
        <scheme val="minor"/>
      </rPr>
      <t>NO,OHO,N2O,AS</t>
    </r>
    <r>
      <rPr>
        <sz val="11"/>
        <rFont val="Calibri"/>
        <family val="2"/>
        <scheme val="minor"/>
      </rPr>
      <t>*f</t>
    </r>
    <r>
      <rPr>
        <vertAlign val="subscript"/>
        <sz val="11"/>
        <rFont val="Calibri"/>
        <family val="2"/>
        <scheme val="minor"/>
      </rPr>
      <t>KS</t>
    </r>
  </si>
  <si>
    <r>
      <t>Msat</t>
    </r>
    <r>
      <rPr>
        <vertAlign val="subscript"/>
        <sz val="11"/>
        <rFont val="Calibri"/>
        <family val="2"/>
        <scheme val="minor"/>
      </rPr>
      <t>SB,KSB,NO3</t>
    </r>
  </si>
  <si>
    <r>
      <t>Saturation term for readily biodegradable substrate on NO</t>
    </r>
    <r>
      <rPr>
        <vertAlign val="subscript"/>
        <sz val="11"/>
        <rFont val="Calibri"/>
        <family val="2"/>
        <scheme val="minor"/>
      </rPr>
      <t>3</t>
    </r>
    <r>
      <rPr>
        <sz val="11"/>
        <rFont val="Calibri"/>
        <family val="2"/>
        <scheme val="minor"/>
      </rPr>
      <t xml:space="preserve">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</si>
  <si>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SB,NO3</t>
    </r>
    <r>
      <rPr>
        <sz val="11"/>
        <rFont val="Calibri"/>
        <family val="2"/>
        <scheme val="minor"/>
      </rPr>
      <t>)</t>
    </r>
  </si>
  <si>
    <r>
      <t>Msat</t>
    </r>
    <r>
      <rPr>
        <vertAlign val="subscript"/>
        <sz val="11"/>
        <rFont val="Calibri"/>
        <family val="2"/>
        <scheme val="minor"/>
      </rPr>
      <t>SB,KSB,NO2</t>
    </r>
  </si>
  <si>
    <r>
      <t>Saturation term for readily biodegradable substrate on NO</t>
    </r>
    <r>
      <rPr>
        <vertAlign val="subscript"/>
        <sz val="11"/>
        <rFont val="Calibri"/>
        <family val="2"/>
        <scheme val="minor"/>
      </rPr>
      <t>2</t>
    </r>
    <r>
      <rPr>
        <sz val="11"/>
        <rFont val="Calibri"/>
        <family val="2"/>
        <scheme val="minor"/>
      </rPr>
      <t xml:space="preserve">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</si>
  <si>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SB,NO2</t>
    </r>
    <r>
      <rPr>
        <sz val="11"/>
        <rFont val="Calibri"/>
        <family val="2"/>
        <scheme val="minor"/>
      </rPr>
      <t>)</t>
    </r>
  </si>
  <si>
    <r>
      <t>Msat</t>
    </r>
    <r>
      <rPr>
        <vertAlign val="subscript"/>
        <sz val="11"/>
        <rFont val="Calibri"/>
        <family val="2"/>
        <scheme val="minor"/>
      </rPr>
      <t>SB,KSB,NO</t>
    </r>
  </si>
  <si>
    <t>Saturation term for readily biodegradable substrate on NO (OHO)</t>
  </si>
  <si>
    <r>
      <t>Msat(S</t>
    </r>
    <r>
      <rPr>
        <vertAlign val="subscript"/>
        <sz val="11"/>
        <rFont val="Calibri"/>
        <family val="2"/>
        <scheme val="minor"/>
      </rPr>
      <t>B</t>
    </r>
    <r>
      <rPr>
        <sz val="11"/>
        <rFont val="Calibri"/>
        <family val="2"/>
        <scheme val="minor"/>
      </rPr>
      <t>;K</t>
    </r>
    <r>
      <rPr>
        <vertAlign val="subscript"/>
        <sz val="11"/>
        <rFont val="Calibri"/>
        <family val="2"/>
        <scheme val="minor"/>
      </rPr>
      <t>SB,NO</t>
    </r>
    <r>
      <rPr>
        <sz val="11"/>
        <rFont val="Calibri"/>
        <family val="2"/>
        <scheme val="minor"/>
      </rPr>
      <t>)</t>
    </r>
  </si>
  <si>
    <r>
      <t>Msat</t>
    </r>
    <r>
      <rPr>
        <vertAlign val="subscript"/>
        <sz val="11"/>
        <rFont val="Calibri"/>
        <family val="2"/>
        <scheme val="minor"/>
      </rPr>
      <t>SB,KSB,N2O</t>
    </r>
  </si>
  <si>
    <r>
      <t>Saturation term for readily biodegradable substrate on N</t>
    </r>
    <r>
      <rPr>
        <vertAlign val="subscript"/>
        <sz val="11"/>
        <rFont val="Calibri"/>
        <family val="2"/>
        <scheme val="minor"/>
      </rPr>
      <t>2</t>
    </r>
    <r>
      <rPr>
        <sz val="11"/>
        <rFont val="Calibri"/>
        <family val="2"/>
        <scheme val="minor"/>
      </rPr>
      <t>O (OHO)</t>
    </r>
  </si>
  <si>
    <r>
      <t>Msat(S</t>
    </r>
    <r>
      <rPr>
        <vertAlign val="subscript"/>
        <sz val="11"/>
        <rFont val="Calibri"/>
        <family val="2"/>
        <scheme val="minor"/>
      </rPr>
      <t>B</t>
    </r>
    <r>
      <rPr>
        <sz val="11"/>
        <rFont val="Calibri"/>
        <family val="2"/>
        <scheme val="minor"/>
      </rPr>
      <t>;K</t>
    </r>
    <r>
      <rPr>
        <vertAlign val="subscript"/>
        <sz val="11"/>
        <rFont val="Calibri"/>
        <family val="2"/>
        <scheme val="minor"/>
      </rPr>
      <t>SB,N2O</t>
    </r>
    <r>
      <rPr>
        <sz val="11"/>
        <rFont val="Calibri"/>
        <family val="2"/>
        <scheme val="minor"/>
      </rPr>
      <t>)</t>
    </r>
  </si>
  <si>
    <r>
      <t>Saturation term for N</t>
    </r>
    <r>
      <rPr>
        <vertAlign val="subscript"/>
        <sz val="11"/>
        <rFont val="Calibri"/>
        <family val="2"/>
        <scheme val="minor"/>
      </rPr>
      <t>2</t>
    </r>
    <r>
      <rPr>
        <sz val="11"/>
        <rFont val="Calibri"/>
        <family val="2"/>
        <scheme val="minor"/>
      </rPr>
      <t>O</t>
    </r>
    <r>
      <rPr>
        <sz val="11"/>
        <color rgb="FF000000"/>
        <rFont val="Calibri"/>
        <family val="2"/>
        <charset val="238"/>
        <scheme val="minor"/>
      </rPr>
      <t xml:space="preserve"> (OHO)</t>
    </r>
  </si>
  <si>
    <r>
      <t>Msat(S</t>
    </r>
    <r>
      <rPr>
        <vertAlign val="subscript"/>
        <sz val="11"/>
        <rFont val="Calibri"/>
        <family val="2"/>
      </rPr>
      <t>N2O</t>
    </r>
    <r>
      <rPr>
        <sz val="11"/>
        <rFont val="Calibri"/>
        <family val="2"/>
      </rPr>
      <t>;K</t>
    </r>
    <r>
      <rPr>
        <vertAlign val="subscript"/>
        <sz val="11"/>
        <rFont val="Calibri"/>
        <family val="2"/>
      </rPr>
      <t>N2O,OHO</t>
    </r>
    <r>
      <rPr>
        <sz val="11"/>
        <rFont val="Calibri"/>
        <family val="2"/>
      </rPr>
      <t>)</t>
    </r>
  </si>
  <si>
    <r>
      <t>Hsat</t>
    </r>
    <r>
      <rPr>
        <vertAlign val="subscript"/>
        <sz val="11"/>
        <rFont val="Calibri"/>
        <family val="2"/>
      </rPr>
      <t>SNO,KNO,OHO</t>
    </r>
  </si>
  <si>
    <r>
      <t>Haldane term for NO</t>
    </r>
    <r>
      <rPr>
        <sz val="11"/>
        <color rgb="FF000000"/>
        <rFont val="Calibri"/>
        <family val="2"/>
        <charset val="238"/>
        <scheme val="minor"/>
      </rPr>
      <t xml:space="preserve"> (OHO)</t>
    </r>
  </si>
  <si>
    <r>
      <t>Minh</t>
    </r>
    <r>
      <rPr>
        <vertAlign val="subscript"/>
        <sz val="11"/>
        <rFont val="Calibri"/>
        <family val="2"/>
        <scheme val="minor"/>
      </rPr>
      <t>SNO,KiNO,OHO,NO2</t>
    </r>
  </si>
  <si>
    <r>
      <t>Inhibition term for NO</t>
    </r>
    <r>
      <rPr>
        <sz val="11"/>
        <color rgb="FF000000"/>
        <rFont val="Calibri"/>
        <family val="2"/>
        <charset val="238"/>
        <scheme val="minor"/>
      </rPr>
      <t xml:space="preserve"> for NO2 denit (OHO)</t>
    </r>
  </si>
  <si>
    <r>
      <t>Minh</t>
    </r>
    <r>
      <rPr>
        <vertAlign val="subscript"/>
        <sz val="11"/>
        <rFont val="Calibri"/>
        <family val="2"/>
        <scheme val="minor"/>
      </rPr>
      <t>SNO,KiNO,OHO,N2O</t>
    </r>
  </si>
  <si>
    <r>
      <t>Inhibition term for NO</t>
    </r>
    <r>
      <rPr>
        <sz val="11"/>
        <color rgb="FF000000"/>
        <rFont val="Calibri"/>
        <family val="2"/>
        <charset val="238"/>
        <scheme val="minor"/>
      </rPr>
      <t xml:space="preserve"> for N2O denit (OHO)</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</si>
  <si>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OHO,NO3</t>
    </r>
    <r>
      <rPr>
        <sz val="11"/>
        <rFont val="Calibri"/>
        <family val="2"/>
      </rPr>
      <t>*Msat</t>
    </r>
    <r>
      <rPr>
        <vertAlign val="subscript"/>
        <sz val="11"/>
        <rFont val="Calibri"/>
        <family val="2"/>
      </rPr>
      <t>SB,KSB,NO3</t>
    </r>
    <r>
      <rPr>
        <sz val="11"/>
        <rFont val="Calibri"/>
        <family val="2"/>
      </rPr>
      <t>*Minh</t>
    </r>
    <r>
      <rPr>
        <vertAlign val="subscript"/>
        <sz val="11"/>
        <rFont val="Calibri"/>
        <family val="2"/>
      </rPr>
      <t>SVFA,KVFA</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SO2,KO2,OHO,NO3</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</si>
  <si>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Minh</t>
    </r>
    <r>
      <rPr>
        <vertAlign val="subscript"/>
        <sz val="11"/>
        <rFont val="Calibri"/>
        <family val="2"/>
        <scheme val="minor"/>
      </rPr>
      <t>SO2,KO2,OHO,NO3</t>
    </r>
  </si>
  <si>
    <r>
      <t>Minh</t>
    </r>
    <r>
      <rPr>
        <vertAlign val="subscript"/>
        <sz val="11"/>
        <rFont val="Calibri"/>
        <family val="2"/>
        <scheme val="minor"/>
      </rPr>
      <t>SO2,KO2,OHO,NO2</t>
    </r>
  </si>
  <si>
    <r>
      <t>Minh</t>
    </r>
    <r>
      <rPr>
        <vertAlign val="subscript"/>
        <sz val="11"/>
        <rFont val="Calibri"/>
        <family val="2"/>
        <scheme val="minor"/>
      </rPr>
      <t>SO2,KO2,OHO,NO</t>
    </r>
  </si>
  <si>
    <r>
      <t>Minh</t>
    </r>
    <r>
      <rPr>
        <vertAlign val="subscript"/>
        <sz val="11"/>
        <rFont val="Calibri"/>
        <family val="2"/>
        <scheme val="minor"/>
      </rPr>
      <t>SO2,KO2,OHO,N2O</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</si>
  <si>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t>
    </r>
    <r>
      <rPr>
        <vertAlign val="subscript"/>
        <sz val="11"/>
        <rFont val="Calibri"/>
        <family val="2"/>
        <scheme val="minor"/>
      </rPr>
      <t>3</t>
    </r>
    <r>
      <rPr>
        <sz val="11"/>
        <rFont val="Calibri"/>
        <family val="2"/>
        <scheme val="minor"/>
      </rPr>
      <t xml:space="preserve">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</si>
  <si>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t>
    </r>
    <r>
      <rPr>
        <vertAlign val="subscript"/>
        <sz val="11"/>
        <rFont val="Calibri"/>
        <family val="2"/>
        <scheme val="minor"/>
      </rPr>
      <t>2</t>
    </r>
    <r>
      <rPr>
        <sz val="11"/>
        <rFont val="Calibri"/>
        <family val="2"/>
        <scheme val="minor"/>
      </rPr>
      <t xml:space="preserve">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</si>
  <si>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NO denit</t>
    </r>
  </si>
  <si>
    <r>
      <t>Inhibition term for O</t>
    </r>
    <r>
      <rPr>
        <vertAlign val="subscript"/>
        <sz val="11"/>
        <color rgb="FF000000"/>
        <rFont val="Calibri"/>
        <family val="2"/>
        <scheme val="minor"/>
      </rPr>
      <t>2</t>
    </r>
    <r>
      <rPr>
        <sz val="11"/>
        <color rgb="FF000000"/>
        <rFont val="Calibri"/>
        <family val="2"/>
        <charset val="238"/>
        <scheme val="minor"/>
      </rPr>
      <t xml:space="preserve"> (OHO)</t>
    </r>
    <r>
      <rPr>
        <sz val="11"/>
        <rFont val="Calibri"/>
        <family val="2"/>
        <scheme val="minor"/>
      </rPr>
      <t xml:space="preserve"> for N</t>
    </r>
    <r>
      <rPr>
        <vertAlign val="subscript"/>
        <sz val="11"/>
        <rFont val="Calibri"/>
        <family val="2"/>
        <scheme val="minor"/>
      </rPr>
      <t>2</t>
    </r>
    <r>
      <rPr>
        <sz val="11"/>
        <rFont val="Calibri"/>
        <family val="2"/>
        <scheme val="minor"/>
      </rPr>
      <t>O denit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</si>
  <si>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O2,OHO,NO3</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</si>
  <si>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O2,OHO,NO2</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</si>
  <si>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O2,OHO,NO</t>
    </r>
    <r>
      <rPr>
        <sz val="11"/>
        <rFont val="Calibri"/>
        <family val="2"/>
        <scheme val="minor"/>
      </rPr>
      <t>)</t>
    </r>
  </si>
  <si>
    <r>
      <t>Minh(S</t>
    </r>
    <r>
      <rPr>
        <vertAlign val="subscript"/>
        <sz val="11"/>
        <rFont val="Calibri"/>
        <family val="2"/>
        <scheme val="minor"/>
      </rPr>
      <t>O2</t>
    </r>
    <r>
      <rPr>
        <sz val="11"/>
        <rFont val="Calibri"/>
        <family val="2"/>
        <scheme val="minor"/>
      </rPr>
      <t>;K</t>
    </r>
    <r>
      <rPr>
        <vertAlign val="subscript"/>
        <sz val="11"/>
        <rFont val="Calibri"/>
        <family val="2"/>
        <scheme val="minor"/>
      </rPr>
      <t>O2,OHO,N2O</t>
    </r>
    <r>
      <rPr>
        <sz val="11"/>
        <rFont val="Calibri"/>
        <family val="2"/>
        <scheme val="minor"/>
      </rPr>
      <t>)</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</si>
  <si>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OHO,NO2</t>
    </r>
    <r>
      <rPr>
        <sz val="11"/>
        <rFont val="Calibri"/>
        <family val="2"/>
      </rPr>
      <t>*Msat</t>
    </r>
    <r>
      <rPr>
        <vertAlign val="subscript"/>
        <sz val="11"/>
        <rFont val="Calibri"/>
        <family val="2"/>
      </rPr>
      <t>SB,KSB,NO2</t>
    </r>
    <r>
      <rPr>
        <sz val="11"/>
        <rFont val="Calibri"/>
        <family val="2"/>
      </rPr>
      <t>*Minh</t>
    </r>
    <r>
      <rPr>
        <vertAlign val="subscript"/>
        <sz val="11"/>
        <rFont val="Calibri"/>
        <family val="2"/>
      </rPr>
      <t>SVFA,KVFA</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SO2,KO2,OHO,NO2</t>
    </r>
    <r>
      <rPr>
        <sz val="11"/>
        <rFont val="Calibri"/>
        <family val="2"/>
      </rPr>
      <t>*Minh</t>
    </r>
    <r>
      <rPr>
        <vertAlign val="subscript"/>
        <sz val="11"/>
        <rFont val="Calibri"/>
        <family val="2"/>
      </rPr>
      <t>SNO,KiNO,OHO,NO2</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</si>
  <si>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t>
    </r>
    <r>
      <rPr>
        <sz val="11"/>
        <rFont val="Calibri"/>
        <family val="2"/>
      </rPr>
      <t>*Msat</t>
    </r>
    <r>
      <rPr>
        <vertAlign val="subscript"/>
        <sz val="11"/>
        <rFont val="Calibri"/>
        <family val="2"/>
      </rPr>
      <t>SB,KSB,NO</t>
    </r>
    <r>
      <rPr>
        <sz val="11"/>
        <rFont val="Calibri"/>
        <family val="2"/>
      </rPr>
      <t>*Minh</t>
    </r>
    <r>
      <rPr>
        <vertAlign val="subscript"/>
        <sz val="11"/>
        <rFont val="Calibri"/>
        <family val="2"/>
      </rPr>
      <t>SVFA,KVFA</t>
    </r>
    <r>
      <rPr>
        <sz val="11"/>
        <rFont val="Calibri"/>
        <family val="2"/>
      </rPr>
      <t>*Hsat</t>
    </r>
    <r>
      <rPr>
        <vertAlign val="subscript"/>
        <sz val="11"/>
        <rFont val="Calibri"/>
        <family val="2"/>
      </rPr>
      <t>SNO,KNO,OHO</t>
    </r>
    <r>
      <rPr>
        <sz val="11"/>
        <rFont val="Calibri"/>
        <family val="2"/>
      </rPr>
      <t>*Minh</t>
    </r>
    <r>
      <rPr>
        <vertAlign val="subscript"/>
        <sz val="11"/>
        <rFont val="Calibri"/>
        <family val="2"/>
      </rPr>
      <t>SO2,KO2,OHO,NO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</si>
  <si>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OHO,N2O</t>
    </r>
    <r>
      <rPr>
        <sz val="11"/>
        <rFont val="Calibri"/>
        <family val="2"/>
      </rPr>
      <t>*Msat</t>
    </r>
    <r>
      <rPr>
        <vertAlign val="subscript"/>
        <sz val="11"/>
        <rFont val="Calibri"/>
        <family val="2"/>
      </rPr>
      <t>SB,KSB,N2O</t>
    </r>
    <r>
      <rPr>
        <sz val="11"/>
        <rFont val="Calibri"/>
        <family val="2"/>
      </rPr>
      <t>*Minh</t>
    </r>
    <r>
      <rPr>
        <vertAlign val="subscript"/>
        <sz val="11"/>
        <rFont val="Calibri"/>
        <family val="2"/>
      </rPr>
      <t>SVFA,KVFA</t>
    </r>
    <r>
      <rPr>
        <sz val="11"/>
        <rFont val="Calibri"/>
        <family val="2"/>
      </rPr>
      <t>*Msat</t>
    </r>
    <r>
      <rPr>
        <vertAlign val="subscript"/>
        <sz val="11"/>
        <rFont val="Calibri"/>
        <family val="2"/>
      </rPr>
      <t>SN2O,KN2O,OHO</t>
    </r>
    <r>
      <rPr>
        <sz val="11"/>
        <rFont val="Calibri"/>
        <family val="2"/>
      </rPr>
      <t>*Minh</t>
    </r>
    <r>
      <rPr>
        <vertAlign val="subscript"/>
        <sz val="11"/>
        <rFont val="Calibri"/>
        <family val="2"/>
      </rPr>
      <t>SO2,KO2,OHO,N2O</t>
    </r>
    <r>
      <rPr>
        <sz val="11"/>
        <rFont val="Calibri"/>
        <family val="2"/>
      </rPr>
      <t>*Minh</t>
    </r>
    <r>
      <rPr>
        <vertAlign val="subscript"/>
        <sz val="11"/>
        <rFont val="Calibri"/>
        <family val="2"/>
      </rPr>
      <t>SNO,KiNO,OHO,N2O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</si>
  <si>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t>inhibition terms for other denit. Intermediate removed</t>
  </si>
  <si>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OHO,NO3</t>
    </r>
    <r>
      <rPr>
        <sz val="11"/>
        <rFont val="Calibri"/>
        <family val="2"/>
      </rPr>
      <t>*Msat</t>
    </r>
    <r>
      <rPr>
        <vertAlign val="subscript"/>
        <sz val="11"/>
        <rFont val="Calibri"/>
        <family val="2"/>
      </rPr>
      <t>SVFA,KVFA,NO3</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SO2,KO2,OHO,NO3</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</si>
  <si>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OHO,NO2</t>
    </r>
    <r>
      <rPr>
        <sz val="11"/>
        <rFont val="Calibri"/>
        <family val="2"/>
      </rPr>
      <t>*Msat</t>
    </r>
    <r>
      <rPr>
        <vertAlign val="subscript"/>
        <sz val="11"/>
        <rFont val="Calibri"/>
        <family val="2"/>
      </rPr>
      <t>SVFA,KVFA,NO2</t>
    </r>
    <r>
      <rPr>
        <sz val="11"/>
        <rFont val="Calibri"/>
        <family val="2"/>
      </rPr>
      <t>*Msat</t>
    </r>
    <r>
      <rPr>
        <vertAlign val="subscript"/>
        <sz val="11"/>
        <rFont val="Calibri"/>
        <family val="2"/>
      </rPr>
      <t>SNO2,KNO2,OHO</t>
    </r>
    <r>
      <rPr>
        <sz val="11"/>
        <rFont val="Calibri"/>
        <family val="2"/>
      </rPr>
      <t>*Minh</t>
    </r>
    <r>
      <rPr>
        <vertAlign val="subscript"/>
        <sz val="11"/>
        <rFont val="Calibri"/>
        <family val="2"/>
      </rPr>
      <t>SO2,KO2,OHO,NO2</t>
    </r>
    <r>
      <rPr>
        <sz val="11"/>
        <rFont val="Calibri"/>
        <family val="2"/>
      </rPr>
      <t>*Minh</t>
    </r>
    <r>
      <rPr>
        <vertAlign val="subscript"/>
        <sz val="11"/>
        <rFont val="Calibri"/>
        <family val="2"/>
      </rPr>
      <t>SNO,KiNO,OHO,NO2</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</si>
  <si>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OHO,NO</t>
    </r>
    <r>
      <rPr>
        <sz val="11"/>
        <rFont val="Calibri"/>
        <family val="2"/>
      </rPr>
      <t>*Msat</t>
    </r>
    <r>
      <rPr>
        <vertAlign val="subscript"/>
        <sz val="11"/>
        <rFont val="Calibri"/>
        <family val="2"/>
      </rPr>
      <t>SVFA,KVFA,NO</t>
    </r>
    <r>
      <rPr>
        <sz val="11"/>
        <rFont val="Calibri"/>
        <family val="2"/>
      </rPr>
      <t>*Hsat</t>
    </r>
    <r>
      <rPr>
        <vertAlign val="subscript"/>
        <sz val="11"/>
        <rFont val="Calibri"/>
        <family val="2"/>
      </rPr>
      <t>SNO,KNO,OHO</t>
    </r>
    <r>
      <rPr>
        <sz val="11"/>
        <rFont val="Calibri"/>
        <family val="2"/>
      </rPr>
      <t>*Minh</t>
    </r>
    <r>
      <rPr>
        <vertAlign val="subscript"/>
        <sz val="11"/>
        <rFont val="Calibri"/>
        <family val="2"/>
      </rPr>
      <t>SO2,KO2,OHO,NO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</si>
  <si>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µ</t>
    </r>
    <r>
      <rPr>
        <vertAlign val="subscript"/>
        <sz val="11"/>
        <rFont val="Calibri"/>
        <family val="2"/>
      </rPr>
      <t>OHO,T</t>
    </r>
    <r>
      <rPr>
        <sz val="11"/>
        <rFont val="Calibri"/>
        <family val="2"/>
      </rPr>
      <t>*X</t>
    </r>
    <r>
      <rPr>
        <vertAlign val="subscript"/>
        <sz val="11"/>
        <rFont val="Calibri"/>
        <family val="2"/>
      </rPr>
      <t>OHO</t>
    </r>
    <r>
      <rPr>
        <sz val="11"/>
        <rFont val="Calibri"/>
        <family val="2"/>
      </rPr>
      <t>*η</t>
    </r>
    <r>
      <rPr>
        <vertAlign val="subscript"/>
        <sz val="11"/>
        <rFont val="Calibri"/>
        <family val="2"/>
      </rPr>
      <t>OHO,N2O</t>
    </r>
    <r>
      <rPr>
        <sz val="11"/>
        <rFont val="Calibri"/>
        <family val="2"/>
      </rPr>
      <t>*Msat</t>
    </r>
    <r>
      <rPr>
        <vertAlign val="subscript"/>
        <sz val="11"/>
        <rFont val="Calibri"/>
        <family val="2"/>
      </rPr>
      <t>SVFA,KVFA,N2O</t>
    </r>
    <r>
      <rPr>
        <sz val="11"/>
        <rFont val="Calibri"/>
        <family val="2"/>
      </rPr>
      <t>*Msat</t>
    </r>
    <r>
      <rPr>
        <vertAlign val="subscript"/>
        <sz val="11"/>
        <rFont val="Calibri"/>
        <family val="2"/>
      </rPr>
      <t>SN2O,KN2O,OHO</t>
    </r>
    <r>
      <rPr>
        <sz val="11"/>
        <rFont val="Calibri"/>
        <family val="2"/>
      </rPr>
      <t>*Minh</t>
    </r>
    <r>
      <rPr>
        <vertAlign val="subscript"/>
        <sz val="11"/>
        <rFont val="Calibri"/>
        <family val="2"/>
      </rPr>
      <t>SO2,KO2,OHO,N2O</t>
    </r>
    <r>
      <rPr>
        <sz val="11"/>
        <rFont val="Calibri"/>
        <family val="2"/>
      </rPr>
      <t>*Minh</t>
    </r>
    <r>
      <rPr>
        <vertAlign val="subscript"/>
        <sz val="11"/>
        <rFont val="Calibri"/>
        <family val="2"/>
      </rPr>
      <t>SNO,KiNO,OHO,N2O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t>
    </r>
  </si>
  <si>
    <r>
      <t>K</t>
    </r>
    <r>
      <rPr>
        <vertAlign val="subscript"/>
        <sz val="11"/>
        <rFont val="Calibri"/>
        <family val="2"/>
        <scheme val="minor"/>
      </rPr>
      <t>VFA,NO3,AS</t>
    </r>
  </si>
  <si>
    <r>
      <t>K</t>
    </r>
    <r>
      <rPr>
        <vertAlign val="subscript"/>
        <sz val="11"/>
        <rFont val="Calibri"/>
        <family val="2"/>
        <scheme val="minor"/>
      </rPr>
      <t>VFA,NO2,AS</t>
    </r>
  </si>
  <si>
    <r>
      <t>K</t>
    </r>
    <r>
      <rPr>
        <vertAlign val="subscript"/>
        <sz val="11"/>
        <rFont val="Calibri"/>
        <family val="2"/>
        <scheme val="minor"/>
      </rPr>
      <t>VFA,NO,AS</t>
    </r>
  </si>
  <si>
    <r>
      <t>K</t>
    </r>
    <r>
      <rPr>
        <vertAlign val="subscript"/>
        <sz val="11"/>
        <rFont val="Calibri"/>
        <family val="2"/>
        <scheme val="minor"/>
      </rPr>
      <t>VFA,N2O,AS</t>
    </r>
  </si>
  <si>
    <r>
      <t>Half-saturation of VFA for OHOs on NO</t>
    </r>
    <r>
      <rPr>
        <vertAlign val="subscript"/>
        <sz val="11"/>
        <rFont val="Calibri"/>
        <family val="2"/>
        <scheme val="minor"/>
      </rPr>
      <t>3</t>
    </r>
    <r>
      <rPr>
        <sz val="11"/>
        <rFont val="Calibri"/>
        <family val="2"/>
        <scheme val="minor"/>
      </rPr>
      <t xml:space="preserve"> (AS)</t>
    </r>
  </si>
  <si>
    <r>
      <t>Half-saturation of VFA for OHOs on NO</t>
    </r>
    <r>
      <rPr>
        <vertAlign val="subscript"/>
        <sz val="11"/>
        <rFont val="Calibri"/>
        <family val="2"/>
        <scheme val="minor"/>
      </rPr>
      <t>2</t>
    </r>
    <r>
      <rPr>
        <sz val="11"/>
        <rFont val="Calibri"/>
        <family val="2"/>
        <scheme val="minor"/>
      </rPr>
      <t xml:space="preserve"> (AS)</t>
    </r>
  </si>
  <si>
    <t>Half-saturation of VFA for OHOs on NO (AS)</t>
  </si>
  <si>
    <t>Half-saturation of VFA for OHOs on N2O (AS)</t>
  </si>
  <si>
    <r>
      <t>K</t>
    </r>
    <r>
      <rPr>
        <vertAlign val="subscript"/>
        <sz val="11"/>
        <rFont val="Calibri"/>
        <family val="2"/>
        <scheme val="minor"/>
      </rPr>
      <t>VFA,NO3</t>
    </r>
  </si>
  <si>
    <r>
      <t>K</t>
    </r>
    <r>
      <rPr>
        <vertAlign val="subscript"/>
        <sz val="11"/>
        <rFont val="Calibri"/>
        <family val="2"/>
        <scheme val="minor"/>
      </rPr>
      <t>VFA,NO2</t>
    </r>
  </si>
  <si>
    <r>
      <t>K</t>
    </r>
    <r>
      <rPr>
        <vertAlign val="subscript"/>
        <sz val="11"/>
        <rFont val="Calibri"/>
        <family val="2"/>
        <scheme val="minor"/>
      </rPr>
      <t>VFA,NO</t>
    </r>
  </si>
  <si>
    <r>
      <t>K</t>
    </r>
    <r>
      <rPr>
        <vertAlign val="subscript"/>
        <sz val="11"/>
        <rFont val="Calibri"/>
        <family val="2"/>
        <scheme val="minor"/>
      </rPr>
      <t>VFA,N2O</t>
    </r>
  </si>
  <si>
    <t>Half-saturation of VFA for OHOs on NO3</t>
  </si>
  <si>
    <t>Half-saturation of VFA for OHOs on NO2</t>
  </si>
  <si>
    <t>Half-saturation of VFA for OHOs on NO</t>
  </si>
  <si>
    <t>Half-saturation of VFA for OHOs on N2O</t>
  </si>
  <si>
    <r>
      <t>K</t>
    </r>
    <r>
      <rPr>
        <vertAlign val="subscript"/>
        <sz val="11"/>
        <rFont val="Calibri"/>
        <family val="2"/>
        <scheme val="minor"/>
      </rPr>
      <t>VFA,NO3,AS</t>
    </r>
    <r>
      <rPr>
        <sz val="11"/>
        <rFont val="Calibri"/>
        <family val="2"/>
        <scheme val="minor"/>
      </rPr>
      <t>*f</t>
    </r>
    <r>
      <rPr>
        <vertAlign val="subscript"/>
        <sz val="11"/>
        <rFont val="Calibri"/>
        <family val="2"/>
        <scheme val="minor"/>
      </rPr>
      <t>KS</t>
    </r>
  </si>
  <si>
    <r>
      <t>K</t>
    </r>
    <r>
      <rPr>
        <vertAlign val="subscript"/>
        <sz val="11"/>
        <rFont val="Calibri"/>
        <family val="2"/>
        <scheme val="minor"/>
      </rPr>
      <t>VFA,NO2,AS</t>
    </r>
    <r>
      <rPr>
        <sz val="11"/>
        <rFont val="Calibri"/>
        <family val="2"/>
        <scheme val="minor"/>
      </rPr>
      <t>*f</t>
    </r>
    <r>
      <rPr>
        <vertAlign val="subscript"/>
        <sz val="11"/>
        <rFont val="Calibri"/>
        <family val="2"/>
        <scheme val="minor"/>
      </rPr>
      <t>KS</t>
    </r>
  </si>
  <si>
    <r>
      <t>K</t>
    </r>
    <r>
      <rPr>
        <vertAlign val="subscript"/>
        <sz val="11"/>
        <rFont val="Calibri"/>
        <family val="2"/>
        <scheme val="minor"/>
      </rPr>
      <t>VFA,NO,AS</t>
    </r>
    <r>
      <rPr>
        <sz val="11"/>
        <rFont val="Calibri"/>
        <family val="2"/>
        <scheme val="minor"/>
      </rPr>
      <t>*f</t>
    </r>
    <r>
      <rPr>
        <vertAlign val="subscript"/>
        <sz val="11"/>
        <rFont val="Calibri"/>
        <family val="2"/>
        <scheme val="minor"/>
      </rPr>
      <t>KS</t>
    </r>
  </si>
  <si>
    <r>
      <t>K</t>
    </r>
    <r>
      <rPr>
        <vertAlign val="subscript"/>
        <sz val="11"/>
        <rFont val="Calibri"/>
        <family val="2"/>
        <scheme val="minor"/>
      </rPr>
      <t>VFA,N2O,AS</t>
    </r>
    <r>
      <rPr>
        <sz val="11"/>
        <rFont val="Calibri"/>
        <family val="2"/>
        <scheme val="minor"/>
      </rPr>
      <t>*f</t>
    </r>
    <r>
      <rPr>
        <vertAlign val="subscript"/>
        <sz val="11"/>
        <rFont val="Calibri"/>
        <family val="2"/>
        <scheme val="minor"/>
      </rPr>
      <t>KS</t>
    </r>
  </si>
  <si>
    <r>
      <t>Msat</t>
    </r>
    <r>
      <rPr>
        <vertAlign val="subscript"/>
        <sz val="11"/>
        <rFont val="Calibri"/>
        <family val="2"/>
        <scheme val="minor"/>
      </rPr>
      <t>SVFA,KVFA,NO3</t>
    </r>
  </si>
  <si>
    <r>
      <t>Msat</t>
    </r>
    <r>
      <rPr>
        <vertAlign val="subscript"/>
        <sz val="11"/>
        <rFont val="Calibri"/>
        <family val="2"/>
        <scheme val="minor"/>
      </rPr>
      <t>SVFA,KVFA,NO2</t>
    </r>
  </si>
  <si>
    <r>
      <t>Msat</t>
    </r>
    <r>
      <rPr>
        <vertAlign val="subscript"/>
        <sz val="11"/>
        <rFont val="Calibri"/>
        <family val="2"/>
        <scheme val="minor"/>
      </rPr>
      <t>SVFA,KVFA,NO</t>
    </r>
  </si>
  <si>
    <r>
      <t>Msat</t>
    </r>
    <r>
      <rPr>
        <vertAlign val="subscript"/>
        <sz val="11"/>
        <rFont val="Calibri"/>
        <family val="2"/>
        <scheme val="minor"/>
      </rPr>
      <t>SVFA,KVFA,N2O</t>
    </r>
  </si>
  <si>
    <t>Saturation term for VFA on NO3 (OHO)</t>
  </si>
  <si>
    <t>Saturation term for VFA on NO2 (OHO)</t>
  </si>
  <si>
    <t>Saturation term for VFA on NO (OHO)</t>
  </si>
  <si>
    <t>Saturation term for VFA on N2O (OHO)</t>
  </si>
  <si>
    <r>
      <t>Msat(S</t>
    </r>
    <r>
      <rPr>
        <vertAlign val="subscript"/>
        <sz val="11"/>
        <rFont val="Calibri"/>
        <family val="2"/>
        <scheme val="minor"/>
      </rPr>
      <t>VFA</t>
    </r>
    <r>
      <rPr>
        <sz val="11"/>
        <rFont val="Calibri"/>
        <family val="2"/>
        <scheme val="minor"/>
      </rPr>
      <t>;K</t>
    </r>
    <r>
      <rPr>
        <vertAlign val="subscript"/>
        <sz val="11"/>
        <rFont val="Calibri"/>
        <family val="2"/>
        <scheme val="minor"/>
      </rPr>
      <t>VFA,NO3</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</si>
  <si>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VFA,NO2</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</si>
  <si>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VFA,NO</t>
    </r>
    <r>
      <rPr>
        <sz val="11"/>
        <rFont val="Calibri"/>
        <family val="2"/>
        <scheme val="minor"/>
      </rPr>
      <t>)</t>
    </r>
  </si>
  <si>
    <r>
      <t>Msat(S</t>
    </r>
    <r>
      <rPr>
        <vertAlign val="subscript"/>
        <sz val="11"/>
        <rFont val="Calibri"/>
        <family val="2"/>
        <scheme val="minor"/>
      </rPr>
      <t>VFA</t>
    </r>
    <r>
      <rPr>
        <sz val="11"/>
        <rFont val="Calibri"/>
        <family val="2"/>
        <scheme val="minor"/>
      </rPr>
      <t>;K</t>
    </r>
    <r>
      <rPr>
        <vertAlign val="subscript"/>
        <sz val="11"/>
        <rFont val="Calibri"/>
        <family val="2"/>
        <scheme val="minor"/>
      </rPr>
      <t>VFA,N2O</t>
    </r>
    <r>
      <rPr>
        <sz val="11"/>
        <rFont val="Calibri"/>
        <family val="2"/>
        <scheme val="minor"/>
      </rPr>
      <t>)</t>
    </r>
  </si>
  <si>
    <t>r103</t>
  </si>
  <si>
    <t>r104</t>
  </si>
  <si>
    <t>r105</t>
  </si>
  <si>
    <t>r106</t>
  </si>
  <si>
    <r>
      <t>Msat</t>
    </r>
    <r>
      <rPr>
        <vertAlign val="subscript"/>
        <sz val="11"/>
        <rFont val="Calibri"/>
        <family val="2"/>
      </rPr>
      <t>SN2O,KN2O,OHO</t>
    </r>
  </si>
  <si>
    <t>Sumo4N_Pocquet_Hiatt&amp;Grady</t>
  </si>
  <si>
    <t>4-step nitrification</t>
  </si>
  <si>
    <t>COD removal including 4-step denitrification</t>
  </si>
  <si>
    <t>4-step denitrification</t>
  </si>
  <si>
    <t>Anoxic growth of OHOs from Hiatt&amp;Grady, 2008 only for OHO denit on SB and VFA</t>
  </si>
  <si>
    <t>From Pocquet et al. 2016</t>
  </si>
  <si>
    <t>AOB NH2OH oxidation to NO</t>
  </si>
  <si>
    <t>AOB NO oxidation to NO2</t>
  </si>
  <si>
    <r>
      <t>S</t>
    </r>
    <r>
      <rPr>
        <b/>
        <vertAlign val="subscript"/>
        <sz val="11"/>
        <rFont val="Calibri"/>
        <family val="2"/>
        <scheme val="minor"/>
      </rPr>
      <t>NH2OH</t>
    </r>
  </si>
  <si>
    <r>
      <t>-EEQ</t>
    </r>
    <r>
      <rPr>
        <vertAlign val="subscript"/>
        <sz val="11"/>
        <rFont val="Calibri"/>
        <family val="2"/>
        <scheme val="minor"/>
      </rPr>
      <t>NH2OH</t>
    </r>
  </si>
  <si>
    <r>
      <t>S</t>
    </r>
    <r>
      <rPr>
        <b/>
        <vertAlign val="subscript"/>
        <sz val="11"/>
        <rFont val="Calibri"/>
        <family val="2"/>
        <charset val="238"/>
        <scheme val="minor"/>
      </rPr>
      <t>NH2OH</t>
    </r>
  </si>
  <si>
    <r>
      <t>Hydroxylamine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t>
    </r>
  </si>
  <si>
    <r>
      <t>-1/Y</t>
    </r>
    <r>
      <rPr>
        <vertAlign val="subscript"/>
        <sz val="11"/>
        <rFont val="Calibri"/>
        <family val="2"/>
      </rPr>
      <t>AOB</t>
    </r>
  </si>
  <si>
    <r>
      <t>-EEQ</t>
    </r>
    <r>
      <rPr>
        <vertAlign val="subscript"/>
        <sz val="11"/>
        <rFont val="Calibri"/>
        <family val="2"/>
      </rPr>
      <t>NH2OH</t>
    </r>
  </si>
  <si>
    <r>
      <t>-(EEQ</t>
    </r>
    <r>
      <rPr>
        <vertAlign val="subscript"/>
        <sz val="11"/>
        <rFont val="Calibri"/>
        <family val="2"/>
      </rPr>
      <t>NH2OH,NO</t>
    </r>
    <r>
      <rPr>
        <sz val="11"/>
        <rFont val="Calibri"/>
        <family val="2"/>
      </rPr>
      <t>-Y</t>
    </r>
    <r>
      <rPr>
        <vertAlign val="subscript"/>
        <sz val="11"/>
        <rFont val="Calibri"/>
        <family val="2"/>
      </rPr>
      <t>AOB</t>
    </r>
    <r>
      <rPr>
        <sz val="11"/>
        <rFont val="Calibri"/>
        <family val="2"/>
      </rPr>
      <t>)/Y</t>
    </r>
    <r>
      <rPr>
        <vertAlign val="subscript"/>
        <sz val="11"/>
        <rFont val="Calibri"/>
        <family val="2"/>
      </rPr>
      <t>AOB</t>
    </r>
  </si>
  <si>
    <r>
      <t>-EEQ</t>
    </r>
    <r>
      <rPr>
        <vertAlign val="subscript"/>
        <sz val="11"/>
        <rFont val="Calibri"/>
        <family val="2"/>
      </rPr>
      <t>NO,NO2</t>
    </r>
  </si>
  <si>
    <t>4-step AOB nitrification</t>
  </si>
  <si>
    <t>0.78 d-1 in Pocquet et al., 2016</t>
  </si>
  <si>
    <t>same in Sumo2 and Pocquet et al., 2016</t>
  </si>
  <si>
    <r>
      <t>K</t>
    </r>
    <r>
      <rPr>
        <vertAlign val="subscript"/>
        <sz val="11"/>
        <color indexed="8"/>
        <rFont val="Calibri"/>
        <family val="2"/>
        <scheme val="minor"/>
      </rPr>
      <t>NH2OH,AOB,AS</t>
    </r>
  </si>
  <si>
    <r>
      <t>Half-saturation of NH</t>
    </r>
    <r>
      <rPr>
        <vertAlign val="subscript"/>
        <sz val="11"/>
        <color rgb="FF000000"/>
        <rFont val="Calibri"/>
        <family val="2"/>
        <scheme val="minor"/>
      </rPr>
      <t>2</t>
    </r>
    <r>
      <rPr>
        <sz val="11"/>
        <color rgb="FF000000"/>
        <rFont val="Calibri"/>
        <family val="2"/>
        <charset val="238"/>
        <scheme val="minor"/>
      </rPr>
      <t>OH for AOBs (AS)</t>
    </r>
  </si>
  <si>
    <r>
      <t>K</t>
    </r>
    <r>
      <rPr>
        <vertAlign val="subscript"/>
        <sz val="11"/>
        <rFont val="Calibri"/>
        <family val="2"/>
        <scheme val="minor"/>
      </rPr>
      <t>NO,NO2,AOB,AS</t>
    </r>
  </si>
  <si>
    <r>
      <t>K</t>
    </r>
    <r>
      <rPr>
        <vertAlign val="subscript"/>
        <sz val="11"/>
        <rFont val="Calibri"/>
        <family val="2"/>
        <scheme val="minor"/>
      </rPr>
      <t>NO,N2O,AOB,AS</t>
    </r>
  </si>
  <si>
    <r>
      <t>Ki</t>
    </r>
    <r>
      <rPr>
        <vertAlign val="subscript"/>
        <sz val="11"/>
        <rFont val="Calibri"/>
        <family val="2"/>
        <scheme val="minor"/>
      </rPr>
      <t>O2,AOB,AS</t>
    </r>
  </si>
  <si>
    <t>Half-inhibition of O2 for N2O production by AOBs</t>
  </si>
  <si>
    <t>doubled compared to AS</t>
  </si>
  <si>
    <t>AOB NHx oxidation to NH2OH</t>
  </si>
  <si>
    <r>
      <t>EEQ</t>
    </r>
    <r>
      <rPr>
        <vertAlign val="subscript"/>
        <sz val="11"/>
        <rFont val="Calibri"/>
        <family val="2"/>
      </rPr>
      <t>NH2OH</t>
    </r>
  </si>
  <si>
    <t>Electron equivalence of NH2OH</t>
  </si>
  <si>
    <r>
      <t>EEQ</t>
    </r>
    <r>
      <rPr>
        <vertAlign val="subscript"/>
        <sz val="11"/>
        <rFont val="Calibri"/>
        <family val="2"/>
      </rPr>
      <t>NH2OH,NO</t>
    </r>
  </si>
  <si>
    <t>Electron equivalence of NH2OH to NO</t>
  </si>
  <si>
    <r>
      <t>Half-saturation of O</t>
    </r>
    <r>
      <rPr>
        <vertAlign val="subscript"/>
        <sz val="11"/>
        <color rgb="FF000000"/>
        <rFont val="Calibri"/>
        <family val="2"/>
        <scheme val="minor"/>
      </rPr>
      <t>2</t>
    </r>
    <r>
      <rPr>
        <sz val="11"/>
        <color rgb="FF000000"/>
        <rFont val="Calibri"/>
        <family val="2"/>
        <charset val="238"/>
        <scheme val="minor"/>
      </rPr>
      <t xml:space="preserve"> for NHx oxydation by AOBs</t>
    </r>
  </si>
  <si>
    <r>
      <t>Half-saturation of O</t>
    </r>
    <r>
      <rPr>
        <vertAlign val="subscript"/>
        <sz val="11"/>
        <color rgb="FF000000"/>
        <rFont val="Calibri"/>
        <family val="2"/>
        <scheme val="minor"/>
      </rPr>
      <t>2</t>
    </r>
    <r>
      <rPr>
        <sz val="11"/>
        <color rgb="FF000000"/>
        <rFont val="Calibri"/>
        <family val="2"/>
        <charset val="238"/>
        <scheme val="minor"/>
      </rPr>
      <t xml:space="preserve"> for NH2OH oxydation by AOBs</t>
    </r>
  </si>
  <si>
    <r>
      <t>Half-saturation of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 xml:space="preserve"> for AOBs</t>
    </r>
  </si>
  <si>
    <r>
      <t>K</t>
    </r>
    <r>
      <rPr>
        <vertAlign val="subscript"/>
        <sz val="11"/>
        <rFont val="Calibri"/>
        <family val="2"/>
        <scheme val="minor"/>
      </rPr>
      <t>NH2OH,AOB</t>
    </r>
  </si>
  <si>
    <r>
      <t>K</t>
    </r>
    <r>
      <rPr>
        <vertAlign val="subscript"/>
        <sz val="11"/>
        <rFont val="Calibri"/>
        <family val="2"/>
      </rPr>
      <t>NH2OH,AOB,AS</t>
    </r>
  </si>
  <si>
    <r>
      <t>K</t>
    </r>
    <r>
      <rPr>
        <vertAlign val="subscript"/>
        <sz val="11"/>
        <rFont val="Calibri"/>
        <family val="2"/>
      </rPr>
      <t>NH2OH,AOB,AS</t>
    </r>
    <r>
      <rPr>
        <sz val="11"/>
        <rFont val="Calibri"/>
        <family val="2"/>
      </rPr>
      <t>*f</t>
    </r>
    <r>
      <rPr>
        <vertAlign val="subscript"/>
        <sz val="11"/>
        <rFont val="Calibri"/>
        <family val="2"/>
      </rPr>
      <t>KS</t>
    </r>
  </si>
  <si>
    <r>
      <t>Half-saturation of NO to NO2</t>
    </r>
    <r>
      <rPr>
        <sz val="11"/>
        <color rgb="FF000000"/>
        <rFont val="Calibri"/>
        <family val="2"/>
        <charset val="238"/>
        <scheme val="minor"/>
      </rPr>
      <t xml:space="preserve"> for AOBs</t>
    </r>
  </si>
  <si>
    <r>
      <t>Half-saturation of NO to N2O</t>
    </r>
    <r>
      <rPr>
        <sz val="11"/>
        <color rgb="FF000000"/>
        <rFont val="Calibri"/>
        <family val="2"/>
        <charset val="238"/>
        <scheme val="minor"/>
      </rPr>
      <t xml:space="preserve"> for AOBs</t>
    </r>
  </si>
  <si>
    <r>
      <t>K</t>
    </r>
    <r>
      <rPr>
        <vertAlign val="subscript"/>
        <sz val="11"/>
        <rFont val="Calibri"/>
        <family val="2"/>
        <scheme val="minor"/>
      </rPr>
      <t>NO,NO2,AOB,AS</t>
    </r>
    <r>
      <rPr>
        <sz val="11"/>
        <rFont val="Calibri"/>
        <family val="2"/>
      </rPr>
      <t>*f</t>
    </r>
    <r>
      <rPr>
        <vertAlign val="subscript"/>
        <sz val="11"/>
        <rFont val="Calibri"/>
        <family val="2"/>
      </rPr>
      <t>KS</t>
    </r>
  </si>
  <si>
    <r>
      <t>K</t>
    </r>
    <r>
      <rPr>
        <vertAlign val="subscript"/>
        <sz val="11"/>
        <rFont val="Calibri"/>
        <family val="2"/>
        <scheme val="minor"/>
      </rPr>
      <t>NO,N2O,AOB,AS</t>
    </r>
    <r>
      <rPr>
        <sz val="11"/>
        <rFont val="Calibri"/>
        <family val="2"/>
      </rPr>
      <t>*f</t>
    </r>
    <r>
      <rPr>
        <vertAlign val="subscript"/>
        <sz val="11"/>
        <rFont val="Calibri"/>
        <family val="2"/>
      </rPr>
      <t>KS</t>
    </r>
  </si>
  <si>
    <r>
      <t>Ki</t>
    </r>
    <r>
      <rPr>
        <vertAlign val="subscript"/>
        <sz val="11"/>
        <rFont val="Calibri"/>
        <family val="2"/>
        <scheme val="minor"/>
      </rPr>
      <t>O2,AOB,AS</t>
    </r>
    <r>
      <rPr>
        <sz val="11"/>
        <rFont val="Calibri"/>
        <family val="2"/>
      </rPr>
      <t>*f</t>
    </r>
    <r>
      <rPr>
        <vertAlign val="subscript"/>
        <sz val="11"/>
        <rFont val="Calibri"/>
        <family val="2"/>
      </rPr>
      <t>KS</t>
    </r>
  </si>
  <si>
    <r>
      <t>K</t>
    </r>
    <r>
      <rPr>
        <vertAlign val="subscript"/>
        <sz val="11"/>
        <rFont val="Calibri"/>
        <family val="2"/>
        <scheme val="minor"/>
      </rPr>
      <t>NO,NO2,AOB</t>
    </r>
  </si>
  <si>
    <r>
      <t>K</t>
    </r>
    <r>
      <rPr>
        <vertAlign val="subscript"/>
        <sz val="11"/>
        <rFont val="Calibri"/>
        <family val="2"/>
        <scheme val="minor"/>
      </rPr>
      <t>NO,N2O,AOB</t>
    </r>
  </si>
  <si>
    <r>
      <t>Ki</t>
    </r>
    <r>
      <rPr>
        <vertAlign val="subscript"/>
        <sz val="11"/>
        <rFont val="Calibri"/>
        <family val="2"/>
        <scheme val="minor"/>
      </rPr>
      <t>O2,AOB</t>
    </r>
  </si>
  <si>
    <r>
      <t>Msat</t>
    </r>
    <r>
      <rPr>
        <vertAlign val="subscript"/>
        <sz val="11"/>
        <rFont val="Calibri"/>
        <family val="2"/>
      </rPr>
      <t>SO2,KO2,NHx,AOB</t>
    </r>
  </si>
  <si>
    <r>
      <t>Saturation term for O</t>
    </r>
    <r>
      <rPr>
        <vertAlign val="subscript"/>
        <sz val="11"/>
        <color rgb="FF000000"/>
        <rFont val="Calibri"/>
        <family val="2"/>
        <scheme val="minor"/>
      </rPr>
      <t>2</t>
    </r>
    <r>
      <rPr>
        <sz val="11"/>
        <color rgb="FF000000"/>
        <rFont val="Calibri"/>
        <family val="2"/>
        <charset val="238"/>
        <scheme val="minor"/>
      </rPr>
      <t xml:space="preserve"> for NHx oxidation (AOB)</t>
    </r>
  </si>
  <si>
    <r>
      <t>Msat(S</t>
    </r>
    <r>
      <rPr>
        <vertAlign val="subscript"/>
        <sz val="11"/>
        <rFont val="Calibri"/>
        <family val="2"/>
      </rPr>
      <t>O2</t>
    </r>
    <r>
      <rPr>
        <sz val="11"/>
        <rFont val="Calibri"/>
        <family val="2"/>
      </rPr>
      <t>;K</t>
    </r>
    <r>
      <rPr>
        <vertAlign val="subscript"/>
        <sz val="11"/>
        <rFont val="Calibri"/>
        <family val="2"/>
      </rPr>
      <t>O2,NHx,AOB</t>
    </r>
    <r>
      <rPr>
        <sz val="11"/>
        <rFont val="Calibri"/>
        <family val="2"/>
      </rPr>
      <t>)</t>
    </r>
  </si>
  <si>
    <r>
      <t>Msat</t>
    </r>
    <r>
      <rPr>
        <vertAlign val="subscript"/>
        <sz val="11"/>
        <rFont val="Calibri"/>
        <family val="2"/>
      </rPr>
      <t>SO2,KO2,NH2OH,AOB</t>
    </r>
  </si>
  <si>
    <r>
      <t>Saturation term for O</t>
    </r>
    <r>
      <rPr>
        <vertAlign val="subscript"/>
        <sz val="11"/>
        <color rgb="FF000000"/>
        <rFont val="Calibri"/>
        <family val="2"/>
        <scheme val="minor"/>
      </rPr>
      <t>2</t>
    </r>
    <r>
      <rPr>
        <sz val="11"/>
        <color rgb="FF000000"/>
        <rFont val="Calibri"/>
        <family val="2"/>
        <charset val="238"/>
        <scheme val="minor"/>
      </rPr>
      <t xml:space="preserve"> for NH2OH oxidation (AOB)</t>
    </r>
  </si>
  <si>
    <r>
      <t>Msat(S</t>
    </r>
    <r>
      <rPr>
        <vertAlign val="subscript"/>
        <sz val="11"/>
        <rFont val="Calibri"/>
        <family val="2"/>
      </rPr>
      <t>O2</t>
    </r>
    <r>
      <rPr>
        <sz val="11"/>
        <rFont val="Calibri"/>
        <family val="2"/>
      </rPr>
      <t>;K</t>
    </r>
    <r>
      <rPr>
        <vertAlign val="subscript"/>
        <sz val="11"/>
        <rFont val="Calibri"/>
        <family val="2"/>
      </rPr>
      <t>O2,NH2OH,AOB</t>
    </r>
    <r>
      <rPr>
        <sz val="11"/>
        <rFont val="Calibri"/>
        <family val="2"/>
      </rPr>
      <t>)</t>
    </r>
  </si>
  <si>
    <r>
      <t>K</t>
    </r>
    <r>
      <rPr>
        <vertAlign val="subscript"/>
        <sz val="11"/>
        <color indexed="8"/>
        <rFont val="Calibri"/>
        <family val="2"/>
        <scheme val="minor"/>
      </rPr>
      <t>O2,NHx,AOB</t>
    </r>
  </si>
  <si>
    <r>
      <t>K</t>
    </r>
    <r>
      <rPr>
        <vertAlign val="subscript"/>
        <sz val="11"/>
        <color indexed="8"/>
        <rFont val="Calibri"/>
        <family val="2"/>
        <scheme val="minor"/>
      </rPr>
      <t>O2,NH2OH,AOB</t>
    </r>
  </si>
  <si>
    <r>
      <t>K</t>
    </r>
    <r>
      <rPr>
        <vertAlign val="subscript"/>
        <sz val="11"/>
        <color indexed="8"/>
        <rFont val="Calibri"/>
        <family val="2"/>
        <scheme val="minor"/>
      </rPr>
      <t>O2,NHx,AOB,sidestream</t>
    </r>
  </si>
  <si>
    <r>
      <t>K</t>
    </r>
    <r>
      <rPr>
        <vertAlign val="subscript"/>
        <sz val="11"/>
        <rFont val="Calibri"/>
        <family val="2"/>
      </rPr>
      <t>O2,NHx,AOB,AS</t>
    </r>
    <r>
      <rPr>
        <sz val="11"/>
        <rFont val="Calibri"/>
        <family val="2"/>
      </rPr>
      <t>*f</t>
    </r>
    <r>
      <rPr>
        <vertAlign val="subscript"/>
        <sz val="11"/>
        <rFont val="Calibri"/>
        <family val="2"/>
      </rPr>
      <t>KS</t>
    </r>
  </si>
  <si>
    <r>
      <t>K</t>
    </r>
    <r>
      <rPr>
        <vertAlign val="subscript"/>
        <sz val="11"/>
        <color indexed="8"/>
        <rFont val="Calibri"/>
        <family val="2"/>
        <scheme val="minor"/>
      </rPr>
      <t>O2,NH2OH,AOB,sidestream</t>
    </r>
  </si>
  <si>
    <r>
      <t>K</t>
    </r>
    <r>
      <rPr>
        <vertAlign val="subscript"/>
        <sz val="11"/>
        <rFont val="Calibri"/>
        <family val="2"/>
      </rPr>
      <t>O2,NH2OH,AOB,AS</t>
    </r>
    <r>
      <rPr>
        <sz val="11"/>
        <rFont val="Calibri"/>
        <family val="2"/>
      </rPr>
      <t>*f</t>
    </r>
    <r>
      <rPr>
        <vertAlign val="subscript"/>
        <sz val="11"/>
        <rFont val="Calibri"/>
        <family val="2"/>
      </rPr>
      <t>KS</t>
    </r>
  </si>
  <si>
    <r>
      <t>K</t>
    </r>
    <r>
      <rPr>
        <vertAlign val="subscript"/>
        <sz val="11"/>
        <color indexed="8"/>
        <rFont val="Calibri"/>
        <family val="2"/>
        <scheme val="minor"/>
      </rPr>
      <t>O2,NHx,AOB,AS</t>
    </r>
  </si>
  <si>
    <r>
      <t>K</t>
    </r>
    <r>
      <rPr>
        <vertAlign val="subscript"/>
        <sz val="11"/>
        <color indexed="8"/>
        <rFont val="Calibri"/>
        <family val="2"/>
        <scheme val="minor"/>
      </rPr>
      <t>O2,NH2OH,AOB,AS</t>
    </r>
  </si>
  <si>
    <r>
      <t>Msat</t>
    </r>
    <r>
      <rPr>
        <vertAlign val="subscript"/>
        <sz val="11"/>
        <rFont val="Calibri"/>
        <family val="2"/>
        <scheme val="minor"/>
      </rPr>
      <t>SNO,KNO,NO2,AOB</t>
    </r>
  </si>
  <si>
    <r>
      <t>Msat</t>
    </r>
    <r>
      <rPr>
        <vertAlign val="subscript"/>
        <sz val="11"/>
        <rFont val="Calibri"/>
        <family val="2"/>
        <scheme val="minor"/>
      </rPr>
      <t>SNO,KNO,N2O,AOB</t>
    </r>
  </si>
  <si>
    <r>
      <t>Minh</t>
    </r>
    <r>
      <rPr>
        <vertAlign val="subscript"/>
        <sz val="11"/>
        <rFont val="Calibri"/>
        <family val="2"/>
      </rPr>
      <t>SO2,KiO2,AOB</t>
    </r>
  </si>
  <si>
    <r>
      <t>Minh(S</t>
    </r>
    <r>
      <rPr>
        <vertAlign val="subscript"/>
        <sz val="11"/>
        <rFont val="Calibri"/>
        <family val="2"/>
      </rPr>
      <t>O2</t>
    </r>
    <r>
      <rPr>
        <sz val="11"/>
        <rFont val="Calibri"/>
        <family val="2"/>
      </rPr>
      <t>;Ki</t>
    </r>
    <r>
      <rPr>
        <vertAlign val="subscript"/>
        <sz val="11"/>
        <rFont val="Calibri"/>
        <family val="2"/>
      </rPr>
      <t>O2,AOB</t>
    </r>
    <r>
      <rPr>
        <sz val="11"/>
        <rFont val="Calibri"/>
        <family val="2"/>
      </rPr>
      <t>)</t>
    </r>
  </si>
  <si>
    <r>
      <t>Msat</t>
    </r>
    <r>
      <rPr>
        <vertAlign val="subscript"/>
        <sz val="11"/>
        <rFont val="Calibri"/>
        <family val="2"/>
      </rPr>
      <t>SNH2OH,KNH2OH,AOB</t>
    </r>
  </si>
  <si>
    <r>
      <t>Saturation term for NH</t>
    </r>
    <r>
      <rPr>
        <vertAlign val="subscript"/>
        <sz val="11"/>
        <color rgb="FF000000"/>
        <rFont val="Calibri"/>
        <family val="2"/>
        <scheme val="minor"/>
      </rPr>
      <t>2OH</t>
    </r>
    <r>
      <rPr>
        <sz val="11"/>
        <color rgb="FF000000"/>
        <rFont val="Calibri"/>
        <family val="2"/>
        <charset val="238"/>
        <scheme val="minor"/>
      </rPr>
      <t xml:space="preserve"> (AOB)</t>
    </r>
  </si>
  <si>
    <r>
      <t>Msat(S</t>
    </r>
    <r>
      <rPr>
        <vertAlign val="subscript"/>
        <sz val="11"/>
        <rFont val="Calibri"/>
        <family val="2"/>
      </rPr>
      <t>NH2OH</t>
    </r>
    <r>
      <rPr>
        <sz val="11"/>
        <rFont val="Calibri"/>
        <family val="2"/>
      </rPr>
      <t>;K</t>
    </r>
    <r>
      <rPr>
        <vertAlign val="subscript"/>
        <sz val="11"/>
        <rFont val="Calibri"/>
        <family val="2"/>
      </rPr>
      <t>NH2OH,AOB</t>
    </r>
    <r>
      <rPr>
        <sz val="11"/>
        <rFont val="Calibri"/>
        <family val="2"/>
      </rPr>
      <t>)</t>
    </r>
  </si>
  <si>
    <r>
      <t>K</t>
    </r>
    <r>
      <rPr>
        <vertAlign val="subscript"/>
        <sz val="11"/>
        <color indexed="8"/>
        <rFont val="Calibri"/>
        <family val="2"/>
        <scheme val="minor"/>
      </rPr>
      <t>O2,AOB,sidestream</t>
    </r>
  </si>
  <si>
    <r>
      <t>Half-saturation of O</t>
    </r>
    <r>
      <rPr>
        <vertAlign val="subscript"/>
        <sz val="11"/>
        <color rgb="FF000000"/>
        <rFont val="Calibri"/>
        <family val="2"/>
        <scheme val="minor"/>
      </rPr>
      <t>2</t>
    </r>
    <r>
      <rPr>
        <sz val="11"/>
        <color rgb="FF000000"/>
        <rFont val="Calibri"/>
        <family val="2"/>
        <charset val="238"/>
        <scheme val="minor"/>
      </rPr>
      <t xml:space="preserve"> for AOBs (Sidestream)</t>
    </r>
  </si>
  <si>
    <r>
      <t>K</t>
    </r>
    <r>
      <rPr>
        <vertAlign val="subscript"/>
        <sz val="11"/>
        <color indexed="8"/>
        <rFont val="Calibri"/>
        <family val="2"/>
        <scheme val="minor"/>
      </rPr>
      <t>O2,AOB,AS</t>
    </r>
  </si>
  <si>
    <r>
      <t>Half-saturation of O</t>
    </r>
    <r>
      <rPr>
        <vertAlign val="subscript"/>
        <sz val="11"/>
        <color rgb="FF000000"/>
        <rFont val="Calibri"/>
        <family val="2"/>
        <scheme val="minor"/>
      </rPr>
      <t>2</t>
    </r>
    <r>
      <rPr>
        <sz val="11"/>
        <color rgb="FF000000"/>
        <rFont val="Calibri"/>
        <family val="2"/>
        <charset val="238"/>
        <scheme val="minor"/>
      </rPr>
      <t xml:space="preserve"> for AOBs (AS)</t>
    </r>
  </si>
  <si>
    <t>unused</t>
  </si>
  <si>
    <t>is replaced with a simple Monod inhibition term. This results in a reduction in anoxie</t>
  </si>
  <si>
    <t xml:space="preserve"> with Hydroxylamine, what is observed by some authors (suggestion from Mathieu Sperandio)</t>
  </si>
  <si>
    <t>AOB NO reduction to N2O (NN pathway)</t>
  </si>
  <si>
    <t>AOB HNO2 reduction to N2O (ND pathway)</t>
  </si>
  <si>
    <t xml:space="preserve">   </t>
  </si>
  <si>
    <r>
      <t>K</t>
    </r>
    <r>
      <rPr>
        <vertAlign val="subscript"/>
        <sz val="11"/>
        <rFont val="Calibri"/>
        <family val="2"/>
        <scheme val="minor"/>
      </rPr>
      <t>HNO2,AOB,AS</t>
    </r>
  </si>
  <si>
    <r>
      <t>K</t>
    </r>
    <r>
      <rPr>
        <vertAlign val="subscript"/>
        <sz val="11"/>
        <rFont val="Calibri"/>
        <family val="2"/>
        <scheme val="minor"/>
      </rPr>
      <t>HNO2,AOB,AS</t>
    </r>
    <r>
      <rPr>
        <sz val="11"/>
        <rFont val="Calibri"/>
        <family val="2"/>
        <scheme val="minor"/>
      </rPr>
      <t>*f</t>
    </r>
    <r>
      <rPr>
        <vertAlign val="subscript"/>
        <sz val="11"/>
        <rFont val="Calibri"/>
        <family val="2"/>
        <scheme val="minor"/>
      </rPr>
      <t>KS</t>
    </r>
  </si>
  <si>
    <r>
      <t>K</t>
    </r>
    <r>
      <rPr>
        <vertAlign val="subscript"/>
        <sz val="11"/>
        <rFont val="Calibri"/>
        <family val="2"/>
        <scheme val="minor"/>
      </rPr>
      <t>HNO2,AOB</t>
    </r>
  </si>
  <si>
    <t>Half saturation coefficient for nitritous acid (AOB)</t>
  </si>
  <si>
    <r>
      <t>Half-saturation of HNO</t>
    </r>
    <r>
      <rPr>
        <vertAlign val="subscript"/>
        <sz val="11"/>
        <color rgb="FF000000"/>
        <rFont val="Calibri"/>
        <family val="2"/>
        <scheme val="minor"/>
      </rPr>
      <t>2</t>
    </r>
    <r>
      <rPr>
        <sz val="11"/>
        <color rgb="FF000000"/>
        <rFont val="Calibri"/>
        <family val="2"/>
        <charset val="238"/>
        <scheme val="minor"/>
      </rPr>
      <t xml:space="preserve"> for AOBs (AS)</t>
    </r>
  </si>
  <si>
    <r>
      <t>Msat(S</t>
    </r>
    <r>
      <rPr>
        <vertAlign val="subscript"/>
        <sz val="11"/>
        <rFont val="Calibri"/>
        <family val="2"/>
        <scheme val="minor"/>
      </rPr>
      <t>HNO2</t>
    </r>
    <r>
      <rPr>
        <sz val="11"/>
        <rFont val="Calibri"/>
        <family val="2"/>
        <scheme val="minor"/>
      </rPr>
      <t>;K</t>
    </r>
    <r>
      <rPr>
        <vertAlign val="subscript"/>
        <sz val="11"/>
        <rFont val="Calibri"/>
        <family val="2"/>
      </rPr>
      <t>HNO2,AOB</t>
    </r>
    <r>
      <rPr>
        <sz val="11"/>
        <rFont val="Calibri"/>
        <family val="2"/>
        <scheme val="minor"/>
      </rPr>
      <t>)</t>
    </r>
  </si>
  <si>
    <t>N2OPR</t>
  </si>
  <si>
    <t>N2OPR_NN</t>
  </si>
  <si>
    <t>N2O production rate (N2OPR)</t>
  </si>
  <si>
    <t>N2O production rate NN pathway (N2OPR_NN)</t>
  </si>
  <si>
    <t>N2OPR_ND</t>
  </si>
  <si>
    <t>N2O production rate ND pathway (N2OPR_ND)</t>
  </si>
  <si>
    <r>
      <t>K</t>
    </r>
    <r>
      <rPr>
        <vertAlign val="subscript"/>
        <sz val="11"/>
        <rFont val="Calibri"/>
        <family val="2"/>
        <scheme val="minor"/>
      </rPr>
      <t>NO2,T</t>
    </r>
    <r>
      <rPr>
        <sz val="11"/>
        <rFont val="Calibri"/>
        <family val="2"/>
        <scheme val="minor"/>
      </rPr>
      <t>/f</t>
    </r>
    <r>
      <rPr>
        <vertAlign val="subscript"/>
        <sz val="11"/>
        <rFont val="Calibri"/>
        <family val="2"/>
        <scheme val="minor"/>
      </rPr>
      <t>mono,field</t>
    </r>
    <r>
      <rPr>
        <sz val="11"/>
        <rFont val="Calibri"/>
        <family val="2"/>
        <scheme val="minor"/>
      </rPr>
      <t>^2</t>
    </r>
  </si>
  <si>
    <r>
      <t>g N.m</t>
    </r>
    <r>
      <rPr>
        <vertAlign val="superscript"/>
        <sz val="11"/>
        <rFont val="Calibri"/>
        <family val="2"/>
        <scheme val="minor"/>
      </rPr>
      <t>-3</t>
    </r>
    <r>
      <rPr>
        <sz val="11"/>
        <rFont val="Calibri"/>
        <family val="2"/>
        <scheme val="minor"/>
      </rPr>
      <t>.d</t>
    </r>
    <r>
      <rPr>
        <vertAlign val="superscript"/>
        <sz val="11"/>
        <rFont val="Calibri"/>
        <family val="2"/>
        <scheme val="minor"/>
      </rPr>
      <t>-1</t>
    </r>
    <r>
      <rPr>
        <sz val="11"/>
        <color theme="1"/>
        <rFont val="Calibri"/>
        <family val="2"/>
        <scheme val="minor"/>
      </rPr>
      <t/>
    </r>
  </si>
  <si>
    <t>0.01 g N.m-3 in Pocquet et al., 2016</t>
  </si>
  <si>
    <t>N2OPR_denit</t>
  </si>
  <si>
    <t>N2OPR_nit</t>
  </si>
  <si>
    <t>N2O production rate in denitrification (N2OPR_denit)</t>
  </si>
  <si>
    <t>N2O production rate in nitrification (N2OPR_nit)</t>
  </si>
  <si>
    <r>
      <t>Msat</t>
    </r>
    <r>
      <rPr>
        <vertAlign val="subscript"/>
        <sz val="11"/>
        <rFont val="Calibri"/>
        <family val="2"/>
        <scheme val="minor"/>
      </rPr>
      <t>SHNO2,KHNO2,AOB</t>
    </r>
  </si>
  <si>
    <r>
      <t>Msat</t>
    </r>
    <r>
      <rPr>
        <vertAlign val="subscript"/>
        <sz val="11"/>
        <rFont val="Calibri"/>
        <family val="2"/>
      </rPr>
      <t>SNHx,KNHx,NH2OH,AOB</t>
    </r>
  </si>
  <si>
    <r>
      <t>Saturation term for NH</t>
    </r>
    <r>
      <rPr>
        <vertAlign val="subscript"/>
        <sz val="11"/>
        <color rgb="FF000000"/>
        <rFont val="Calibri"/>
        <family val="2"/>
        <scheme val="minor"/>
      </rPr>
      <t>x</t>
    </r>
    <r>
      <rPr>
        <sz val="11"/>
        <color rgb="FF000000"/>
        <rFont val="Calibri"/>
        <family val="2"/>
        <charset val="238"/>
        <scheme val="minor"/>
      </rPr>
      <t xml:space="preserve"> to NH2OH (AOB)</t>
    </r>
  </si>
  <si>
    <r>
      <t>Msat(S</t>
    </r>
    <r>
      <rPr>
        <vertAlign val="subscript"/>
        <sz val="11"/>
        <rFont val="Calibri"/>
        <family val="2"/>
      </rPr>
      <t>NHx</t>
    </r>
    <r>
      <rPr>
        <sz val="11"/>
        <rFont val="Calibri"/>
        <family val="2"/>
      </rPr>
      <t>;K</t>
    </r>
    <r>
      <rPr>
        <vertAlign val="subscript"/>
        <sz val="11"/>
        <rFont val="Calibri"/>
        <family val="2"/>
      </rPr>
      <t>NHx,NH2OH,AOB</t>
    </r>
    <r>
      <rPr>
        <sz val="11"/>
        <rFont val="Calibri"/>
        <family val="2"/>
      </rPr>
      <t>)</t>
    </r>
  </si>
  <si>
    <r>
      <t>K</t>
    </r>
    <r>
      <rPr>
        <vertAlign val="subscript"/>
        <sz val="11"/>
        <rFont val="Calibri"/>
        <family val="2"/>
        <scheme val="minor"/>
      </rPr>
      <t>NHx,NH2OH,AOB</t>
    </r>
  </si>
  <si>
    <r>
      <t>Half-saturation of NH</t>
    </r>
    <r>
      <rPr>
        <vertAlign val="subscript"/>
        <sz val="11"/>
        <color rgb="FF000000"/>
        <rFont val="Calibri"/>
        <family val="2"/>
        <scheme val="minor"/>
      </rPr>
      <t>x</t>
    </r>
    <r>
      <rPr>
        <sz val="11"/>
        <color rgb="FF000000"/>
        <rFont val="Calibri"/>
        <family val="2"/>
        <charset val="238"/>
        <scheme val="minor"/>
      </rPr>
      <t xml:space="preserve"> to NH2OH for AOBs</t>
    </r>
  </si>
  <si>
    <r>
      <t>K</t>
    </r>
    <r>
      <rPr>
        <vertAlign val="subscript"/>
        <sz val="11"/>
        <rFont val="Calibri"/>
        <family val="2"/>
      </rPr>
      <t>NHx,NH2OH,AOB,AS</t>
    </r>
  </si>
  <si>
    <r>
      <t>K</t>
    </r>
    <r>
      <rPr>
        <vertAlign val="subscript"/>
        <sz val="11"/>
        <rFont val="Calibri"/>
        <family val="2"/>
      </rPr>
      <t>NHx,NH2OH,AOB,AS</t>
    </r>
    <r>
      <rPr>
        <sz val="11"/>
        <rFont val="Calibri"/>
        <family val="2"/>
      </rPr>
      <t>*f</t>
    </r>
    <r>
      <rPr>
        <vertAlign val="subscript"/>
        <sz val="11"/>
        <rFont val="Calibri"/>
        <family val="2"/>
      </rPr>
      <t>KS</t>
    </r>
  </si>
  <si>
    <r>
      <t>K</t>
    </r>
    <r>
      <rPr>
        <vertAlign val="subscript"/>
        <sz val="11"/>
        <color indexed="8"/>
        <rFont val="Calibri"/>
        <family val="2"/>
        <scheme val="minor"/>
      </rPr>
      <t>NHx,NH2OH,AOB,AS</t>
    </r>
  </si>
  <si>
    <r>
      <t>Half-saturation of NH</t>
    </r>
    <r>
      <rPr>
        <vertAlign val="subscript"/>
        <sz val="11"/>
        <color rgb="FF000000"/>
        <rFont val="Calibri"/>
        <family val="2"/>
        <scheme val="minor"/>
      </rPr>
      <t>x</t>
    </r>
    <r>
      <rPr>
        <sz val="11"/>
        <color rgb="FF000000"/>
        <rFont val="Calibri"/>
        <family val="2"/>
        <charset val="238"/>
        <scheme val="minor"/>
      </rPr>
      <t xml:space="preserve"> to NH2OH for AOBs (AS)</t>
    </r>
  </si>
  <si>
    <t>It has been replaced by a term on total ammonia for more stability of the model under normal pH range</t>
  </si>
  <si>
    <t>*Reduction factor for anoxic growth from Hiatt&amp;Grady, 2008</t>
  </si>
  <si>
    <t>*Half-saturation for substrates and O2 kept at Sumo2 values</t>
  </si>
  <si>
    <t>*Half saturation for NO3 and NO2 from Hiatt&amp;Grady2008</t>
  </si>
  <si>
    <t>*Same anoxic yield than in Hiatt&amp;Grady (0.54), although the aerobic yield in Sumo is higher than in Hiatt&amp;Grady (respectively 0.67 and 0.54)</t>
  </si>
  <si>
    <t>*In Sumo2 some inhibition terms on NO2 make sure that the denit reactions are occuring successively. These terms are not used in Hiatt&amp;Grady and have been removed.</t>
  </si>
  <si>
    <t>*Assimilative nitrate/nitrite reduction to ammonia coded differently in Sumo2 (and kept as is): NO3=&gt;NH4 and NO2=&gt;NH4 directly, biomasses are used as electron donors instead of substrate</t>
  </si>
  <si>
    <t>*Mixotrophic growth of NOB not implemented</t>
  </si>
  <si>
    <t xml:space="preserve">*in "AOB HNO2 reduction to N2O" process (ND pathway), the Haldane-type term on O2 </t>
  </si>
  <si>
    <t>*in "AOB NHx oxidation to NH2OH" process, the Monod term in the original model is on free ammonia</t>
  </si>
  <si>
    <t>*AOB decay kept as in Sumo2</t>
  </si>
  <si>
    <t>*NOB growth and decay kept as in Sumo2</t>
  </si>
  <si>
    <t>for GHG modelling</t>
  </si>
  <si>
    <r>
      <t>Half-saturation of NO to NO</t>
    </r>
    <r>
      <rPr>
        <vertAlign val="subscript"/>
        <sz val="11"/>
        <color indexed="8"/>
        <rFont val="Calibri"/>
        <family val="2"/>
        <charset val="238"/>
        <scheme val="minor"/>
      </rPr>
      <t>2</t>
    </r>
    <r>
      <rPr>
        <sz val="11"/>
        <color rgb="FF000000"/>
        <rFont val="Calibri"/>
        <family val="2"/>
        <charset val="238"/>
        <scheme val="minor"/>
      </rPr>
      <t xml:space="preserve"> for AOBs (AS)</t>
    </r>
  </si>
  <si>
    <r>
      <t>Half-saturation of NO to N</t>
    </r>
    <r>
      <rPr>
        <vertAlign val="subscript"/>
        <sz val="11"/>
        <color indexed="8"/>
        <rFont val="Calibri"/>
        <family val="2"/>
        <charset val="238"/>
        <scheme val="minor"/>
      </rPr>
      <t>2</t>
    </r>
    <r>
      <rPr>
        <sz val="11"/>
        <color indexed="8"/>
        <rFont val="Calibri"/>
        <family val="2"/>
        <scheme val="minor"/>
      </rPr>
      <t>O</t>
    </r>
    <r>
      <rPr>
        <sz val="11"/>
        <color rgb="FF000000"/>
        <rFont val="Calibri"/>
        <family val="2"/>
        <charset val="238"/>
        <scheme val="minor"/>
      </rPr>
      <t xml:space="preserve"> for AOBs (AS)</t>
    </r>
  </si>
  <si>
    <r>
      <t>Half-inhibition of O</t>
    </r>
    <r>
      <rPr>
        <vertAlign val="subscript"/>
        <sz val="11"/>
        <color indexed="8"/>
        <rFont val="Calibri"/>
        <family val="2"/>
        <charset val="238"/>
        <scheme val="minor"/>
      </rPr>
      <t>2</t>
    </r>
    <r>
      <rPr>
        <sz val="11"/>
        <color indexed="8"/>
        <rFont val="Calibri"/>
        <family val="2"/>
        <scheme val="minor"/>
      </rPr>
      <t xml:space="preserve"> for N</t>
    </r>
    <r>
      <rPr>
        <vertAlign val="subscript"/>
        <sz val="11"/>
        <color indexed="8"/>
        <rFont val="Calibri"/>
        <family val="2"/>
        <charset val="238"/>
        <scheme val="minor"/>
      </rPr>
      <t>2</t>
    </r>
    <r>
      <rPr>
        <sz val="11"/>
        <color indexed="8"/>
        <rFont val="Calibri"/>
        <family val="2"/>
        <scheme val="minor"/>
      </rPr>
      <t>O production by AOBs (AS)</t>
    </r>
  </si>
  <si>
    <r>
      <t>X</t>
    </r>
    <r>
      <rPr>
        <b/>
        <vertAlign val="subscript"/>
        <sz val="11"/>
        <rFont val="Calibri"/>
        <family val="2"/>
        <charset val="238"/>
        <scheme val="minor"/>
      </rPr>
      <t>CASTO</t>
    </r>
  </si>
  <si>
    <t>Carbon storing organisms (CASTO)</t>
  </si>
  <si>
    <t>Carbon storing organism kinetics (CASTO)</t>
  </si>
  <si>
    <r>
      <t>µ</t>
    </r>
    <r>
      <rPr>
        <vertAlign val="subscript"/>
        <sz val="11"/>
        <rFont val="Calibri"/>
        <family val="2"/>
        <scheme val="minor"/>
      </rPr>
      <t>CASTO</t>
    </r>
  </si>
  <si>
    <t>Maximum specific growth rate of CASTOs</t>
  </si>
  <si>
    <r>
      <t>q</t>
    </r>
    <r>
      <rPr>
        <vertAlign val="subscript"/>
        <sz val="11"/>
        <rFont val="Calibri"/>
        <family val="2"/>
        <scheme val="minor"/>
      </rPr>
      <t>PAO,PP</t>
    </r>
  </si>
  <si>
    <t>Maximum polyphosphate uptake rate of PAOs</t>
  </si>
  <si>
    <r>
      <t>b</t>
    </r>
    <r>
      <rPr>
        <vertAlign val="subscript"/>
        <sz val="11"/>
        <rFont val="Calibri"/>
        <family val="2"/>
        <scheme val="minor"/>
      </rPr>
      <t>CASTO</t>
    </r>
  </si>
  <si>
    <t>Decay rate of CASTOs</t>
  </si>
  <si>
    <t>previously 0.05 (0.15 for Lopez et al. 2006; Hao et al., 2010)</t>
  </si>
  <si>
    <r>
      <t>b</t>
    </r>
    <r>
      <rPr>
        <vertAlign val="subscript"/>
        <sz val="11"/>
        <rFont val="Calibri"/>
        <family val="2"/>
        <scheme val="minor"/>
      </rPr>
      <t>STC</t>
    </r>
  </si>
  <si>
    <r>
      <t>q</t>
    </r>
    <r>
      <rPr>
        <vertAlign val="subscript"/>
        <sz val="11"/>
        <rFont val="Calibri"/>
        <family val="2"/>
        <charset val="238"/>
        <scheme val="minor"/>
      </rPr>
      <t>PAO,PHA</t>
    </r>
  </si>
  <si>
    <r>
      <t>η</t>
    </r>
    <r>
      <rPr>
        <vertAlign val="subscript"/>
        <sz val="11"/>
        <rFont val="Calibri"/>
        <family val="2"/>
        <scheme val="minor"/>
      </rPr>
      <t>CASTO,anox</t>
    </r>
  </si>
  <si>
    <t>Reduction factor for anoxic growth of CASTOs</t>
  </si>
  <si>
    <r>
      <t>η</t>
    </r>
    <r>
      <rPr>
        <vertAlign val="subscript"/>
        <sz val="11"/>
        <rFont val="Calibri"/>
        <family val="2"/>
        <scheme val="minor"/>
      </rPr>
      <t>bCASTO,anox</t>
    </r>
  </si>
  <si>
    <t>Reduction factor for anoxic decay of CASTOs</t>
  </si>
  <si>
    <r>
      <t>η</t>
    </r>
    <r>
      <rPr>
        <vertAlign val="subscript"/>
        <sz val="11"/>
        <rFont val="Calibri"/>
        <family val="2"/>
        <scheme val="minor"/>
      </rPr>
      <t>bCASTO,ana</t>
    </r>
  </si>
  <si>
    <t>Reduction factor for anaerobic decay of CASTOs</t>
  </si>
  <si>
    <r>
      <t>η</t>
    </r>
    <r>
      <rPr>
        <vertAlign val="subscript"/>
        <sz val="11"/>
        <rFont val="Calibri"/>
        <family val="2"/>
        <scheme val="minor"/>
      </rPr>
      <t>bSTC,anox</t>
    </r>
  </si>
  <si>
    <r>
      <t>K</t>
    </r>
    <r>
      <rPr>
        <vertAlign val="subscript"/>
        <sz val="11"/>
        <rFont val="Calibri"/>
        <family val="2"/>
        <scheme val="minor"/>
      </rPr>
      <t>PHA,cle</t>
    </r>
  </si>
  <si>
    <t>Half-saturation of PHA for PAOs at PP cleavage</t>
  </si>
  <si>
    <r>
      <t>K</t>
    </r>
    <r>
      <rPr>
        <vertAlign val="subscript"/>
        <sz val="11"/>
        <rFont val="Calibri"/>
        <family val="2"/>
        <scheme val="minor"/>
      </rPr>
      <t>STC</t>
    </r>
  </si>
  <si>
    <r>
      <t>K</t>
    </r>
    <r>
      <rPr>
        <vertAlign val="subscript"/>
        <sz val="11"/>
        <rFont val="Calibri"/>
        <family val="2"/>
        <scheme val="minor"/>
      </rPr>
      <t>O2,CASTO,AS</t>
    </r>
  </si>
  <si>
    <r>
      <t>Half-saturation of 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</si>
  <si>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NO3,CASTO,AS</t>
    </r>
  </si>
  <si>
    <r>
      <t>Half-saturation of NO</t>
    </r>
    <r>
      <rPr>
        <vertAlign val="subscript"/>
        <sz val="11"/>
        <color rgb="FF000000"/>
        <rFont val="Calibri"/>
        <family val="2"/>
        <scheme val="minor"/>
      </rPr>
      <t>3</t>
    </r>
    <r>
      <rPr>
        <sz val="11"/>
        <color rgb="FF000000"/>
        <rFont val="Calibri"/>
        <family val="2"/>
        <charset val="238"/>
        <scheme val="minor"/>
      </rPr>
      <t xml:space="preserve"> for CASTOs (AS)</t>
    </r>
  </si>
  <si>
    <r>
      <t>K</t>
    </r>
    <r>
      <rPr>
        <vertAlign val="subscript"/>
        <sz val="11"/>
        <rFont val="Calibri"/>
        <family val="2"/>
        <scheme val="minor"/>
      </rPr>
      <t>NO2,CASTO,AS</t>
    </r>
  </si>
  <si>
    <r>
      <t>Half-saturation of NO</t>
    </r>
    <r>
      <rPr>
        <vertAlign val="subscript"/>
        <sz val="11"/>
        <color rgb="FF000000"/>
        <rFont val="Calibri"/>
        <family val="2"/>
        <scheme val="minor"/>
      </rPr>
      <t>2</t>
    </r>
    <r>
      <rPr>
        <sz val="11"/>
        <color rgb="FF000000"/>
        <rFont val="Calibri"/>
        <family val="2"/>
        <charset val="238"/>
        <scheme val="minor"/>
      </rPr>
      <t xml:space="preserve"> for CASTOs (AS)</t>
    </r>
  </si>
  <si>
    <r>
      <t>K</t>
    </r>
    <r>
      <rPr>
        <vertAlign val="subscript"/>
        <sz val="11"/>
        <rFont val="Calibri"/>
        <family val="2"/>
        <scheme val="minor"/>
      </rPr>
      <t>VFA,CASTO,AS</t>
    </r>
  </si>
  <si>
    <t>Half-saturation of VFA storage for CASTOs (AS)</t>
  </si>
  <si>
    <r>
      <t>g COD.g P</t>
    </r>
    <r>
      <rPr>
        <vertAlign val="superscript"/>
        <sz val="11"/>
        <rFont val="Calibri"/>
        <family val="2"/>
        <scheme val="minor"/>
      </rPr>
      <t>-1</t>
    </r>
  </si>
  <si>
    <r>
      <t>X</t>
    </r>
    <r>
      <rPr>
        <vertAlign val="subscript"/>
        <sz val="11"/>
        <rFont val="Calibri"/>
        <family val="2"/>
        <charset val="238"/>
        <scheme val="minor"/>
      </rPr>
      <t>PP,PAO,min</t>
    </r>
  </si>
  <si>
    <t>PAO PP uptake booster denominator limiting term</t>
  </si>
  <si>
    <r>
      <t>Logsat</t>
    </r>
    <r>
      <rPr>
        <vertAlign val="subscript"/>
        <sz val="11"/>
        <rFont val="Calibri"/>
        <family val="2"/>
        <scheme val="minor"/>
      </rPr>
      <t>ORP,GAO,Half,15</t>
    </r>
  </si>
  <si>
    <r>
      <t>Logsat</t>
    </r>
    <r>
      <rPr>
        <vertAlign val="subscript"/>
        <sz val="11"/>
        <rFont val="Calibri"/>
        <family val="2"/>
        <scheme val="minor"/>
      </rPr>
      <t>ORP,GAO,Half,25</t>
    </r>
  </si>
  <si>
    <r>
      <t>Logsat</t>
    </r>
    <r>
      <rPr>
        <vertAlign val="subscript"/>
        <sz val="11"/>
        <rFont val="Calibri"/>
        <family val="2"/>
        <scheme val="minor"/>
      </rPr>
      <t>ORP,GAO,Slope</t>
    </r>
  </si>
  <si>
    <r>
      <t>θ</t>
    </r>
    <r>
      <rPr>
        <vertAlign val="subscript"/>
        <sz val="11"/>
        <color indexed="8"/>
        <rFont val="Calibri"/>
        <family val="2"/>
        <scheme val="minor"/>
      </rPr>
      <t>b,CASTO</t>
    </r>
  </si>
  <si>
    <t>Arrhenius coefficient for CASTO decay</t>
  </si>
  <si>
    <r>
      <t>θ</t>
    </r>
    <r>
      <rPr>
        <vertAlign val="subscript"/>
        <sz val="11"/>
        <color indexed="8"/>
        <rFont val="Calibri"/>
        <family val="2"/>
        <scheme val="minor"/>
      </rPr>
      <t>b,STC</t>
    </r>
  </si>
  <si>
    <r>
      <t>Y</t>
    </r>
    <r>
      <rPr>
        <vertAlign val="subscript"/>
        <sz val="11"/>
        <rFont val="Calibri"/>
        <family val="2"/>
        <scheme val="minor"/>
      </rPr>
      <t>CASTO,SB,ana</t>
    </r>
  </si>
  <si>
    <t>Yield of CASTOs on readily biodegradable substrate under anaerobic conditions</t>
  </si>
  <si>
    <r>
      <t>Y</t>
    </r>
    <r>
      <rPr>
        <vertAlign val="subscript"/>
        <sz val="11"/>
        <rFont val="Calibri"/>
        <family val="2"/>
        <scheme val="minor"/>
      </rPr>
      <t>CASTO,H2,ana,high</t>
    </r>
  </si>
  <si>
    <t>Yield of H2 production in fermentation with high VFA concentration (CASTO)</t>
  </si>
  <si>
    <r>
      <t>Y</t>
    </r>
    <r>
      <rPr>
        <vertAlign val="subscript"/>
        <sz val="11"/>
        <rFont val="Calibri"/>
        <family val="2"/>
        <scheme val="minor"/>
      </rPr>
      <t>CASTO,H2,ana,low</t>
    </r>
  </si>
  <si>
    <t>Yield of H2 production in fermentation with low VFA concentration (CASTO)</t>
  </si>
  <si>
    <r>
      <t>Y</t>
    </r>
    <r>
      <rPr>
        <vertAlign val="subscript"/>
        <sz val="11"/>
        <rFont val="Calibri"/>
        <family val="2"/>
        <scheme val="minor"/>
      </rPr>
      <t>PP,CASTO,ox</t>
    </r>
  </si>
  <si>
    <t>Yield of CASTOs consumed per PP uptake under aerobic conditions</t>
  </si>
  <si>
    <r>
      <t>Y</t>
    </r>
    <r>
      <rPr>
        <vertAlign val="subscript"/>
        <sz val="11"/>
        <rFont val="Calibri"/>
        <family val="2"/>
        <scheme val="minor"/>
      </rPr>
      <t>PP,CASTO,anox</t>
    </r>
  </si>
  <si>
    <t>Yield of CASTOs consumed per PP uptake under anoxic conditions</t>
  </si>
  <si>
    <t>HAO stoichiometry</t>
  </si>
  <si>
    <r>
      <t>ASF</t>
    </r>
    <r>
      <rPr>
        <vertAlign val="subscript"/>
        <sz val="11"/>
        <rFont val="Calibri"/>
        <family val="2"/>
        <scheme val="minor"/>
      </rPr>
      <t>HAO,H</t>
    </r>
  </si>
  <si>
    <t>Active site factor for HAO,H</t>
  </si>
  <si>
    <r>
      <t>mol P.mol Al</t>
    </r>
    <r>
      <rPr>
        <vertAlign val="superscript"/>
        <sz val="11"/>
        <rFont val="Calibri"/>
        <family val="2"/>
        <scheme val="minor"/>
      </rPr>
      <t>-1</t>
    </r>
  </si>
  <si>
    <t>g P / g Me</t>
  </si>
  <si>
    <r>
      <t>ASF</t>
    </r>
    <r>
      <rPr>
        <vertAlign val="subscript"/>
        <sz val="11"/>
        <rFont val="Calibri"/>
        <family val="2"/>
        <scheme val="minor"/>
      </rPr>
      <t>HAO,L</t>
    </r>
  </si>
  <si>
    <t>Active site factor for HAO,L</t>
  </si>
  <si>
    <t>g MeOH / g Me</t>
  </si>
  <si>
    <r>
      <t>f</t>
    </r>
    <r>
      <rPr>
        <vertAlign val="subscript"/>
        <sz val="11"/>
        <rFont val="Calibri"/>
        <family val="2"/>
        <scheme val="minor"/>
      </rPr>
      <t>H2O,HAO,TSS</t>
    </r>
  </si>
  <si>
    <r>
      <t>Fraction of H</t>
    </r>
    <r>
      <rPr>
        <vertAlign val="subscript"/>
        <sz val="11"/>
        <color rgb="FF000000"/>
        <rFont val="Calibri"/>
        <family val="2"/>
        <scheme val="minor"/>
      </rPr>
      <t>2</t>
    </r>
    <r>
      <rPr>
        <sz val="11"/>
        <color rgb="FF000000"/>
        <rFont val="Calibri"/>
        <family val="2"/>
        <charset val="238"/>
        <scheme val="minor"/>
      </rPr>
      <t>O loss in TSS test for HAO</t>
    </r>
  </si>
  <si>
    <r>
      <t>g H2O.g AlOH3</t>
    </r>
    <r>
      <rPr>
        <vertAlign val="superscript"/>
        <sz val="11"/>
        <rFont val="Calibri"/>
        <family val="2"/>
        <scheme val="minor"/>
      </rPr>
      <t>-1</t>
    </r>
  </si>
  <si>
    <t>g MeP / g Me</t>
  </si>
  <si>
    <r>
      <t>f</t>
    </r>
    <r>
      <rPr>
        <vertAlign val="subscript"/>
        <sz val="11"/>
        <rFont val="Calibri"/>
        <family val="2"/>
        <scheme val="minor"/>
      </rPr>
      <t>H2O,HAO,VSS</t>
    </r>
  </si>
  <si>
    <t xml:space="preserve">Fraction of H2O loss in VSS test for HAO </t>
  </si>
  <si>
    <t>2Al(OH)3 -&gt; Al2O3 + 3H2O</t>
  </si>
  <si>
    <r>
      <t>q</t>
    </r>
    <r>
      <rPr>
        <vertAlign val="subscript"/>
        <sz val="11"/>
        <rFont val="Calibri"/>
        <family val="2"/>
        <scheme val="minor"/>
      </rPr>
      <t>ALPHA</t>
    </r>
  </si>
  <si>
    <r>
      <t>m</t>
    </r>
    <r>
      <rPr>
        <vertAlign val="superscript"/>
        <sz val="11"/>
        <rFont val="Calibri"/>
        <family val="2"/>
        <charset val="238"/>
        <scheme val="minor"/>
      </rPr>
      <t>3</t>
    </r>
    <r>
      <rPr>
        <sz val="11"/>
        <rFont val="Calibri"/>
        <family val="2"/>
        <scheme val="minor"/>
      </rPr>
      <t>.g</t>
    </r>
    <r>
      <rPr>
        <vertAlign val="superscript"/>
        <sz val="11"/>
        <rFont val="Calibri"/>
        <family val="2"/>
        <charset val="238"/>
        <scheme val="minor"/>
      </rPr>
      <t>-1</t>
    </r>
    <r>
      <rPr>
        <sz val="11"/>
        <rFont val="Calibri"/>
        <family val="2"/>
        <charset val="238"/>
        <scheme val="minor"/>
      </rPr>
      <t>.</t>
    </r>
    <r>
      <rPr>
        <sz val="11"/>
        <rFont val="Calibri"/>
        <family val="2"/>
        <scheme val="minor"/>
      </rPr>
      <t>d</t>
    </r>
    <r>
      <rPr>
        <vertAlign val="superscript"/>
        <sz val="11"/>
        <rFont val="Calibri"/>
        <family val="2"/>
        <scheme val="minor"/>
      </rPr>
      <t>-1</t>
    </r>
  </si>
  <si>
    <r>
      <t>S</t>
    </r>
    <r>
      <rPr>
        <vertAlign val="subscript"/>
        <sz val="11"/>
        <rFont val="Calibri"/>
        <family val="2"/>
        <charset val="238"/>
        <scheme val="minor"/>
      </rPr>
      <t>ALPHA,sat</t>
    </r>
  </si>
  <si>
    <r>
      <t>coeff</t>
    </r>
    <r>
      <rPr>
        <vertAlign val="subscript"/>
        <sz val="11"/>
        <rFont val="Calibri"/>
        <family val="2"/>
        <charset val="238"/>
        <scheme val="minor"/>
      </rPr>
      <t>damp,ALPHA</t>
    </r>
  </si>
  <si>
    <r>
      <t>pow</t>
    </r>
    <r>
      <rPr>
        <vertAlign val="subscript"/>
        <sz val="11"/>
        <rFont val="Calibri"/>
        <family val="2"/>
        <charset val="238"/>
        <scheme val="minor"/>
      </rPr>
      <t>damp,ALPHA</t>
    </r>
  </si>
  <si>
    <r>
      <t>sl</t>
    </r>
    <r>
      <rPr>
        <vertAlign val="subscript"/>
        <sz val="11"/>
        <rFont val="Calibri"/>
        <family val="2"/>
        <charset val="238"/>
        <scheme val="minor"/>
      </rPr>
      <t>TSS,</t>
    </r>
    <r>
      <rPr>
        <vertAlign val="subscript"/>
        <sz val="11"/>
        <rFont val="Calibri"/>
        <family val="2"/>
        <charset val="238"/>
      </rPr>
      <t>α</t>
    </r>
    <r>
      <rPr>
        <vertAlign val="subscript"/>
        <sz val="11"/>
        <rFont val="Calibri"/>
        <family val="2"/>
        <charset val="238"/>
        <scheme val="minor"/>
      </rPr>
      <t>,def</t>
    </r>
  </si>
  <si>
    <r>
      <t>sl</t>
    </r>
    <r>
      <rPr>
        <vertAlign val="subscript"/>
        <sz val="11"/>
        <rFont val="Calibri"/>
        <family val="2"/>
        <charset val="238"/>
        <scheme val="minor"/>
      </rPr>
      <t>TSS,α,coarse</t>
    </r>
  </si>
  <si>
    <r>
      <t>coeff</t>
    </r>
    <r>
      <rPr>
        <vertAlign val="subscript"/>
        <sz val="11"/>
        <rFont val="Calibri"/>
        <family val="2"/>
        <charset val="238"/>
        <scheme val="minor"/>
      </rPr>
      <t>lead,TSS,α,mech</t>
    </r>
  </si>
  <si>
    <r>
      <t>coeff</t>
    </r>
    <r>
      <rPr>
        <vertAlign val="subscript"/>
        <sz val="11"/>
        <rFont val="Calibri"/>
        <family val="2"/>
        <charset val="238"/>
        <scheme val="minor"/>
      </rPr>
      <t>lin,TSS,α,mech</t>
    </r>
  </si>
  <si>
    <r>
      <t>const</t>
    </r>
    <r>
      <rPr>
        <vertAlign val="subscript"/>
        <sz val="11"/>
        <color rgb="FF000000"/>
        <rFont val="Calibri"/>
        <family val="2"/>
        <charset val="238"/>
        <scheme val="minor"/>
      </rPr>
      <t>TSS,α,mech</t>
    </r>
  </si>
  <si>
    <t>TOC calculation coefficients</t>
  </si>
  <si>
    <r>
      <t>f</t>
    </r>
    <r>
      <rPr>
        <vertAlign val="subscript"/>
        <sz val="11"/>
        <rFont val="Calibri"/>
        <family val="2"/>
        <scheme val="minor"/>
      </rPr>
      <t>TOC,1</t>
    </r>
  </si>
  <si>
    <r>
      <t>g C.g COD</t>
    </r>
    <r>
      <rPr>
        <vertAlign val="superscript"/>
        <sz val="11"/>
        <rFont val="Calibri"/>
        <family val="2"/>
        <scheme val="minor"/>
      </rPr>
      <t>-1</t>
    </r>
  </si>
  <si>
    <r>
      <t>f</t>
    </r>
    <r>
      <rPr>
        <vertAlign val="subscript"/>
        <sz val="11"/>
        <rFont val="Calibri"/>
        <family val="2"/>
        <scheme val="minor"/>
      </rPr>
      <t>TOC,2</t>
    </r>
  </si>
  <si>
    <r>
      <t>g C.m</t>
    </r>
    <r>
      <rPr>
        <vertAlign val="superscript"/>
        <sz val="11"/>
        <rFont val="Calibri"/>
        <family val="2"/>
        <scheme val="minor"/>
      </rPr>
      <t>-3</t>
    </r>
  </si>
  <si>
    <t>Interstitial water content</t>
  </si>
  <si>
    <r>
      <t>i</t>
    </r>
    <r>
      <rPr>
        <vertAlign val="subscript"/>
        <sz val="11"/>
        <rFont val="Calibri"/>
        <family val="2"/>
        <scheme val="minor"/>
      </rPr>
      <t>iw,BIO</t>
    </r>
  </si>
  <si>
    <r>
      <t>g H2O.g VS</t>
    </r>
    <r>
      <rPr>
        <vertAlign val="superscript"/>
        <sz val="11"/>
        <rFont val="Calibri"/>
        <family val="2"/>
        <scheme val="minor"/>
      </rPr>
      <t>-1</t>
    </r>
  </si>
  <si>
    <t>Vicinal water content</t>
  </si>
  <si>
    <r>
      <t>i</t>
    </r>
    <r>
      <rPr>
        <vertAlign val="subscript"/>
        <sz val="11"/>
        <rFont val="Calibri"/>
        <family val="2"/>
        <scheme val="minor"/>
      </rPr>
      <t>vw,XB</t>
    </r>
  </si>
  <si>
    <t>Vicinal water of biodegradable substrate in volatile solids</t>
  </si>
  <si>
    <t>Assuming 5% of H2O is associated with vicinal water for these organics</t>
  </si>
  <si>
    <r>
      <t>i</t>
    </r>
    <r>
      <rPr>
        <vertAlign val="subscript"/>
        <sz val="11"/>
        <rFont val="Calibri"/>
        <family val="2"/>
        <scheme val="minor"/>
      </rPr>
      <t>vw,XU</t>
    </r>
  </si>
  <si>
    <t>Vicinal water of particulate unbiodegradable organics in volatile solids</t>
  </si>
  <si>
    <r>
      <t>i</t>
    </r>
    <r>
      <rPr>
        <vertAlign val="subscript"/>
        <sz val="11"/>
        <rFont val="Calibri"/>
        <family val="2"/>
        <scheme val="minor"/>
      </rPr>
      <t>vw,BIO</t>
    </r>
  </si>
  <si>
    <t>Vicinal water of biomass in volatile solids</t>
  </si>
  <si>
    <r>
      <t>i</t>
    </r>
    <r>
      <rPr>
        <vertAlign val="subscript"/>
        <sz val="11"/>
        <rFont val="Calibri"/>
        <family val="2"/>
        <scheme val="minor"/>
      </rPr>
      <t>vw,XE</t>
    </r>
  </si>
  <si>
    <t>Vicinal water of endogenous products in volatile solids</t>
  </si>
  <si>
    <r>
      <t>i</t>
    </r>
    <r>
      <rPr>
        <vertAlign val="subscript"/>
        <sz val="11"/>
        <rFont val="Calibri"/>
        <family val="2"/>
        <scheme val="minor"/>
      </rPr>
      <t>vw,CB</t>
    </r>
  </si>
  <si>
    <t>Vicinal water of colloidal biodegradable substrate in volatile solids</t>
  </si>
  <si>
    <r>
      <t>i</t>
    </r>
    <r>
      <rPr>
        <vertAlign val="subscript"/>
        <sz val="11"/>
        <rFont val="Calibri"/>
        <family val="2"/>
        <scheme val="minor"/>
      </rPr>
      <t>vw,CU</t>
    </r>
  </si>
  <si>
    <t>Vicinal water of colloidal unbiodegradable organics in volatile solids</t>
  </si>
  <si>
    <r>
      <t>i</t>
    </r>
    <r>
      <rPr>
        <vertAlign val="subscript"/>
        <sz val="11"/>
        <rFont val="Calibri"/>
        <family val="2"/>
        <scheme val="minor"/>
      </rPr>
      <t>vw,PHA</t>
    </r>
  </si>
  <si>
    <t>Vicinal water of PHA in volatile solids</t>
  </si>
  <si>
    <r>
      <t>i</t>
    </r>
    <r>
      <rPr>
        <vertAlign val="subscript"/>
        <sz val="11"/>
        <rFont val="Calibri"/>
        <family val="2"/>
        <scheme val="minor"/>
      </rPr>
      <t>vw,EPS</t>
    </r>
  </si>
  <si>
    <t>Vicinal water correction of EPS in volatile solids</t>
  </si>
  <si>
    <t>Water of Hydration content</t>
  </si>
  <si>
    <r>
      <t>i</t>
    </r>
    <r>
      <rPr>
        <vertAlign val="subscript"/>
        <sz val="11"/>
        <rFont val="Calibri"/>
        <family val="2"/>
        <scheme val="minor"/>
      </rPr>
      <t>wh,XB</t>
    </r>
  </si>
  <si>
    <t>Water of hydration of biodegradable substrate in volatile solids</t>
  </si>
  <si>
    <t>Assuming 10% of H2O is associated with water of hydration</t>
  </si>
  <si>
    <r>
      <t>i</t>
    </r>
    <r>
      <rPr>
        <vertAlign val="subscript"/>
        <sz val="11"/>
        <rFont val="Calibri"/>
        <family val="2"/>
        <scheme val="minor"/>
      </rPr>
      <t>wh,XU</t>
    </r>
  </si>
  <si>
    <t>Water of hydration of particulate unbiodegradable organics in volatile solids</t>
  </si>
  <si>
    <r>
      <t>i</t>
    </r>
    <r>
      <rPr>
        <vertAlign val="subscript"/>
        <sz val="11"/>
        <rFont val="Calibri"/>
        <family val="2"/>
        <scheme val="minor"/>
      </rPr>
      <t>wh,BIO</t>
    </r>
  </si>
  <si>
    <t>Water of hydration of biomass in volatile solids</t>
  </si>
  <si>
    <r>
      <t>i</t>
    </r>
    <r>
      <rPr>
        <vertAlign val="subscript"/>
        <sz val="11"/>
        <rFont val="Calibri"/>
        <family val="2"/>
        <scheme val="minor"/>
      </rPr>
      <t>wh,XE</t>
    </r>
  </si>
  <si>
    <t>Water of hydration of endogenous products in volatile solids</t>
  </si>
  <si>
    <r>
      <t>i</t>
    </r>
    <r>
      <rPr>
        <vertAlign val="subscript"/>
        <sz val="11"/>
        <rFont val="Calibri"/>
        <family val="2"/>
        <scheme val="minor"/>
      </rPr>
      <t>wh,PHA</t>
    </r>
  </si>
  <si>
    <t>Water of hydration of PHA in volatile solids</t>
  </si>
  <si>
    <t>Assuming 15% of H2O is associated with water of hydration</t>
  </si>
  <si>
    <r>
      <t>i</t>
    </r>
    <r>
      <rPr>
        <vertAlign val="subscript"/>
        <sz val="11"/>
        <rFont val="Calibri"/>
        <family val="2"/>
        <scheme val="minor"/>
      </rPr>
      <t>wh,EPS</t>
    </r>
  </si>
  <si>
    <t>Water of hydration correction of EPS in volatile solids</t>
  </si>
  <si>
    <t>Assuming 25% of H2O is associated with water of hydration</t>
  </si>
  <si>
    <r>
      <t>X</t>
    </r>
    <r>
      <rPr>
        <vertAlign val="subscript"/>
        <sz val="11"/>
        <rFont val="Calibri"/>
        <family val="2"/>
        <scheme val="minor"/>
      </rPr>
      <t>HAO,H</t>
    </r>
  </si>
  <si>
    <t>Active hydrous aluminium oxide, high surface (HAO,H)</t>
  </si>
  <si>
    <r>
      <t>g Al.m</t>
    </r>
    <r>
      <rPr>
        <vertAlign val="superscript"/>
        <sz val="11"/>
        <rFont val="Calibri"/>
        <family val="2"/>
      </rPr>
      <t>-3</t>
    </r>
  </si>
  <si>
    <r>
      <t>X</t>
    </r>
    <r>
      <rPr>
        <vertAlign val="subscript"/>
        <sz val="11"/>
        <rFont val="Calibri"/>
        <family val="2"/>
        <scheme val="minor"/>
      </rPr>
      <t>HAO,L</t>
    </r>
  </si>
  <si>
    <t>Active hydrous aluminium oxide, low surface (HAO,L)</t>
  </si>
  <si>
    <r>
      <t>X</t>
    </r>
    <r>
      <rPr>
        <vertAlign val="subscript"/>
        <sz val="11"/>
        <rFont val="Calibri"/>
        <family val="2"/>
        <scheme val="minor"/>
      </rPr>
      <t>HAO,old</t>
    </r>
  </si>
  <si>
    <t>Aged unused hydrous aluminium oxide (HAO,old)</t>
  </si>
  <si>
    <r>
      <t>X</t>
    </r>
    <r>
      <rPr>
        <vertAlign val="subscript"/>
        <sz val="11"/>
        <rFont val="Calibri"/>
        <family val="2"/>
        <scheme val="minor"/>
      </rPr>
      <t>HAO,H,P</t>
    </r>
  </si>
  <si>
    <t>P-bound hydrous aluminium oxide, high surface (HAO,H,P)</t>
  </si>
  <si>
    <r>
      <t>X</t>
    </r>
    <r>
      <rPr>
        <vertAlign val="subscript"/>
        <sz val="11"/>
        <rFont val="Calibri"/>
        <family val="2"/>
        <scheme val="minor"/>
      </rPr>
      <t>HAO,L,P</t>
    </r>
  </si>
  <si>
    <t>P-bound hydrous aluminium oxide, low surface (HAO,L,P)</t>
  </si>
  <si>
    <r>
      <t>X</t>
    </r>
    <r>
      <rPr>
        <vertAlign val="subscript"/>
        <sz val="11"/>
        <rFont val="Calibri"/>
        <family val="2"/>
      </rPr>
      <t>HAO,H,P,old</t>
    </r>
  </si>
  <si>
    <t>Aged P-bound hydrous aluminium oxide, high surface (HAO,H,P,old)</t>
  </si>
  <si>
    <r>
      <t>X</t>
    </r>
    <r>
      <rPr>
        <vertAlign val="subscript"/>
        <sz val="11"/>
        <rFont val="Calibri"/>
        <family val="2"/>
      </rPr>
      <t>HAO,L,P,old</t>
    </r>
  </si>
  <si>
    <t>Aged P-bound hydrous aluminium oxide, low surface (HAO,L,P,old)</t>
  </si>
  <si>
    <r>
      <t>X</t>
    </r>
    <r>
      <rPr>
        <b/>
        <vertAlign val="subscript"/>
        <sz val="11"/>
        <rFont val="Calibri"/>
        <family val="2"/>
        <scheme val="minor"/>
      </rPr>
      <t>HAO,L</t>
    </r>
  </si>
  <si>
    <r>
      <t>X</t>
    </r>
    <r>
      <rPr>
        <b/>
        <vertAlign val="subscript"/>
        <sz val="11"/>
        <rFont val="Calibri"/>
        <family val="2"/>
        <scheme val="minor"/>
      </rPr>
      <t>HAO,old</t>
    </r>
  </si>
  <si>
    <r>
      <t>X</t>
    </r>
    <r>
      <rPr>
        <b/>
        <vertAlign val="subscript"/>
        <sz val="11"/>
        <rFont val="Calibri"/>
        <family val="2"/>
        <scheme val="minor"/>
      </rPr>
      <t>HAO,H,P</t>
    </r>
  </si>
  <si>
    <r>
      <t>X</t>
    </r>
    <r>
      <rPr>
        <b/>
        <vertAlign val="subscript"/>
        <sz val="11"/>
        <rFont val="Calibri"/>
        <family val="2"/>
        <scheme val="minor"/>
      </rPr>
      <t>HAO,L,P</t>
    </r>
  </si>
  <si>
    <r>
      <t>X</t>
    </r>
    <r>
      <rPr>
        <b/>
        <vertAlign val="subscript"/>
        <sz val="11"/>
        <rFont val="Calibri"/>
        <family val="2"/>
      </rPr>
      <t>HAO,H,P,old</t>
    </r>
  </si>
  <si>
    <r>
      <t>X</t>
    </r>
    <r>
      <rPr>
        <b/>
        <vertAlign val="subscript"/>
        <sz val="11"/>
        <rFont val="Calibri"/>
        <family val="2"/>
      </rPr>
      <t>HAO,L,P,old</t>
    </r>
  </si>
  <si>
    <r>
      <t>X</t>
    </r>
    <r>
      <rPr>
        <vertAlign val="subscript"/>
        <sz val="11"/>
        <rFont val="Calibri"/>
        <family val="2"/>
        <scheme val="minor"/>
      </rPr>
      <t>BSH</t>
    </r>
  </si>
  <si>
    <t>Brushite (BSH)</t>
  </si>
  <si>
    <r>
      <t>S</t>
    </r>
    <r>
      <rPr>
        <b/>
        <vertAlign val="subscript"/>
        <sz val="11"/>
        <rFont val="Calibri"/>
        <family val="2"/>
        <charset val="238"/>
        <scheme val="minor"/>
      </rPr>
      <t>ALPHA</t>
    </r>
  </si>
  <si>
    <t>Alpha indicator</t>
  </si>
  <si>
    <r>
      <t>X</t>
    </r>
    <r>
      <rPr>
        <b/>
        <vertAlign val="subscript"/>
        <sz val="12"/>
        <rFont val="Calibri"/>
        <family val="2"/>
        <scheme val="minor"/>
      </rPr>
      <t>BSH</t>
    </r>
  </si>
  <si>
    <r>
      <t>S</t>
    </r>
    <r>
      <rPr>
        <b/>
        <vertAlign val="subscript"/>
        <sz val="11"/>
        <rFont val="Calibri"/>
        <family val="2"/>
        <scheme val="minor"/>
      </rPr>
      <t>ALPHA</t>
    </r>
  </si>
  <si>
    <r>
      <t>-(1-Y</t>
    </r>
    <r>
      <rPr>
        <vertAlign val="subscript"/>
        <sz val="11"/>
        <rFont val="Calibri"/>
        <family val="2"/>
      </rPr>
      <t>CASTO,STC,ox</t>
    </r>
    <r>
      <rPr>
        <sz val="11"/>
        <rFont val="Calibri"/>
        <family val="2"/>
      </rPr>
      <t>)/Y</t>
    </r>
    <r>
      <rPr>
        <vertAlign val="subscript"/>
        <sz val="11"/>
        <rFont val="Calibri"/>
        <family val="2"/>
      </rPr>
      <t>CASTO,STC,ox</t>
    </r>
  </si>
  <si>
    <r>
      <t>(i</t>
    </r>
    <r>
      <rPr>
        <vertAlign val="subscript"/>
        <sz val="11"/>
        <rFont val="Calibri"/>
        <family val="2"/>
      </rPr>
      <t>CIT,STC</t>
    </r>
    <r>
      <rPr>
        <sz val="11"/>
        <rFont val="Calibri"/>
        <family val="2"/>
      </rPr>
      <t>/Y</t>
    </r>
    <r>
      <rPr>
        <vertAlign val="subscript"/>
        <sz val="11"/>
        <rFont val="Calibri"/>
        <family val="2"/>
      </rPr>
      <t>CASTO,STC,ox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</si>
  <si>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</si>
  <si>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</si>
  <si>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N2,NO2</t>
    </r>
    <r>
      <rPr>
        <sz val="11"/>
        <rFont val="Calibri"/>
        <family val="2"/>
      </rPr>
      <t>*Y</t>
    </r>
    <r>
      <rPr>
        <vertAlign val="subscript"/>
        <sz val="11"/>
        <rFont val="Calibri"/>
        <family val="2"/>
      </rPr>
      <t>CASTO,STC,anox</t>
    </r>
    <r>
      <rPr>
        <sz val="11"/>
        <rFont val="Calibri"/>
        <family val="2"/>
      </rPr>
      <t>)</t>
    </r>
  </si>
  <si>
    <r>
      <t>(i</t>
    </r>
    <r>
      <rPr>
        <vertAlign val="subscript"/>
        <sz val="11"/>
        <rFont val="Calibri"/>
        <family val="2"/>
      </rPr>
      <t>CIT,STC</t>
    </r>
    <r>
      <rPr>
        <sz val="11"/>
        <rFont val="Calibri"/>
        <family val="2"/>
      </rPr>
      <t>/Y</t>
    </r>
    <r>
      <rPr>
        <vertAlign val="subscript"/>
        <sz val="11"/>
        <rFont val="Calibri"/>
        <family val="2"/>
      </rPr>
      <t>CASTO,STC,anox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</si>
  <si>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SNO2,KNO2,CASTO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</si>
  <si>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</si>
  <si>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-(1-Y</t>
    </r>
    <r>
      <rPr>
        <vertAlign val="subscript"/>
        <sz val="11"/>
        <rFont val="Calibri"/>
        <family val="2"/>
      </rPr>
      <t>CASTO,STC,anox</t>
    </r>
    <r>
      <rPr>
        <sz val="11"/>
        <rFont val="Calibri"/>
        <family val="2"/>
      </rPr>
      <t>)/(EEQ</t>
    </r>
    <r>
      <rPr>
        <vertAlign val="subscript"/>
        <sz val="11"/>
        <rFont val="Calibri"/>
        <family val="2"/>
      </rPr>
      <t>NO2,NO3</t>
    </r>
    <r>
      <rPr>
        <sz val="11"/>
        <rFont val="Calibri"/>
        <family val="2"/>
      </rPr>
      <t>*Y</t>
    </r>
    <r>
      <rPr>
        <vertAlign val="subscript"/>
        <sz val="11"/>
        <rFont val="Calibri"/>
        <family val="2"/>
      </rPr>
      <t>CASTO,STC,anox</t>
    </r>
    <r>
      <rPr>
        <sz val="11"/>
        <rFont val="Calibri"/>
        <family val="2"/>
      </rPr>
      <t>)</t>
    </r>
  </si>
  <si>
    <r>
      <t>µ</t>
    </r>
    <r>
      <rPr>
        <vertAlign val="subscript"/>
        <sz val="11"/>
        <rFont val="Calibri"/>
        <family val="2"/>
      </rPr>
      <t>CASTO,T</t>
    </r>
    <r>
      <rPr>
        <sz val="11"/>
        <rFont val="Calibri"/>
        <family val="2"/>
      </rPr>
      <t xml:space="preserve"> * X</t>
    </r>
    <r>
      <rPr>
        <vertAlign val="subscript"/>
        <sz val="11"/>
        <rFont val="Calibri"/>
        <family val="2"/>
      </rPr>
      <t>CASTO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XSTC,XCASTO,KSTC</t>
    </r>
    <r>
      <rPr>
        <sz val="11"/>
        <rFont val="Calibri"/>
        <family val="2"/>
      </rPr>
      <t xml:space="preserve"> * Msat</t>
    </r>
    <r>
      <rPr>
        <vertAlign val="subscript"/>
        <sz val="11"/>
        <rFont val="Calibri"/>
        <family val="2"/>
      </rPr>
      <t>SNO3,KNO3,CASTO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SCa,KCa,PAO</t>
    </r>
    <r>
      <rPr>
        <sz val="11"/>
        <rFont val="Calibri"/>
        <family val="2"/>
      </rPr>
      <t xml:space="preserve"> * Msat</t>
    </r>
    <r>
      <rPr>
        <vertAlign val="subscript"/>
        <sz val="11"/>
        <rFont val="Calibri"/>
        <family val="2"/>
      </rPr>
      <t>SMg,KMg,PAO</t>
    </r>
    <r>
      <rPr>
        <sz val="11"/>
        <rFont val="Calibri"/>
        <family val="2"/>
      </rPr>
      <t xml:space="preserve"> * Bellinh</t>
    </r>
    <r>
      <rPr>
        <vertAlign val="subscript"/>
        <sz val="11"/>
        <rFont val="Calibri"/>
        <family val="2"/>
      </rPr>
      <t>pH</t>
    </r>
  </si>
  <si>
    <r>
      <t>PAO polyphosphate storage, O</t>
    </r>
    <r>
      <rPr>
        <vertAlign val="subscript"/>
        <sz val="11"/>
        <rFont val="Calibri"/>
        <family val="2"/>
      </rPr>
      <t>2</t>
    </r>
  </si>
  <si>
    <r>
      <t>-Y</t>
    </r>
    <r>
      <rPr>
        <vertAlign val="subscript"/>
        <sz val="11"/>
        <rFont val="Calibri"/>
        <family val="2"/>
      </rPr>
      <t>PP,CASTO,ox</t>
    </r>
  </si>
  <si>
    <r>
      <t>i</t>
    </r>
    <r>
      <rPr>
        <vertAlign val="subscript"/>
        <sz val="11"/>
        <rFont val="Calibri"/>
        <family val="2"/>
      </rPr>
      <t>N,BIO</t>
    </r>
    <r>
      <rPr>
        <sz val="11"/>
        <rFont val="Calibri"/>
        <family val="2"/>
      </rPr>
      <t>*Y</t>
    </r>
    <r>
      <rPr>
        <vertAlign val="subscript"/>
        <sz val="11"/>
        <rFont val="Calibri"/>
        <family val="2"/>
      </rPr>
      <t>PP,CASTO,ox</t>
    </r>
  </si>
  <si>
    <r>
      <t>i</t>
    </r>
    <r>
      <rPr>
        <vertAlign val="subscript"/>
        <sz val="11"/>
        <rFont val="Calibri"/>
        <family val="2"/>
      </rPr>
      <t>P,BIO</t>
    </r>
    <r>
      <rPr>
        <sz val="11"/>
        <rFont val="Calibri"/>
        <family val="2"/>
      </rPr>
      <t>*Y</t>
    </r>
    <r>
      <rPr>
        <vertAlign val="subscript"/>
        <sz val="11"/>
        <rFont val="Calibri"/>
        <family val="2"/>
      </rPr>
      <t>PP,CASTO,ox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</si>
  <si>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PP,CASTO,ox</t>
    </r>
  </si>
  <si>
    <r>
      <t>-i</t>
    </r>
    <r>
      <rPr>
        <vertAlign val="subscript"/>
        <sz val="11"/>
        <rFont val="Calibri"/>
        <family val="2"/>
      </rPr>
      <t>INORG</t>
    </r>
    <r>
      <rPr>
        <sz val="11"/>
        <rFont val="Calibri"/>
        <family val="2"/>
      </rPr>
      <t>*Y</t>
    </r>
    <r>
      <rPr>
        <vertAlign val="subscript"/>
        <sz val="11"/>
        <rFont val="Calibri"/>
        <family val="2"/>
      </rPr>
      <t>PP,CASTO,ox</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</si>
  <si>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</si>
  <si>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</si>
  <si>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</si>
  <si>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</si>
  <si>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-i</t>
    </r>
    <r>
      <rPr>
        <vertAlign val="subscript"/>
        <sz val="11"/>
        <rFont val="Calibri"/>
        <family val="2"/>
      </rPr>
      <t>K,PP</t>
    </r>
    <r>
      <rPr>
        <sz val="11"/>
        <rFont val="Calibri"/>
        <family val="2"/>
      </rPr>
      <t>*AM</t>
    </r>
    <r>
      <rPr>
        <vertAlign val="subscript"/>
        <sz val="11"/>
        <rFont val="Calibri"/>
        <family val="2"/>
      </rPr>
      <t>K</t>
    </r>
    <r>
      <rPr>
        <sz val="11"/>
        <rFont val="Calibri"/>
        <family val="2"/>
      </rPr>
      <t>/AM</t>
    </r>
    <r>
      <rPr>
        <vertAlign val="subscript"/>
        <sz val="11"/>
        <rFont val="Calibri"/>
        <family val="2"/>
      </rPr>
      <t>P</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</si>
  <si>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Msat</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r>
      <rPr>
        <sz val="11"/>
        <rFont val="Calibri"/>
        <family val="2"/>
        <charset val="238"/>
      </rPr>
      <t/>
    </r>
  </si>
  <si>
    <r>
      <t>PAO polyphosphate storage, NO</t>
    </r>
    <r>
      <rPr>
        <vertAlign val="subscript"/>
        <sz val="11"/>
        <rFont val="Calibri"/>
        <family val="2"/>
      </rPr>
      <t>2</t>
    </r>
  </si>
  <si>
    <r>
      <t>-Y</t>
    </r>
    <r>
      <rPr>
        <vertAlign val="subscript"/>
        <sz val="11"/>
        <rFont val="Calibri"/>
        <family val="2"/>
      </rPr>
      <t>PP,CASTO,anox</t>
    </r>
  </si>
  <si>
    <r>
      <t>i</t>
    </r>
    <r>
      <rPr>
        <vertAlign val="subscript"/>
        <sz val="11"/>
        <rFont val="Calibri"/>
        <family val="2"/>
      </rPr>
      <t>N,BIO</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</si>
  <si>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/EEQ</t>
    </r>
    <r>
      <rPr>
        <vertAlign val="subscript"/>
        <sz val="11"/>
        <rFont val="Calibri"/>
        <family val="2"/>
      </rPr>
      <t>N2,NO2</t>
    </r>
  </si>
  <si>
    <r>
      <t>Y</t>
    </r>
    <r>
      <rPr>
        <vertAlign val="subscript"/>
        <sz val="11"/>
        <rFont val="Calibri"/>
        <family val="2"/>
      </rPr>
      <t>PP,CASTO,anox</t>
    </r>
    <r>
      <rPr>
        <sz val="11"/>
        <rFont val="Calibri"/>
        <family val="2"/>
      </rPr>
      <t>/EEQ</t>
    </r>
    <r>
      <rPr>
        <vertAlign val="subscript"/>
        <sz val="11"/>
        <rFont val="Calibri"/>
        <family val="2"/>
      </rPr>
      <t>N2,NO2</t>
    </r>
  </si>
  <si>
    <r>
      <t>i</t>
    </r>
    <r>
      <rPr>
        <vertAlign val="subscript"/>
        <sz val="11"/>
        <rFont val="Calibri"/>
        <family val="2"/>
      </rPr>
      <t>P,BIO</t>
    </r>
    <r>
      <rPr>
        <sz val="11"/>
        <rFont val="Calibri"/>
        <family val="2"/>
      </rPr>
      <t>*Y</t>
    </r>
    <r>
      <rPr>
        <vertAlign val="subscript"/>
        <sz val="11"/>
        <rFont val="Calibri"/>
        <family val="2"/>
      </rPr>
      <t>PP,CASTO,anox</t>
    </r>
    <r>
      <rPr>
        <sz val="11"/>
        <rFont val="Calibri"/>
        <family val="2"/>
      </rPr>
      <t xml:space="preserve"> -1</t>
    </r>
  </si>
  <si>
    <r>
      <t>i</t>
    </r>
    <r>
      <rPr>
        <vertAlign val="subscript"/>
        <sz val="11"/>
        <rFont val="Calibri"/>
        <family val="2"/>
      </rPr>
      <t>CIT,BIO</t>
    </r>
    <r>
      <rPr>
        <sz val="11"/>
        <rFont val="Calibri"/>
        <family val="2"/>
      </rPr>
      <t>*Y</t>
    </r>
    <r>
      <rPr>
        <vertAlign val="subscript"/>
        <sz val="11"/>
        <rFont val="Calibri"/>
        <family val="2"/>
      </rPr>
      <t>PP,CASTO,anox</t>
    </r>
  </si>
  <si>
    <r>
      <t>-i</t>
    </r>
    <r>
      <rPr>
        <vertAlign val="subscript"/>
        <sz val="11"/>
        <rFont val="Calibri"/>
        <family val="2"/>
      </rPr>
      <t>INORG</t>
    </r>
    <r>
      <rPr>
        <sz val="11"/>
        <rFont val="Calibri"/>
        <family val="2"/>
      </rPr>
      <t>*Y</t>
    </r>
    <r>
      <rPr>
        <vertAlign val="subscript"/>
        <sz val="11"/>
        <rFont val="Calibri"/>
        <family val="2"/>
      </rPr>
      <t>PP,CASTO,anox</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</si>
  <si>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*f</t>
    </r>
    <r>
      <rPr>
        <vertAlign val="subscript"/>
        <sz val="11"/>
        <rFont val="Calibri"/>
        <family val="2"/>
      </rPr>
      <t>Na</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</si>
  <si>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)+i</t>
    </r>
    <r>
      <rPr>
        <vertAlign val="subscript"/>
        <sz val="11"/>
        <rFont val="Calibri"/>
        <family val="2"/>
      </rPr>
      <t>INORG</t>
    </r>
    <r>
      <rPr>
        <sz val="11"/>
        <rFont val="Calibri"/>
        <family val="2"/>
      </rPr>
      <t>*(1-i</t>
    </r>
    <r>
      <rPr>
        <vertAlign val="subscript"/>
        <sz val="11"/>
        <rFont val="Calibri"/>
        <family val="2"/>
      </rPr>
      <t>Ca,INORG</t>
    </r>
    <r>
      <rPr>
        <sz val="11"/>
        <rFont val="Calibri"/>
        <family val="2"/>
      </rPr>
      <t>*(AM</t>
    </r>
    <r>
      <rPr>
        <vertAlign val="subscript"/>
        <sz val="11"/>
        <rFont val="Calibri"/>
        <family val="2"/>
      </rPr>
      <t>Ca</t>
    </r>
    <r>
      <rPr>
        <sz val="11"/>
        <rFont val="Calibri"/>
        <family val="2"/>
      </rPr>
      <t>+2*AM</t>
    </r>
    <r>
      <rPr>
        <vertAlign val="subscript"/>
        <sz val="11"/>
        <rFont val="Calibri"/>
        <family val="2"/>
      </rPr>
      <t>Cl</t>
    </r>
    <r>
      <rPr>
        <sz val="11"/>
        <rFont val="Calibri"/>
        <family val="2"/>
      </rPr>
      <t>)/AM</t>
    </r>
    <r>
      <rPr>
        <vertAlign val="subscript"/>
        <sz val="11"/>
        <rFont val="Calibri"/>
        <family val="2"/>
      </rPr>
      <t>Ca</t>
    </r>
    <r>
      <rPr>
        <sz val="11"/>
        <rFont val="Calibri"/>
        <family val="2"/>
      </rPr>
      <t>-i</t>
    </r>
    <r>
      <rPr>
        <vertAlign val="subscript"/>
        <sz val="11"/>
        <rFont val="Calibri"/>
        <family val="2"/>
      </rPr>
      <t>Mg,INORG</t>
    </r>
    <r>
      <rPr>
        <sz val="11"/>
        <rFont val="Calibri"/>
        <family val="2"/>
      </rPr>
      <t>*(AM</t>
    </r>
    <r>
      <rPr>
        <vertAlign val="subscript"/>
        <sz val="11"/>
        <rFont val="Calibri"/>
        <family val="2"/>
      </rPr>
      <t>Mg</t>
    </r>
    <r>
      <rPr>
        <sz val="11"/>
        <rFont val="Calibri"/>
        <family val="2"/>
      </rPr>
      <t>+2*AM</t>
    </r>
    <r>
      <rPr>
        <vertAlign val="subscript"/>
        <sz val="11"/>
        <rFont val="Calibri"/>
        <family val="2"/>
      </rPr>
      <t>Cl</t>
    </r>
    <r>
      <rPr>
        <sz val="11"/>
        <rFont val="Calibri"/>
        <family val="2"/>
      </rPr>
      <t>)/AM</t>
    </r>
    <r>
      <rPr>
        <vertAlign val="subscript"/>
        <sz val="11"/>
        <rFont val="Calibri"/>
        <family val="2"/>
      </rPr>
      <t>Mg)</t>
    </r>
    <r>
      <rPr>
        <sz val="11"/>
        <rFont val="Calibri"/>
        <family val="2"/>
      </rPr>
      <t>*(1-f</t>
    </r>
    <r>
      <rPr>
        <vertAlign val="subscript"/>
        <sz val="11"/>
        <rFont val="Calibri"/>
        <family val="2"/>
      </rPr>
      <t>Na</t>
    </r>
    <r>
      <rPr>
        <sz val="11"/>
        <rFont val="Calibri"/>
        <family val="2"/>
      </rPr>
      <t>))</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</si>
  <si>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Ca,INORG</t>
    </r>
    <r>
      <rPr>
        <sz val="11"/>
        <rFont val="Calibri"/>
        <family val="2"/>
      </rPr>
      <t>-i</t>
    </r>
    <r>
      <rPr>
        <vertAlign val="subscript"/>
        <sz val="11"/>
        <rFont val="Calibri"/>
        <family val="2"/>
      </rPr>
      <t>Ca,PP</t>
    </r>
    <r>
      <rPr>
        <sz val="11"/>
        <rFont val="Calibri"/>
        <family val="2"/>
      </rPr>
      <t>*AM</t>
    </r>
    <r>
      <rPr>
        <vertAlign val="subscript"/>
        <sz val="11"/>
        <rFont val="Calibri"/>
        <family val="2"/>
      </rPr>
      <t>Ca</t>
    </r>
    <r>
      <rPr>
        <sz val="11"/>
        <rFont val="Calibri"/>
        <family val="2"/>
      </rPr>
      <t>/AM</t>
    </r>
    <r>
      <rPr>
        <vertAlign val="subscript"/>
        <sz val="11"/>
        <rFont val="Calibri"/>
        <family val="2"/>
      </rPr>
      <t>P</t>
    </r>
  </si>
  <si>
    <r>
      <t>Y</t>
    </r>
    <r>
      <rPr>
        <vertAlign val="subscript"/>
        <sz val="11"/>
        <rFont val="Calibri"/>
        <family val="2"/>
      </rPr>
      <t>PP,CASTO,anox</t>
    </r>
    <r>
      <rPr>
        <sz val="11"/>
        <rFont val="Calibri"/>
        <family val="2"/>
      </rPr>
      <t>*i</t>
    </r>
    <r>
      <rPr>
        <vertAlign val="subscript"/>
        <sz val="11"/>
        <rFont val="Calibri"/>
        <family val="2"/>
      </rPr>
      <t>INORG</t>
    </r>
    <r>
      <rPr>
        <sz val="11"/>
        <rFont val="Calibri"/>
        <family val="2"/>
      </rPr>
      <t>*i</t>
    </r>
    <r>
      <rPr>
        <vertAlign val="subscript"/>
        <sz val="11"/>
        <rFont val="Calibri"/>
        <family val="2"/>
      </rPr>
      <t>Mg,INORG</t>
    </r>
    <r>
      <rPr>
        <sz val="11"/>
        <rFont val="Calibri"/>
        <family val="2"/>
      </rPr>
      <t>-i</t>
    </r>
    <r>
      <rPr>
        <vertAlign val="subscript"/>
        <sz val="11"/>
        <rFont val="Calibri"/>
        <family val="2"/>
      </rPr>
      <t>Mg,PP</t>
    </r>
    <r>
      <rPr>
        <sz val="11"/>
        <rFont val="Calibri"/>
        <family val="2"/>
      </rPr>
      <t>*AM</t>
    </r>
    <r>
      <rPr>
        <vertAlign val="subscript"/>
        <sz val="11"/>
        <rFont val="Calibri"/>
        <family val="2"/>
      </rPr>
      <t>Mg</t>
    </r>
    <r>
      <rPr>
        <sz val="11"/>
        <rFont val="Calibri"/>
        <family val="2"/>
      </rPr>
      <t>/AM</t>
    </r>
    <r>
      <rPr>
        <vertAlign val="subscript"/>
        <sz val="11"/>
        <rFont val="Calibri"/>
        <family val="2"/>
      </rPr>
      <t>P</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</si>
  <si>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</si>
  <si>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PAO polyphosphate storage, NO</t>
    </r>
    <r>
      <rPr>
        <vertAlign val="subscript"/>
        <sz val="11"/>
        <rFont val="Calibri"/>
        <family val="2"/>
      </rPr>
      <t>3</t>
    </r>
  </si>
  <si>
    <r>
      <t>Y</t>
    </r>
    <r>
      <rPr>
        <vertAlign val="subscript"/>
        <sz val="11"/>
        <rFont val="Calibri"/>
        <family val="2"/>
      </rPr>
      <t>PP,CASTO,anox</t>
    </r>
    <r>
      <rPr>
        <sz val="11"/>
        <rFont val="Calibri"/>
        <family val="2"/>
      </rPr>
      <t>/EEQ</t>
    </r>
    <r>
      <rPr>
        <vertAlign val="subscript"/>
        <sz val="11"/>
        <rFont val="Calibri"/>
        <family val="2"/>
      </rPr>
      <t>NO2,NO3</t>
    </r>
  </si>
  <si>
    <r>
      <t>-Y</t>
    </r>
    <r>
      <rPr>
        <vertAlign val="subscript"/>
        <sz val="11"/>
        <rFont val="Calibri"/>
        <family val="2"/>
      </rPr>
      <t>PP,CASTO,anox</t>
    </r>
    <r>
      <rPr>
        <sz val="11"/>
        <rFont val="Calibri"/>
        <family val="2"/>
      </rPr>
      <t>/EEQ</t>
    </r>
    <r>
      <rPr>
        <vertAlign val="subscript"/>
        <sz val="11"/>
        <rFont val="Calibri"/>
        <family val="2"/>
      </rPr>
      <t>NO2,NO3</t>
    </r>
  </si>
  <si>
    <r>
      <t>q</t>
    </r>
    <r>
      <rPr>
        <vertAlign val="subscript"/>
        <sz val="11"/>
        <rFont val="Calibri"/>
        <family val="2"/>
      </rPr>
      <t>PAO,PP,T</t>
    </r>
    <r>
      <rPr>
        <sz val="11"/>
        <rFont val="Calibri"/>
        <family val="2"/>
      </rPr>
      <t xml:space="preserve"> * X</t>
    </r>
    <r>
      <rPr>
        <vertAlign val="subscript"/>
        <sz val="11"/>
        <rFont val="Calibri"/>
        <family val="2"/>
      </rPr>
      <t>PAO</t>
    </r>
    <r>
      <rPr>
        <sz val="11"/>
        <rFont val="Calibri"/>
        <family val="2"/>
      </rPr>
      <t>/(X</t>
    </r>
    <r>
      <rPr>
        <vertAlign val="subscript"/>
        <sz val="11"/>
        <rFont val="Calibri"/>
        <family val="2"/>
      </rPr>
      <t>PP</t>
    </r>
    <r>
      <rPr>
        <sz val="11"/>
        <rFont val="Calibri"/>
        <family val="2"/>
        <charset val="238"/>
      </rPr>
      <t>+X</t>
    </r>
    <r>
      <rPr>
        <vertAlign val="subscript"/>
        <sz val="11"/>
        <rFont val="Calibri"/>
        <family val="2"/>
        <charset val="238"/>
      </rPr>
      <t>PP,PAO,min</t>
    </r>
    <r>
      <rPr>
        <sz val="11"/>
        <rFont val="Calibri"/>
        <family val="2"/>
        <charset val="238"/>
      </rPr>
      <t>)</t>
    </r>
    <r>
      <rPr>
        <vertAlign val="subscript"/>
        <sz val="11"/>
        <rFont val="Calibri"/>
        <family val="2"/>
      </rPr>
      <t xml:space="preserve"> </t>
    </r>
    <r>
      <rPr>
        <sz val="11"/>
        <rFont val="Calibri"/>
        <family val="2"/>
      </rPr>
      <t>* X</t>
    </r>
    <r>
      <rPr>
        <vertAlign val="subscript"/>
        <sz val="11"/>
        <rFont val="Calibri"/>
        <family val="2"/>
      </rPr>
      <t xml:space="preserve">PAO </t>
    </r>
    <r>
      <rPr>
        <sz val="11"/>
        <rFont val="Calibri"/>
        <family val="2"/>
      </rPr>
      <t>* η</t>
    </r>
    <r>
      <rPr>
        <vertAlign val="subscript"/>
        <sz val="11"/>
        <rFont val="Calibri"/>
        <family val="2"/>
      </rPr>
      <t xml:space="preserve">CASTO,anox </t>
    </r>
    <r>
      <rPr>
        <sz val="11"/>
        <rFont val="Calibri"/>
        <family val="2"/>
      </rPr>
      <t>* Msat</t>
    </r>
    <r>
      <rPr>
        <vertAlign val="subscript"/>
        <sz val="11"/>
        <rFont val="Calibri"/>
        <family val="2"/>
      </rPr>
      <t xml:space="preserve">SNO3,KNO3,CASTO </t>
    </r>
    <r>
      <rPr>
        <sz val="11"/>
        <rFont val="Calibri"/>
        <family val="2"/>
      </rPr>
      <t>* Minh</t>
    </r>
    <r>
      <rPr>
        <vertAlign val="subscript"/>
        <sz val="11"/>
        <rFont val="Calibri"/>
        <family val="2"/>
      </rPr>
      <t>SO2,KO2,CASTO</t>
    </r>
    <r>
      <rPr>
        <sz val="11"/>
        <rFont val="Calibri"/>
        <family val="2"/>
        <charset val="238"/>
      </rPr>
      <t xml:space="preserve"> * Minh</t>
    </r>
    <r>
      <rPr>
        <vertAlign val="subscript"/>
        <sz val="11"/>
        <rFont val="Calibri"/>
        <family val="2"/>
      </rPr>
      <t xml:space="preserve">SNO2,KNO2,CASTO </t>
    </r>
    <r>
      <rPr>
        <sz val="11"/>
        <rFont val="Calibri"/>
        <family val="2"/>
      </rPr>
      <t>* Logsat</t>
    </r>
    <r>
      <rPr>
        <vertAlign val="subscript"/>
        <sz val="11"/>
        <rFont val="Calibri"/>
        <family val="2"/>
      </rPr>
      <t xml:space="preserve">SPO4,KPO4,PAO </t>
    </r>
    <r>
      <rPr>
        <sz val="11"/>
        <rFont val="Calibri"/>
        <family val="2"/>
      </rPr>
      <t>* Loginh</t>
    </r>
    <r>
      <rPr>
        <vertAlign val="subscript"/>
        <sz val="11"/>
        <rFont val="Calibri"/>
        <family val="2"/>
      </rPr>
      <t xml:space="preserve">XPP,XPAO,max </t>
    </r>
    <r>
      <rPr>
        <sz val="11"/>
        <rFont val="Calibri"/>
        <family val="2"/>
      </rPr>
      <t>* Msat</t>
    </r>
    <r>
      <rPr>
        <vertAlign val="subscript"/>
        <sz val="11"/>
        <rFont val="Calibri"/>
        <family val="2"/>
      </rPr>
      <t xml:space="preserve">SCa,KCa,PAO </t>
    </r>
    <r>
      <rPr>
        <sz val="11"/>
        <rFont val="Calibri"/>
        <family val="2"/>
      </rPr>
      <t>* Msat</t>
    </r>
    <r>
      <rPr>
        <vertAlign val="subscript"/>
        <sz val="11"/>
        <rFont val="Calibri"/>
        <family val="2"/>
      </rPr>
      <t xml:space="preserve">SMg,KMg,PAO </t>
    </r>
    <r>
      <rPr>
        <sz val="11"/>
        <rFont val="Calibri"/>
        <family val="2"/>
      </rPr>
      <t>* Msat</t>
    </r>
    <r>
      <rPr>
        <vertAlign val="subscript"/>
        <sz val="11"/>
        <rFont val="Calibri"/>
        <family val="2"/>
      </rPr>
      <t xml:space="preserve">SK,KK,PAO </t>
    </r>
    <r>
      <rPr>
        <sz val="11"/>
        <rFont val="Calibri"/>
        <family val="2"/>
      </rPr>
      <t>* Bellinh</t>
    </r>
    <r>
      <rPr>
        <vertAlign val="subscript"/>
        <sz val="11"/>
        <rFont val="Calibri"/>
        <family val="2"/>
      </rPr>
      <t>pH</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</si>
  <si>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MRsat</t>
    </r>
    <r>
      <rPr>
        <vertAlign val="subscript"/>
        <sz val="11"/>
        <rFont val="Calibri"/>
        <family val="2"/>
      </rPr>
      <t>XPHA,XPAO,KPHA</t>
    </r>
    <r>
      <rPr>
        <sz val="11"/>
        <rFont val="Calibri"/>
        <family val="2"/>
      </rPr>
      <t xml:space="preserve"> * Msat</t>
    </r>
    <r>
      <rPr>
        <vertAlign val="subscript"/>
        <sz val="11"/>
        <rFont val="Calibri"/>
        <family val="2"/>
      </rPr>
      <t>SO2,KO2,CASTO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</si>
  <si>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</si>
  <si>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µ</t>
    </r>
    <r>
      <rPr>
        <vertAlign val="subscript"/>
        <sz val="11"/>
        <rFont val="Calibri"/>
        <family val="2"/>
      </rPr>
      <t>PAO,lim,T</t>
    </r>
    <r>
      <rPr>
        <sz val="11"/>
        <rFont val="Calibri"/>
        <family val="2"/>
      </rPr>
      <t xml:space="preserve"> * X</t>
    </r>
    <r>
      <rPr>
        <vertAlign val="subscript"/>
        <sz val="11"/>
        <rFont val="Calibri"/>
        <family val="2"/>
      </rPr>
      <t>PAO</t>
    </r>
    <r>
      <rPr>
        <sz val="11"/>
        <rFont val="Calibri"/>
        <family val="2"/>
      </rPr>
      <t xml:space="preserve"> * η</t>
    </r>
    <r>
      <rPr>
        <vertAlign val="subscript"/>
        <sz val="11"/>
        <rFont val="Calibri"/>
        <family val="2"/>
      </rPr>
      <t>CASTO,anox</t>
    </r>
    <r>
      <rPr>
        <sz val="11"/>
        <rFont val="Calibri"/>
        <family val="2"/>
      </rPr>
      <t xml:space="preserve"> * MRsat</t>
    </r>
    <r>
      <rPr>
        <vertAlign val="subscript"/>
        <sz val="11"/>
        <rFont val="Calibri"/>
        <family val="2"/>
      </rPr>
      <t>XPHA,XPAO,KPHA</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Msat</t>
    </r>
    <r>
      <rPr>
        <vertAlign val="subscript"/>
        <sz val="11"/>
        <rFont val="Calibri"/>
        <family val="2"/>
      </rPr>
      <t>SNHx,KNHx,BIO</t>
    </r>
    <r>
      <rPr>
        <sz val="11"/>
        <rFont val="Calibri"/>
        <family val="2"/>
      </rPr>
      <t xml:space="preserve"> * Minh</t>
    </r>
    <r>
      <rPr>
        <vertAlign val="subscript"/>
        <sz val="11"/>
        <rFont val="Calibri"/>
        <family val="2"/>
      </rPr>
      <t>SPO4,KiPO4,lim</t>
    </r>
    <r>
      <rPr>
        <sz val="11"/>
        <rFont val="Calibri"/>
        <family val="2"/>
      </rPr>
      <t xml:space="preserve"> * Msat</t>
    </r>
    <r>
      <rPr>
        <vertAlign val="subscript"/>
        <sz val="11"/>
        <rFont val="Calibri"/>
        <family val="2"/>
      </rPr>
      <t>XPP,KPP,lim</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charset val="238"/>
      </rPr>
      <t/>
    </r>
  </si>
  <si>
    <r>
      <t>PAO's PHA storage from VFAs and PO</t>
    </r>
    <r>
      <rPr>
        <vertAlign val="subscript"/>
        <sz val="11"/>
        <rFont val="Calibri"/>
        <family val="2"/>
        <charset val="238"/>
      </rPr>
      <t>4</t>
    </r>
    <r>
      <rPr>
        <sz val="11"/>
        <rFont val="Calibri"/>
        <family val="2"/>
      </rPr>
      <t xml:space="preserve"> release</t>
    </r>
  </si>
  <si>
    <r>
      <t>q</t>
    </r>
    <r>
      <rPr>
        <vertAlign val="subscript"/>
        <sz val="11"/>
        <rFont val="Calibri"/>
        <family val="2"/>
      </rPr>
      <t>PAO,PHA,T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sto,PAO,ORP</t>
    </r>
    <r>
      <rPr>
        <sz val="11"/>
        <rFont val="Calibri"/>
        <family val="2"/>
      </rPr>
      <t xml:space="preserve"> * Msat</t>
    </r>
    <r>
      <rPr>
        <vertAlign val="subscript"/>
        <sz val="11"/>
        <rFont val="Calibri"/>
        <family val="2"/>
      </rPr>
      <t>SVFA,KVFA,CASTO</t>
    </r>
    <r>
      <rPr>
        <sz val="11"/>
        <rFont val="Calibri"/>
        <family val="2"/>
      </rPr>
      <t xml:space="preserve"> * MRsat</t>
    </r>
    <r>
      <rPr>
        <vertAlign val="subscript"/>
        <sz val="11"/>
        <rFont val="Calibri"/>
        <family val="2"/>
      </rPr>
      <t>XPP,XPAO,KPP</t>
    </r>
    <r>
      <rPr>
        <sz val="11"/>
        <rFont val="Calibri"/>
        <family val="2"/>
      </rPr>
      <t xml:space="preserve"> * Loginh</t>
    </r>
    <r>
      <rPr>
        <vertAlign val="subscript"/>
        <sz val="11"/>
        <rFont val="Calibri"/>
        <family val="2"/>
      </rPr>
      <t>XPHA,XPAO,max</t>
    </r>
  </si>
  <si>
    <t>CASTO aerobic maintenance</t>
  </si>
  <si>
    <r>
      <t>i</t>
    </r>
    <r>
      <rPr>
        <vertAlign val="subscript"/>
        <sz val="11"/>
        <rFont val="Calibri"/>
        <family val="2"/>
      </rPr>
      <t>CIT,STC</t>
    </r>
  </si>
  <si>
    <r>
      <t>b</t>
    </r>
    <r>
      <rPr>
        <vertAlign val="subscript"/>
        <sz val="11"/>
        <rFont val="Calibri"/>
        <family val="2"/>
      </rPr>
      <t>STC,T</t>
    </r>
    <r>
      <rPr>
        <sz val="11"/>
        <rFont val="Calibri"/>
        <family val="2"/>
      </rPr>
      <t xml:space="preserve"> * X</t>
    </r>
    <r>
      <rPr>
        <vertAlign val="subscript"/>
        <sz val="11"/>
        <rFont val="Calibri"/>
        <family val="2"/>
      </rPr>
      <t>CASTO</t>
    </r>
    <r>
      <rPr>
        <sz val="11"/>
        <rFont val="Calibri"/>
        <family val="2"/>
      </rPr>
      <t xml:space="preserve"> * Msat</t>
    </r>
    <r>
      <rPr>
        <vertAlign val="subscript"/>
        <sz val="11"/>
        <rFont val="Calibri"/>
        <family val="2"/>
      </rPr>
      <t>SO2,KO2,CASTO</t>
    </r>
    <r>
      <rPr>
        <sz val="11"/>
        <rFont val="Calibri"/>
        <family val="2"/>
      </rPr>
      <t xml:space="preserve"> * MRsat</t>
    </r>
    <r>
      <rPr>
        <vertAlign val="subscript"/>
        <sz val="11"/>
        <rFont val="Calibri"/>
        <family val="2"/>
      </rPr>
      <t>XSTC,XCASTO,KSTC</t>
    </r>
  </si>
  <si>
    <r>
      <t>CASTO anoxic maintenance, NO</t>
    </r>
    <r>
      <rPr>
        <vertAlign val="subscript"/>
        <sz val="11"/>
        <color rgb="FF000000"/>
        <rFont val="Calibri"/>
        <family val="2"/>
        <scheme val="minor"/>
      </rPr>
      <t>2</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</si>
  <si>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MRsat</t>
    </r>
    <r>
      <rPr>
        <vertAlign val="subscript"/>
        <sz val="11"/>
        <rFont val="Calibri"/>
        <family val="2"/>
      </rPr>
      <t>XSTC,XCASTO,KSTC</t>
    </r>
  </si>
  <si>
    <r>
      <t>CASTO anoxic maintenance, NO</t>
    </r>
    <r>
      <rPr>
        <vertAlign val="subscript"/>
        <sz val="11"/>
        <color rgb="FF000000"/>
        <rFont val="Calibri"/>
        <family val="2"/>
        <scheme val="minor"/>
      </rPr>
      <t>3</t>
    </r>
  </si>
  <si>
    <r>
      <t>b</t>
    </r>
    <r>
      <rPr>
        <vertAlign val="subscript"/>
        <sz val="11"/>
        <rFont val="Calibri"/>
        <family val="2"/>
      </rPr>
      <t>STC,T</t>
    </r>
    <r>
      <rPr>
        <sz val="11"/>
        <rFont val="Calibri"/>
        <family val="2"/>
      </rPr>
      <t xml:space="preserve"> * η</t>
    </r>
    <r>
      <rPr>
        <vertAlign val="subscript"/>
        <sz val="11"/>
        <rFont val="Calibri"/>
        <family val="2"/>
      </rPr>
      <t>bSTC,anox</t>
    </r>
    <r>
      <rPr>
        <sz val="11"/>
        <rFont val="Calibri"/>
        <family val="2"/>
      </rPr>
      <t xml:space="preserve"> * X</t>
    </r>
    <r>
      <rPr>
        <vertAlign val="subscript"/>
        <sz val="11"/>
        <rFont val="Calibri"/>
        <family val="2"/>
      </rPr>
      <t>CASTO</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XSTC,XCASTO,KSTC</t>
    </r>
  </si>
  <si>
    <r>
      <t>b</t>
    </r>
    <r>
      <rPr>
        <vertAlign val="subscript"/>
        <sz val="11"/>
        <rFont val="Calibri"/>
        <family val="2"/>
      </rPr>
      <t>PP,ana,T</t>
    </r>
    <r>
      <rPr>
        <sz val="11"/>
        <rFont val="Calibri"/>
        <family val="2"/>
      </rPr>
      <t xml:space="preserve"> * X</t>
    </r>
    <r>
      <rPr>
        <vertAlign val="subscript"/>
        <sz val="11"/>
        <rFont val="Calibri"/>
        <family val="2"/>
      </rPr>
      <t>PAO</t>
    </r>
    <r>
      <rPr>
        <sz val="11"/>
        <rFont val="Calibri"/>
        <family val="2"/>
      </rPr>
      <t xml:space="preserve"> * Logsat</t>
    </r>
    <r>
      <rPr>
        <vertAlign val="subscript"/>
        <sz val="11"/>
        <rFont val="Calibri"/>
        <family val="2"/>
      </rPr>
      <t>XPP,KPO4,PAO</t>
    </r>
    <r>
      <rPr>
        <sz val="11"/>
        <rFont val="Calibri"/>
        <family val="2"/>
      </rPr>
      <t xml:space="preserve"> * (η</t>
    </r>
    <r>
      <rPr>
        <vertAlign val="subscript"/>
        <sz val="11"/>
        <rFont val="Calibri"/>
        <family val="2"/>
      </rPr>
      <t>bPP,aer</t>
    </r>
    <r>
      <rPr>
        <sz val="11"/>
        <rFont val="Calibri"/>
        <family val="2"/>
      </rPr>
      <t xml:space="preserve"> * MRinh</t>
    </r>
    <r>
      <rPr>
        <vertAlign val="subscript"/>
        <sz val="11"/>
        <rFont val="Calibri"/>
        <family val="2"/>
      </rPr>
      <t>XPHA,XPAO,KPHA,cle</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bPP,anox</t>
    </r>
    <r>
      <rPr>
        <sz val="11"/>
        <rFont val="Calibri"/>
        <family val="2"/>
      </rPr>
      <t xml:space="preserve"> * Minh</t>
    </r>
    <r>
      <rPr>
        <vertAlign val="subscript"/>
        <sz val="11"/>
        <rFont val="Calibri"/>
        <family val="2"/>
      </rPr>
      <t>SO2,KO2,CASTO</t>
    </r>
    <r>
      <rPr>
        <sz val="11"/>
        <rFont val="Calibri"/>
        <family val="2"/>
      </rPr>
      <t xml:space="preserve"> * Msat</t>
    </r>
    <r>
      <rPr>
        <vertAlign val="subscript"/>
        <sz val="11"/>
        <rFont val="Calibri"/>
        <family val="2"/>
      </rPr>
      <t>SNO2,KNO2,CASTO</t>
    </r>
    <r>
      <rPr>
        <sz val="11"/>
        <rFont val="Calibri"/>
        <family val="2"/>
      </rPr>
      <t xml:space="preserve"> + η</t>
    </r>
    <r>
      <rPr>
        <vertAlign val="subscript"/>
        <sz val="11"/>
        <rFont val="Calibri"/>
        <family val="2"/>
        <charset val="238"/>
      </rPr>
      <t>bPP,anox</t>
    </r>
    <r>
      <rPr>
        <sz val="11"/>
        <rFont val="Calibri"/>
        <family val="2"/>
      </rPr>
      <t xml:space="preserve"> * Minh</t>
    </r>
    <r>
      <rPr>
        <vertAlign val="subscript"/>
        <sz val="11"/>
        <rFont val="Calibri"/>
        <family val="2"/>
        <charset val="238"/>
      </rPr>
      <t>SO2,KO2,CASTO</t>
    </r>
    <r>
      <rPr>
        <sz val="11"/>
        <rFont val="Calibri"/>
        <family val="2"/>
      </rPr>
      <t xml:space="preserve"> * Msat</t>
    </r>
    <r>
      <rPr>
        <vertAlign val="subscript"/>
        <sz val="11"/>
        <rFont val="Calibri"/>
        <family val="2"/>
        <charset val="238"/>
      </rPr>
      <t>SNO3,KNO3,CASTO</t>
    </r>
    <r>
      <rPr>
        <sz val="11"/>
        <rFont val="Calibri"/>
        <family val="2"/>
      </rPr>
      <t xml:space="preserve"> * Minh</t>
    </r>
    <r>
      <rPr>
        <vertAlign val="subscript"/>
        <sz val="11"/>
        <rFont val="Calibri"/>
        <family val="2"/>
        <charset val="238"/>
      </rPr>
      <t>SNO2,KNO2,CASTO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t>
    </r>
  </si>
  <si>
    <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)/Y</t>
    </r>
    <r>
      <rPr>
        <vertAlign val="subscript"/>
        <sz val="11"/>
        <rFont val="Calibri"/>
        <family val="2"/>
      </rPr>
      <t>CASTO,SB,ana</t>
    </r>
  </si>
  <si>
    <r>
      <t>-1/Y</t>
    </r>
    <r>
      <rPr>
        <vertAlign val="subscript"/>
        <sz val="11"/>
        <rFont val="Calibri"/>
        <family val="2"/>
      </rPr>
      <t>CASTO,SB,ana</t>
    </r>
  </si>
  <si>
    <r>
      <t>Y</t>
    </r>
    <r>
      <rPr>
        <vertAlign val="subscript"/>
        <sz val="11"/>
        <rFont val="Calibri"/>
        <family val="2"/>
      </rPr>
      <t>CASTO,H2,ana,high</t>
    </r>
    <r>
      <rPr>
        <sz val="11"/>
        <rFont val="Calibri"/>
        <family val="2"/>
      </rPr>
      <t>/Y</t>
    </r>
    <r>
      <rPr>
        <vertAlign val="subscript"/>
        <sz val="11"/>
        <rFont val="Calibri"/>
        <family val="2"/>
      </rPr>
      <t>CASTO,SB,ana</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</si>
  <si>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Logsat</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Bellinh</t>
    </r>
    <r>
      <rPr>
        <vertAlign val="subscript"/>
        <sz val="11"/>
        <rFont val="Calibri"/>
        <family val="2"/>
      </rPr>
      <t>pH</t>
    </r>
    <r>
      <rPr>
        <sz val="11"/>
        <rFont val="Calibri"/>
        <family val="2"/>
      </rPr>
      <t/>
    </r>
  </si>
  <si>
    <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)/Y</t>
    </r>
    <r>
      <rPr>
        <vertAlign val="subscript"/>
        <sz val="11"/>
        <rFont val="Calibri"/>
        <family val="2"/>
      </rPr>
      <t>CASTO,SB,ana</t>
    </r>
  </si>
  <si>
    <r>
      <t>Y</t>
    </r>
    <r>
      <rPr>
        <vertAlign val="subscript"/>
        <sz val="11"/>
        <rFont val="Calibri"/>
        <family val="2"/>
      </rPr>
      <t>CASTO,H2,ana,low</t>
    </r>
    <r>
      <rPr>
        <sz val="11"/>
        <rFont val="Calibri"/>
        <family val="2"/>
      </rPr>
      <t>/Y</t>
    </r>
    <r>
      <rPr>
        <vertAlign val="subscript"/>
        <sz val="11"/>
        <rFont val="Calibri"/>
        <family val="2"/>
      </rPr>
      <t>CASTO,SB,ana</t>
    </r>
  </si>
  <si>
    <r>
      <t>µ</t>
    </r>
    <r>
      <rPr>
        <vertAlign val="subscript"/>
        <sz val="11"/>
        <rFont val="Calibri"/>
        <family val="2"/>
      </rPr>
      <t>FERM,PAO,T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ferm,PAO,ORP</t>
    </r>
    <r>
      <rPr>
        <sz val="11"/>
        <rFont val="Calibri"/>
        <family val="2"/>
      </rPr>
      <t xml:space="preserve"> * Loginh</t>
    </r>
    <r>
      <rPr>
        <vertAlign val="subscript"/>
        <sz val="11"/>
        <rFont val="Calibri"/>
        <family val="2"/>
      </rPr>
      <t>SVFA,KVFA,FERM</t>
    </r>
    <r>
      <rPr>
        <sz val="11"/>
        <rFont val="Calibri"/>
        <family val="2"/>
      </rPr>
      <t xml:space="preserve"> * Msat</t>
    </r>
    <r>
      <rPr>
        <vertAlign val="subscript"/>
        <sz val="11"/>
        <rFont val="Calibri"/>
        <family val="2"/>
      </rPr>
      <t>SB,KSB,ana</t>
    </r>
    <r>
      <rPr>
        <sz val="11"/>
        <rFont val="Calibri"/>
        <family val="2"/>
      </rPr>
      <t xml:space="preserve"> * Msat</t>
    </r>
    <r>
      <rPr>
        <vertAlign val="subscript"/>
        <sz val="11"/>
        <rFont val="Calibri"/>
        <family val="2"/>
      </rPr>
      <t>SNHx,KNHx,BIO</t>
    </r>
    <r>
      <rPr>
        <sz val="11"/>
        <rFont val="Calibri"/>
        <family val="2"/>
      </rPr>
      <t xml:space="preserve"> * Msat</t>
    </r>
    <r>
      <rPr>
        <vertAlign val="subscript"/>
        <sz val="11"/>
        <rFont val="Calibri"/>
        <family val="2"/>
      </rPr>
      <t>SPO4,KPO4,BIO</t>
    </r>
    <r>
      <rPr>
        <sz val="11"/>
        <rFont val="Calibri"/>
        <family val="2"/>
      </rPr>
      <t xml:space="preserve"> * Msat</t>
    </r>
    <r>
      <rPr>
        <vertAlign val="subscript"/>
        <sz val="11"/>
        <rFont val="Calibri"/>
        <family val="2"/>
      </rPr>
      <t>SCAT,KCAT</t>
    </r>
    <r>
      <rPr>
        <sz val="11"/>
        <rFont val="Calibri"/>
        <family val="2"/>
      </rPr>
      <t xml:space="preserve"> * Msat</t>
    </r>
    <r>
      <rPr>
        <vertAlign val="subscript"/>
        <sz val="11"/>
        <rFont val="Calibri"/>
        <family val="2"/>
      </rPr>
      <t>SAN,KAN</t>
    </r>
    <r>
      <rPr>
        <sz val="11"/>
        <rFont val="Calibri"/>
        <family val="2"/>
      </rPr>
      <t xml:space="preserve"> * Msat</t>
    </r>
    <r>
      <rPr>
        <vertAlign val="subscript"/>
        <sz val="11"/>
        <rFont val="Calibri"/>
        <family val="2"/>
      </rPr>
      <t>SCa,KCa</t>
    </r>
    <r>
      <rPr>
        <sz val="11"/>
        <rFont val="Calibri"/>
        <family val="2"/>
      </rPr>
      <t xml:space="preserve"> * Msat</t>
    </r>
    <r>
      <rPr>
        <vertAlign val="subscript"/>
        <sz val="11"/>
        <rFont val="Calibri"/>
        <family val="2"/>
      </rPr>
      <t>SMg,KMg</t>
    </r>
    <r>
      <rPr>
        <sz val="11"/>
        <rFont val="Calibri"/>
        <family val="2"/>
      </rPr>
      <t xml:space="preserve"> * Msat</t>
    </r>
    <r>
      <rPr>
        <vertAlign val="subscript"/>
        <sz val="11"/>
        <rFont val="Calibri"/>
        <family val="2"/>
      </rPr>
      <t>SCO2,KCO2,BIO</t>
    </r>
    <r>
      <rPr>
        <sz val="11"/>
        <rFont val="Calibri"/>
        <family val="2"/>
      </rPr>
      <t xml:space="preserve"> * Bellinh</t>
    </r>
    <r>
      <rPr>
        <vertAlign val="subscript"/>
        <sz val="11"/>
        <rFont val="Calibri"/>
        <family val="2"/>
      </rPr>
      <t>pH</t>
    </r>
    <r>
      <rPr>
        <sz val="11"/>
        <rFont val="Calibri"/>
        <family val="2"/>
        <charset val="238"/>
      </rPr>
      <t/>
    </r>
  </si>
  <si>
    <t>CASTO decay</t>
  </si>
  <si>
    <r>
      <t>X</t>
    </r>
    <r>
      <rPr>
        <vertAlign val="subscript"/>
        <sz val="11"/>
        <rFont val="Calibri"/>
        <family val="2"/>
      </rPr>
      <t>STC</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</si>
  <si>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</si>
  <si>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</si>
  <si>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K</t>
    </r>
    <r>
      <rPr>
        <sz val="11"/>
        <rFont val="Calibri"/>
        <family val="2"/>
      </rPr>
      <t>/AM</t>
    </r>
    <r>
      <rPr>
        <vertAlign val="subscript"/>
        <sz val="11"/>
        <rFont val="Calibri"/>
        <family val="2"/>
      </rPr>
      <t>P</t>
    </r>
    <r>
      <rPr>
        <sz val="11"/>
        <rFont val="Calibri"/>
        <family val="2"/>
      </rPr>
      <t>*i</t>
    </r>
    <r>
      <rPr>
        <vertAlign val="subscript"/>
        <sz val="11"/>
        <rFont val="Calibri"/>
        <family val="2"/>
      </rPr>
      <t>K,PP</t>
    </r>
    <r>
      <rPr>
        <sz val="11"/>
        <rFont val="Calibri"/>
        <family val="2"/>
      </rPr>
      <t>/X</t>
    </r>
    <r>
      <rPr>
        <vertAlign val="subscript"/>
        <sz val="11"/>
        <rFont val="Calibri"/>
        <family val="2"/>
      </rPr>
      <t>CASTO</t>
    </r>
  </si>
  <si>
    <r>
      <t>b</t>
    </r>
    <r>
      <rPr>
        <vertAlign val="subscript"/>
        <sz val="11"/>
        <rFont val="Calibri"/>
        <family val="2"/>
      </rPr>
      <t>CASTO,T</t>
    </r>
    <r>
      <rPr>
        <sz val="11"/>
        <rFont val="Calibri"/>
        <family val="2"/>
      </rPr>
      <t xml:space="preserve"> * MRinh</t>
    </r>
    <r>
      <rPr>
        <vertAlign val="subscript"/>
        <sz val="11"/>
        <rFont val="Calibri"/>
        <family val="2"/>
        <charset val="238"/>
      </rPr>
      <t>XSTC,XCASTO,KSTC</t>
    </r>
    <r>
      <rPr>
        <sz val="11"/>
        <rFont val="Calibri"/>
        <family val="2"/>
      </rPr>
      <t xml:space="preserve"> * (X</t>
    </r>
    <r>
      <rPr>
        <vertAlign val="subscript"/>
        <sz val="11"/>
        <rFont val="Calibri"/>
        <family val="2"/>
        <charset val="238"/>
      </rPr>
      <t>CASTO</t>
    </r>
    <r>
      <rPr>
        <sz val="11"/>
        <rFont val="Calibri"/>
        <family val="2"/>
      </rPr>
      <t xml:space="preserve"> * Msat</t>
    </r>
    <r>
      <rPr>
        <vertAlign val="subscript"/>
        <sz val="11"/>
        <rFont val="Calibri"/>
        <family val="2"/>
      </rPr>
      <t>SO2,KO2,CASTO</t>
    </r>
    <r>
      <rPr>
        <sz val="11"/>
        <rFont val="Calibri"/>
        <family val="2"/>
      </rPr>
      <t xml:space="preserve"> + η</t>
    </r>
    <r>
      <rPr>
        <vertAlign val="subscript"/>
        <sz val="11"/>
        <rFont val="Calibri"/>
        <family val="2"/>
      </rPr>
      <t>bCASTO,anox</t>
    </r>
    <r>
      <rPr>
        <sz val="11"/>
        <rFont val="Calibri"/>
        <family val="2"/>
      </rPr>
      <t xml:space="preserve"> * (X</t>
    </r>
    <r>
      <rPr>
        <vertAlign val="subscript"/>
        <sz val="11"/>
        <rFont val="Calibri"/>
        <family val="2"/>
        <charset val="238"/>
      </rPr>
      <t>GAO</t>
    </r>
    <r>
      <rPr>
        <sz val="11"/>
        <rFont val="Calibri"/>
        <family val="2"/>
      </rPr>
      <t xml:space="preserve"> +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 (Msat</t>
    </r>
    <r>
      <rPr>
        <vertAlign val="subscript"/>
        <sz val="11"/>
        <rFont val="Calibri"/>
        <family val="2"/>
        <charset val="238"/>
      </rPr>
      <t>SNO2,KNO2,CASTO</t>
    </r>
    <r>
      <rPr>
        <sz val="11"/>
        <rFont val="Calibri"/>
        <family val="2"/>
      </rPr>
      <t xml:space="preserve"> + Minh</t>
    </r>
    <r>
      <rPr>
        <vertAlign val="subscript"/>
        <sz val="11"/>
        <rFont val="Calibri"/>
        <family val="2"/>
        <charset val="238"/>
      </rPr>
      <t>SNO2,KNO2,CASTO</t>
    </r>
    <r>
      <rPr>
        <sz val="11"/>
        <rFont val="Calibri"/>
        <family val="2"/>
      </rPr>
      <t xml:space="preserve"> * Msat</t>
    </r>
    <r>
      <rPr>
        <vertAlign val="subscript"/>
        <sz val="11"/>
        <rFont val="Calibri"/>
        <family val="2"/>
        <charset val="238"/>
      </rPr>
      <t>SNO3,KNO3,CASTO</t>
    </r>
    <r>
      <rPr>
        <sz val="11"/>
        <rFont val="Calibri"/>
        <family val="2"/>
      </rPr>
      <t>) * Minh</t>
    </r>
    <r>
      <rPr>
        <vertAlign val="subscript"/>
        <sz val="11"/>
        <rFont val="Calibri"/>
        <family val="2"/>
      </rPr>
      <t>SO2,KO2,CASTO</t>
    </r>
    <r>
      <rPr>
        <sz val="11"/>
        <rFont val="Calibri"/>
        <family val="2"/>
      </rPr>
      <t>)</t>
    </r>
  </si>
  <si>
    <t>CASTO anaerobic decay</t>
  </si>
  <si>
    <r>
      <t>X</t>
    </r>
    <r>
      <rPr>
        <b/>
        <vertAlign val="subscript"/>
        <sz val="11"/>
        <rFont val="Calibri"/>
        <family val="2"/>
        <scheme val="minor"/>
      </rPr>
      <t>CASTO</t>
    </r>
  </si>
  <si>
    <t>Aging of active HAO,H</t>
  </si>
  <si>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</si>
  <si>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</si>
  <si>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</si>
  <si>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X</t>
    </r>
    <r>
      <rPr>
        <vertAlign val="subscript"/>
        <sz val="11"/>
        <rFont val="Calibri"/>
        <family val="2"/>
      </rPr>
      <t>HAO,H,P</t>
    </r>
    <r>
      <rPr>
        <sz val="11"/>
        <rFont val="Calibri"/>
        <family val="2"/>
      </rPr>
      <t>/(X</t>
    </r>
    <r>
      <rPr>
        <vertAlign val="subscript"/>
        <sz val="11"/>
        <rFont val="Calibri"/>
        <family val="2"/>
      </rPr>
      <t>HAO,H</t>
    </r>
    <r>
      <rPr>
        <sz val="11"/>
        <rFont val="Calibri"/>
        <family val="2"/>
      </rPr>
      <t>+X</t>
    </r>
    <r>
      <rPr>
        <vertAlign val="subscript"/>
        <sz val="11"/>
        <rFont val="Calibri"/>
        <family val="2"/>
      </rPr>
      <t>HAO,H,P</t>
    </r>
    <r>
      <rPr>
        <sz val="11"/>
        <rFont val="Calibri"/>
        <family val="2"/>
      </rPr>
      <t>)</t>
    </r>
  </si>
  <si>
    <r>
      <t>q</t>
    </r>
    <r>
      <rPr>
        <vertAlign val="subscript"/>
        <sz val="11"/>
        <rFont val="Calibri"/>
        <family val="2"/>
      </rPr>
      <t>HAOH,AGING</t>
    </r>
    <r>
      <rPr>
        <sz val="11"/>
        <rFont val="Calibri"/>
        <family val="2"/>
      </rPr>
      <t xml:space="preserve"> *(X</t>
    </r>
    <r>
      <rPr>
        <vertAlign val="subscript"/>
        <sz val="11"/>
        <rFont val="Calibri"/>
        <family val="2"/>
      </rPr>
      <t>HAO,H</t>
    </r>
    <r>
      <rPr>
        <sz val="11"/>
        <rFont val="Calibri"/>
        <family val="2"/>
      </rPr>
      <t>+X</t>
    </r>
    <r>
      <rPr>
        <vertAlign val="subscript"/>
        <sz val="11"/>
        <rFont val="Calibri"/>
        <family val="2"/>
      </rPr>
      <t>HAO,H,P</t>
    </r>
    <r>
      <rPr>
        <sz val="11"/>
        <rFont val="Calibri"/>
        <family val="2"/>
      </rPr>
      <t>)</t>
    </r>
  </si>
  <si>
    <t>Aging of active HAO,L</t>
  </si>
  <si>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</si>
  <si>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</si>
  <si>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</si>
  <si>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X</t>
    </r>
    <r>
      <rPr>
        <vertAlign val="subscript"/>
        <sz val="11"/>
        <rFont val="Calibri"/>
        <family val="2"/>
      </rPr>
      <t>HAO,L,P</t>
    </r>
    <r>
      <rPr>
        <sz val="11"/>
        <rFont val="Calibri"/>
        <family val="2"/>
      </rPr>
      <t>/(X</t>
    </r>
    <r>
      <rPr>
        <vertAlign val="subscript"/>
        <sz val="11"/>
        <rFont val="Calibri"/>
        <family val="2"/>
      </rPr>
      <t>HAO,L</t>
    </r>
    <r>
      <rPr>
        <sz val="11"/>
        <rFont val="Calibri"/>
        <family val="2"/>
      </rPr>
      <t>+X</t>
    </r>
    <r>
      <rPr>
        <vertAlign val="subscript"/>
        <sz val="11"/>
        <rFont val="Calibri"/>
        <family val="2"/>
      </rPr>
      <t>HAO,L,P</t>
    </r>
    <r>
      <rPr>
        <sz val="11"/>
        <rFont val="Calibri"/>
        <family val="2"/>
      </rPr>
      <t>)</t>
    </r>
  </si>
  <si>
    <r>
      <t>q</t>
    </r>
    <r>
      <rPr>
        <vertAlign val="subscript"/>
        <sz val="11"/>
        <rFont val="Calibri"/>
        <family val="2"/>
      </rPr>
      <t>HAOL,AGING</t>
    </r>
    <r>
      <rPr>
        <sz val="11"/>
        <rFont val="Calibri"/>
        <family val="2"/>
      </rPr>
      <t xml:space="preserve"> *(X</t>
    </r>
    <r>
      <rPr>
        <vertAlign val="subscript"/>
        <sz val="11"/>
        <rFont val="Calibri"/>
        <family val="2"/>
      </rPr>
      <t>HAO,L</t>
    </r>
    <r>
      <rPr>
        <sz val="11"/>
        <rFont val="Calibri"/>
        <family val="2"/>
      </rPr>
      <t>+X</t>
    </r>
    <r>
      <rPr>
        <vertAlign val="subscript"/>
        <sz val="11"/>
        <rFont val="Calibri"/>
        <family val="2"/>
      </rPr>
      <t>HAO,L,P</t>
    </r>
    <r>
      <rPr>
        <sz val="11"/>
        <rFont val="Calibri"/>
        <family val="2"/>
      </rPr>
      <t>)</t>
    </r>
  </si>
  <si>
    <t>Fast binding of P on active HAO,H</t>
  </si>
  <si>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</si>
  <si>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</si>
  <si>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P,HAO,COPREC</t>
    </r>
    <r>
      <rPr>
        <sz val="11"/>
        <rFont val="Calibri"/>
        <family val="2"/>
      </rPr>
      <t>*X</t>
    </r>
    <r>
      <rPr>
        <vertAlign val="subscript"/>
        <sz val="11"/>
        <rFont val="Calibri"/>
        <family val="2"/>
      </rPr>
      <t>HAO,H</t>
    </r>
    <r>
      <rPr>
        <sz val="11"/>
        <rFont val="Calibri"/>
        <family val="2"/>
      </rPr>
      <t>*Msat</t>
    </r>
    <r>
      <rPr>
        <vertAlign val="subscript"/>
        <sz val="11"/>
        <rFont val="Calibri"/>
        <family val="2"/>
      </rPr>
      <t>SPO4,KP,HAO,BIND</t>
    </r>
  </si>
  <si>
    <t>Slow binding of P on active HAO,L</t>
  </si>
  <si>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</si>
  <si>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1/(ASF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</si>
  <si>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P,HAO,BIND</t>
    </r>
    <r>
      <rPr>
        <sz val="11"/>
        <rFont val="Calibri"/>
        <family val="2"/>
      </rPr>
      <t>*X</t>
    </r>
    <r>
      <rPr>
        <vertAlign val="subscript"/>
        <sz val="11"/>
        <rFont val="Calibri"/>
        <family val="2"/>
      </rPr>
      <t>HAO,L</t>
    </r>
    <r>
      <rPr>
        <sz val="11"/>
        <rFont val="Calibri"/>
        <family val="2"/>
      </rPr>
      <t>*Msat</t>
    </r>
    <r>
      <rPr>
        <vertAlign val="subscript"/>
        <sz val="11"/>
        <rFont val="Calibri"/>
        <family val="2"/>
      </rPr>
      <t>SPO4,KP,HAO,BIND</t>
    </r>
  </si>
  <si>
    <r>
      <t>Desorption of P from X</t>
    </r>
    <r>
      <rPr>
        <vertAlign val="subscript"/>
        <sz val="11"/>
        <color rgb="FF000000"/>
        <rFont val="Calibri"/>
        <family val="2"/>
        <scheme val="minor"/>
      </rPr>
      <t>HAO,H,P</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</si>
  <si>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</si>
  <si>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HAOH,DESORP</t>
    </r>
    <r>
      <rPr>
        <sz val="11"/>
        <rFont val="Calibri"/>
        <family val="2"/>
      </rPr>
      <t>*X</t>
    </r>
    <r>
      <rPr>
        <vertAlign val="subscript"/>
        <sz val="11"/>
        <rFont val="Calibri"/>
        <family val="2"/>
      </rPr>
      <t>HAO,H,P</t>
    </r>
    <r>
      <rPr>
        <sz val="11"/>
        <rFont val="Calibri"/>
        <family val="2"/>
      </rPr>
      <t>*Minh</t>
    </r>
    <r>
      <rPr>
        <vertAlign val="subscript"/>
        <sz val="11"/>
        <rFont val="Calibri"/>
        <family val="2"/>
      </rPr>
      <t>SPO4,KiP,HAO,DESORP</t>
    </r>
  </si>
  <si>
    <r>
      <t>Desorption of P from X</t>
    </r>
    <r>
      <rPr>
        <vertAlign val="subscript"/>
        <sz val="11"/>
        <color rgb="FF000000"/>
        <rFont val="Calibri"/>
        <family val="2"/>
        <scheme val="minor"/>
      </rPr>
      <t>HAO,L,P</t>
    </r>
  </si>
  <si>
    <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t>
    </r>
  </si>
  <si>
    <r>
      <t>q</t>
    </r>
    <r>
      <rPr>
        <vertAlign val="subscript"/>
        <sz val="11"/>
        <rFont val="Calibri"/>
        <family val="2"/>
      </rPr>
      <t>HAOL,DESORP</t>
    </r>
    <r>
      <rPr>
        <sz val="11"/>
        <rFont val="Calibri"/>
        <family val="2"/>
      </rPr>
      <t>*X</t>
    </r>
    <r>
      <rPr>
        <vertAlign val="subscript"/>
        <sz val="11"/>
        <rFont val="Calibri"/>
        <family val="2"/>
      </rPr>
      <t>HAO,L,P</t>
    </r>
    <r>
      <rPr>
        <sz val="11"/>
        <rFont val="Calibri"/>
        <family val="2"/>
      </rPr>
      <t>*Minh</t>
    </r>
    <r>
      <rPr>
        <vertAlign val="subscript"/>
        <sz val="11"/>
        <rFont val="Calibri"/>
        <family val="2"/>
      </rPr>
      <t>SPO4,KiP,HAO,DESORP</t>
    </r>
  </si>
  <si>
    <r>
      <t>Dissolution of P from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</si>
  <si>
    <r>
      <t>(ASF</t>
    </r>
    <r>
      <rPr>
        <vertAlign val="subscript"/>
        <sz val="11"/>
        <rFont val="Calibri"/>
        <family val="2"/>
      </rPr>
      <t>HAO,H</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)+(ASF</t>
    </r>
    <r>
      <rPr>
        <vertAlign val="subscript"/>
        <sz val="11"/>
        <rFont val="Calibri"/>
        <family val="2"/>
      </rPr>
      <t>HAO,L</t>
    </r>
    <r>
      <rPr>
        <sz val="11"/>
        <rFont val="Calibri"/>
        <family val="2"/>
      </rPr>
      <t>*(AM</t>
    </r>
    <r>
      <rPr>
        <vertAlign val="subscript"/>
        <sz val="11"/>
        <rFont val="Calibri"/>
        <family val="2"/>
      </rPr>
      <t>P</t>
    </r>
    <r>
      <rPr>
        <sz val="11"/>
        <rFont val="Calibri"/>
        <family val="2"/>
      </rPr>
      <t>/AM</t>
    </r>
    <r>
      <rPr>
        <vertAlign val="subscript"/>
        <sz val="11"/>
        <rFont val="Calibri"/>
        <family val="2"/>
      </rPr>
      <t>Al</t>
    </r>
    <r>
      <rPr>
        <sz val="11"/>
        <rFont val="Calibri"/>
        <family val="2"/>
      </rP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</si>
  <si>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HAO,H,P,old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</si>
  <si>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-X</t>
    </r>
    <r>
      <rPr>
        <vertAlign val="subscript"/>
        <sz val="11"/>
        <rFont val="Calibri"/>
        <family val="2"/>
      </rPr>
      <t>HAO,L,P,old</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t>
    </r>
  </si>
  <si>
    <r>
      <t>q</t>
    </r>
    <r>
      <rPr>
        <vertAlign val="subscript"/>
        <sz val="11"/>
        <rFont val="Calibri"/>
        <family val="2"/>
      </rPr>
      <t>HAO,DISS</t>
    </r>
    <r>
      <rPr>
        <sz val="11"/>
        <rFont val="Calibri"/>
        <family val="2"/>
      </rPr>
      <t>*(X</t>
    </r>
    <r>
      <rPr>
        <vertAlign val="subscript"/>
        <sz val="11"/>
        <rFont val="Calibri"/>
        <family val="2"/>
      </rPr>
      <t>HAO,H,P,old</t>
    </r>
    <r>
      <rPr>
        <sz val="11"/>
        <rFont val="Calibri"/>
        <family val="2"/>
      </rPr>
      <t>+X</t>
    </r>
    <r>
      <rPr>
        <vertAlign val="subscript"/>
        <sz val="11"/>
        <rFont val="Calibri"/>
        <family val="2"/>
      </rPr>
      <t>HAO,L,P,old</t>
    </r>
    <r>
      <rPr>
        <sz val="11"/>
        <rFont val="Calibri"/>
        <family val="2"/>
      </rPr>
      <t>)*Loginh</t>
    </r>
    <r>
      <rPr>
        <vertAlign val="subscript"/>
        <sz val="11"/>
        <rFont val="Calibri"/>
        <family val="2"/>
      </rPr>
      <t>SPO4,KiP,HAO,DISS</t>
    </r>
  </si>
  <si>
    <t>Brushite precipitation</t>
  </si>
  <si>
    <r>
      <t>-AM</t>
    </r>
    <r>
      <rPr>
        <vertAlign val="subscript"/>
        <sz val="11"/>
        <rFont val="Calibri"/>
        <family val="2"/>
      </rPr>
      <t>P</t>
    </r>
    <r>
      <rPr>
        <sz val="11"/>
        <rFont val="Calibri"/>
        <family val="2"/>
      </rPr>
      <t>/MM</t>
    </r>
    <r>
      <rPr>
        <vertAlign val="subscript"/>
        <sz val="11"/>
        <rFont val="Calibri"/>
        <family val="2"/>
      </rPr>
      <t>BSH</t>
    </r>
  </si>
  <si>
    <r>
      <t>-AM</t>
    </r>
    <r>
      <rPr>
        <vertAlign val="subscript"/>
        <sz val="11"/>
        <rFont val="Calibri"/>
        <family val="2"/>
      </rPr>
      <t>Ca</t>
    </r>
    <r>
      <rPr>
        <sz val="11"/>
        <rFont val="Calibri"/>
        <family val="2"/>
      </rPr>
      <t>/MM</t>
    </r>
    <r>
      <rPr>
        <vertAlign val="subscript"/>
        <sz val="11"/>
        <rFont val="Calibri"/>
        <family val="2"/>
      </rPr>
      <t>BSH</t>
    </r>
  </si>
  <si>
    <r>
      <t>q</t>
    </r>
    <r>
      <rPr>
        <vertAlign val="subscript"/>
        <sz val="11"/>
        <rFont val="Calibri"/>
        <family val="2"/>
      </rPr>
      <t>BSH</t>
    </r>
    <r>
      <rPr>
        <sz val="11"/>
        <rFont val="Calibri"/>
        <family val="2"/>
      </rPr>
      <t>*PrecipDrivingForce</t>
    </r>
    <r>
      <rPr>
        <vertAlign val="subscript"/>
        <sz val="11"/>
        <rFont val="Calibri"/>
        <family val="2"/>
      </rPr>
      <t>BSH</t>
    </r>
    <r>
      <rPr>
        <vertAlign val="superscript"/>
        <sz val="11"/>
        <rFont val="Calibri"/>
        <family val="2"/>
      </rPr>
      <t>^2</t>
    </r>
  </si>
  <si>
    <r>
      <t>Ca</t>
    </r>
    <r>
      <rPr>
        <sz val="11"/>
        <color indexed="8"/>
        <rFont val="Calibri"/>
        <family val="2"/>
      </rPr>
      <t>H</t>
    </r>
    <r>
      <rPr>
        <sz val="11"/>
        <color indexed="8"/>
        <rFont val="Calibri"/>
        <family val="2"/>
        <scheme val="minor"/>
      </rPr>
      <t>PO</t>
    </r>
    <r>
      <rPr>
        <vertAlign val="subscript"/>
        <sz val="11"/>
        <color indexed="8"/>
        <rFont val="Calibri"/>
        <family val="2"/>
        <scheme val="minor"/>
      </rPr>
      <t>4</t>
    </r>
    <r>
      <rPr>
        <sz val="11"/>
        <color indexed="8"/>
        <rFont val="Calibri"/>
        <family val="2"/>
        <scheme val="minor"/>
      </rPr>
      <t xml:space="preserve"> * 2H</t>
    </r>
    <r>
      <rPr>
        <vertAlign val="subscript"/>
        <sz val="11"/>
        <color indexed="8"/>
        <rFont val="Calibri"/>
        <family val="2"/>
        <scheme val="minor"/>
      </rPr>
      <t>2</t>
    </r>
    <r>
      <rPr>
        <sz val="11"/>
        <color indexed="8"/>
        <rFont val="Calibri"/>
        <family val="2"/>
        <scheme val="minor"/>
      </rPr>
      <t>O</t>
    </r>
  </si>
  <si>
    <r>
      <t>X</t>
    </r>
    <r>
      <rPr>
        <b/>
        <vertAlign val="subscript"/>
        <sz val="11"/>
        <rFont val="Calibri"/>
        <family val="2"/>
        <scheme val="minor"/>
      </rPr>
      <t>HAO,H</t>
    </r>
  </si>
  <si>
    <t>Elimination of surfactants</t>
  </si>
  <si>
    <r>
      <rPr>
        <sz val="11"/>
        <rFont val="Calibri"/>
        <family val="2"/>
      </rPr>
      <t>d</t>
    </r>
    <r>
      <rPr>
        <vertAlign val="superscript"/>
        <sz val="11"/>
        <rFont val="Calibri"/>
        <family val="2"/>
      </rPr>
      <t>-1</t>
    </r>
  </si>
  <si>
    <r>
      <t>AM</t>
    </r>
    <r>
      <rPr>
        <vertAlign val="subscript"/>
        <sz val="11"/>
        <rFont val="Calibri"/>
        <family val="2"/>
        <scheme val="minor"/>
      </rPr>
      <t>P</t>
    </r>
    <r>
      <rPr>
        <sz val="11"/>
        <rFont val="Calibri"/>
        <family val="2"/>
        <scheme val="minor"/>
      </rPr>
      <t>/MM</t>
    </r>
    <r>
      <rPr>
        <vertAlign val="subscript"/>
        <sz val="11"/>
        <rFont val="Calibri"/>
        <family val="2"/>
        <scheme val="minor"/>
      </rPr>
      <t>BSH</t>
    </r>
  </si>
  <si>
    <r>
      <t>AM</t>
    </r>
    <r>
      <rPr>
        <vertAlign val="subscript"/>
        <sz val="11"/>
        <rFont val="Calibri"/>
        <family val="2"/>
        <scheme val="minor"/>
      </rPr>
      <t>Ca</t>
    </r>
    <r>
      <rPr>
        <sz val="11"/>
        <rFont val="Calibri"/>
        <family val="2"/>
        <scheme val="minor"/>
      </rPr>
      <t>/MM</t>
    </r>
    <r>
      <rPr>
        <vertAlign val="subscript"/>
        <sz val="11"/>
        <rFont val="Calibri"/>
        <family val="2"/>
        <scheme val="minor"/>
      </rPr>
      <t>BSH</t>
    </r>
  </si>
  <si>
    <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</si>
  <si>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</si>
  <si>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</si>
  <si>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</si>
  <si>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</si>
  <si>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</si>
  <si>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HFO,H,P,old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))*X</t>
    </r>
    <r>
      <rPr>
        <vertAlign val="subscript"/>
        <sz val="11"/>
        <rFont val="Calibri"/>
        <family val="2"/>
      </rPr>
      <t>HFO,L,P,old</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</si>
  <si>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</si>
  <si>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HFO,H</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</si>
  <si>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</si>
  <si>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1/(ASF</t>
    </r>
    <r>
      <rPr>
        <vertAlign val="subscript"/>
        <sz val="11"/>
        <rFont val="Calibri"/>
        <family val="2"/>
      </rPr>
      <t>HFO,L</t>
    </r>
    <r>
      <rPr>
        <sz val="11"/>
        <rFont val="Calibri"/>
        <family val="2"/>
      </rPr>
      <t>*(AM</t>
    </r>
    <r>
      <rPr>
        <vertAlign val="subscript"/>
        <sz val="11"/>
        <rFont val="Calibri"/>
        <family val="2"/>
      </rPr>
      <t>P</t>
    </r>
    <r>
      <rPr>
        <sz val="11"/>
        <rFont val="Calibri"/>
        <family val="2"/>
      </rPr>
      <t>/AM</t>
    </r>
    <r>
      <rPr>
        <vertAlign val="subscript"/>
        <sz val="11"/>
        <rFont val="Calibri"/>
        <family val="2"/>
      </rPr>
      <t>Fe</t>
    </r>
    <r>
      <rPr>
        <sz val="11"/>
        <rFont val="Calibri"/>
        <family val="2"/>
      </rPr>
      <t>))</t>
    </r>
  </si>
  <si>
    <r>
      <t>K</t>
    </r>
    <r>
      <rPr>
        <vertAlign val="subscript"/>
        <sz val="11"/>
        <rFont val="Calibri"/>
        <family val="2"/>
        <scheme val="minor"/>
      </rPr>
      <t>SB,ana,DIG</t>
    </r>
  </si>
  <si>
    <r>
      <t>X</t>
    </r>
    <r>
      <rPr>
        <vertAlign val="subscript"/>
        <sz val="11"/>
        <rFont val="Calibri"/>
        <family val="2"/>
        <scheme val="minor"/>
      </rPr>
      <t>CaCO3</t>
    </r>
    <r>
      <rPr>
        <sz val="11"/>
        <rFont val="Calibri"/>
        <family val="2"/>
        <scheme val="minor"/>
      </rPr>
      <t>+X</t>
    </r>
    <r>
      <rPr>
        <vertAlign val="subscript"/>
        <sz val="11"/>
        <rFont val="Calibri"/>
        <family val="2"/>
        <scheme val="minor"/>
      </rPr>
      <t>ACP</t>
    </r>
    <r>
      <rPr>
        <sz val="11"/>
        <rFont val="Calibri"/>
        <family val="2"/>
        <scheme val="minor"/>
      </rPr>
      <t>+X</t>
    </r>
    <r>
      <rPr>
        <vertAlign val="subscript"/>
        <sz val="11"/>
        <rFont val="Calibri"/>
        <family val="2"/>
        <scheme val="minor"/>
      </rPr>
      <t>STR</t>
    </r>
    <r>
      <rPr>
        <sz val="11"/>
        <rFont val="Calibri"/>
        <family val="2"/>
        <scheme val="minor"/>
      </rPr>
      <t>+X</t>
    </r>
    <r>
      <rPr>
        <vertAlign val="subscript"/>
        <sz val="11"/>
        <rFont val="Calibri"/>
        <family val="2"/>
        <scheme val="minor"/>
      </rPr>
      <t>Vivi</t>
    </r>
    <r>
      <rPr>
        <sz val="11"/>
        <rFont val="Calibri"/>
        <family val="2"/>
        <scheme val="minor"/>
      </rPr>
      <t>+X</t>
    </r>
    <r>
      <rPr>
        <vertAlign val="subscript"/>
        <sz val="11"/>
        <rFont val="Calibri"/>
        <family val="2"/>
        <scheme val="minor"/>
      </rPr>
      <t>BSH</t>
    </r>
  </si>
  <si>
    <r>
      <t>(1-f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</si>
  <si>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HAO,TSS</t>
    </r>
  </si>
  <si>
    <t>Total HAOs in TSS unit</t>
  </si>
  <si>
    <r>
      <t>(1-f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</si>
  <si>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HFO,TSS</t>
    </r>
    <r>
      <rPr>
        <sz val="11"/>
        <rFont val="Calibri"/>
        <family val="2"/>
        <scheme val="minor"/>
      </rPr>
      <t>+X</t>
    </r>
    <r>
      <rPr>
        <vertAlign val="subscript"/>
        <sz val="11"/>
        <rFont val="Calibri"/>
        <family val="2"/>
        <scheme val="minor"/>
      </rPr>
      <t>HAO,TSS</t>
    </r>
  </si>
  <si>
    <r>
      <t>X</t>
    </r>
    <r>
      <rPr>
        <vertAlign val="subscript"/>
        <sz val="11"/>
        <rFont val="Calibri"/>
        <family val="2"/>
        <scheme val="minor"/>
      </rPr>
      <t>HAO</t>
    </r>
  </si>
  <si>
    <t>Total HAOs</t>
  </si>
  <si>
    <r>
      <t>X</t>
    </r>
    <r>
      <rPr>
        <vertAlign val="subscript"/>
        <sz val="11"/>
        <rFont val="Calibri"/>
        <family val="2"/>
        <scheme val="minor"/>
      </rPr>
      <t>HAO,H</t>
    </r>
    <r>
      <rPr>
        <sz val="11"/>
        <rFont val="Calibri"/>
        <family val="2"/>
        <scheme val="minor"/>
      </rPr>
      <t>+X</t>
    </r>
    <r>
      <rPr>
        <vertAlign val="subscript"/>
        <sz val="11"/>
        <rFont val="Calibri"/>
        <family val="2"/>
        <scheme val="minor"/>
      </rPr>
      <t>HAO,L</t>
    </r>
    <r>
      <rPr>
        <sz val="11"/>
        <rFont val="Calibri"/>
        <family val="2"/>
        <scheme val="minor"/>
      </rPr>
      <t>+X</t>
    </r>
    <r>
      <rPr>
        <vertAlign val="subscript"/>
        <sz val="11"/>
        <rFont val="Calibri"/>
        <family val="2"/>
        <scheme val="minor"/>
      </rPr>
      <t>HAO,L,P</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HAO,old</t>
    </r>
    <r>
      <rPr>
        <sz val="11"/>
        <rFont val="Calibri"/>
        <family val="2"/>
        <scheme val="minor"/>
      </rPr>
      <t>+X</t>
    </r>
    <r>
      <rPr>
        <vertAlign val="subscript"/>
        <sz val="11"/>
        <rFont val="Calibri"/>
        <family val="2"/>
        <scheme val="minor"/>
      </rPr>
      <t>HAO,L,P,old</t>
    </r>
    <r>
      <rPr>
        <sz val="11"/>
        <rFont val="Calibri"/>
        <family val="2"/>
        <scheme val="minor"/>
      </rPr>
      <t>+X</t>
    </r>
    <r>
      <rPr>
        <vertAlign val="subscript"/>
        <sz val="11"/>
        <rFont val="Calibri"/>
        <family val="2"/>
        <scheme val="minor"/>
      </rPr>
      <t>HAO,H,P,old</t>
    </r>
  </si>
  <si>
    <r>
      <t>g Al.m</t>
    </r>
    <r>
      <rPr>
        <vertAlign val="superscript"/>
        <sz val="11"/>
        <rFont val="Calibri"/>
        <family val="2"/>
        <scheme val="minor"/>
      </rPr>
      <t>-3</t>
    </r>
  </si>
  <si>
    <r>
      <t>T</t>
    </r>
    <r>
      <rPr>
        <vertAlign val="subscript"/>
        <sz val="11"/>
        <rFont val="Calibri"/>
        <family val="2"/>
        <scheme val="minor"/>
      </rPr>
      <t>Al</t>
    </r>
  </si>
  <si>
    <t>Total aluminium</t>
  </si>
  <si>
    <r>
      <t>X</t>
    </r>
    <r>
      <rPr>
        <vertAlign val="subscript"/>
        <sz val="11"/>
        <rFont val="Calibri"/>
        <family val="2"/>
        <scheme val="minor"/>
      </rPr>
      <t xml:space="preserve">HAO </t>
    </r>
  </si>
  <si>
    <r>
      <t>T</t>
    </r>
    <r>
      <rPr>
        <vertAlign val="subscript"/>
        <sz val="11"/>
        <rFont val="Calibri"/>
        <family val="2"/>
        <scheme val="minor"/>
      </rPr>
      <t>Ca</t>
    </r>
  </si>
  <si>
    <t>Total calcium</t>
  </si>
  <si>
    <r>
      <t>S</t>
    </r>
    <r>
      <rPr>
        <vertAlign val="subscript"/>
        <sz val="11"/>
        <rFont val="Calibri"/>
        <family val="2"/>
        <scheme val="minor"/>
      </rPr>
      <t>Ca</t>
    </r>
    <r>
      <rPr>
        <sz val="11"/>
        <rFont val="Calibri"/>
        <family val="2"/>
        <scheme val="minor"/>
      </rPr>
      <t>+i</t>
    </r>
    <r>
      <rPr>
        <vertAlign val="subscript"/>
        <sz val="11"/>
        <rFont val="Calibri"/>
        <family val="2"/>
        <scheme val="minor"/>
      </rPr>
      <t>Ca,PP</t>
    </r>
    <r>
      <rPr>
        <sz val="11"/>
        <rFont val="Calibri"/>
        <family val="2"/>
        <scheme val="minor"/>
      </rPr>
      <t>*AM</t>
    </r>
    <r>
      <rPr>
        <vertAlign val="subscript"/>
        <sz val="11"/>
        <rFont val="Calibri"/>
        <family val="2"/>
        <scheme val="minor"/>
      </rPr>
      <t>Ca</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Ca,INORG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ACP</t>
    </r>
    <r>
      <rPr>
        <sz val="11"/>
        <rFont val="Calibri"/>
        <family val="2"/>
        <scheme val="minor"/>
      </rPr>
      <t>*3*AM</t>
    </r>
    <r>
      <rPr>
        <vertAlign val="subscript"/>
        <sz val="11"/>
        <rFont val="Calibri"/>
        <family val="2"/>
        <scheme val="minor"/>
      </rPr>
      <t>Ca</t>
    </r>
    <r>
      <rPr>
        <sz val="11"/>
        <rFont val="Calibri"/>
        <family val="2"/>
        <scheme val="minor"/>
      </rPr>
      <t>/MM</t>
    </r>
    <r>
      <rPr>
        <vertAlign val="subscript"/>
        <sz val="11"/>
        <rFont val="Calibri"/>
        <family val="2"/>
        <scheme val="minor"/>
      </rPr>
      <t>ACP</t>
    </r>
    <r>
      <rPr>
        <sz val="11"/>
        <rFont val="Calibri"/>
        <family val="2"/>
        <scheme val="minor"/>
      </rPr>
      <t>+X</t>
    </r>
    <r>
      <rPr>
        <vertAlign val="subscript"/>
        <sz val="11"/>
        <rFont val="Calibri"/>
        <family val="2"/>
        <scheme val="minor"/>
      </rPr>
      <t>CaCO3</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CaCO3</t>
    </r>
    <r>
      <rPr>
        <sz val="11"/>
        <rFont val="Calibri"/>
        <family val="2"/>
        <scheme val="minor"/>
      </rPr>
      <t>+X</t>
    </r>
    <r>
      <rPr>
        <vertAlign val="subscript"/>
        <sz val="11"/>
        <rFont val="Calibri"/>
        <family val="2"/>
        <scheme val="minor"/>
      </rPr>
      <t>BSH</t>
    </r>
    <r>
      <rPr>
        <sz val="11"/>
        <rFont val="Calibri"/>
        <family val="2"/>
        <scheme val="minor"/>
      </rPr>
      <t>*AM</t>
    </r>
    <r>
      <rPr>
        <vertAlign val="subscript"/>
        <sz val="11"/>
        <rFont val="Calibri"/>
        <family val="2"/>
        <scheme val="minor"/>
      </rPr>
      <t>Ca</t>
    </r>
    <r>
      <rPr>
        <sz val="11"/>
        <rFont val="Calibri"/>
        <family val="2"/>
        <scheme val="minor"/>
      </rPr>
      <t>/MM</t>
    </r>
    <r>
      <rPr>
        <vertAlign val="subscript"/>
        <sz val="11"/>
        <rFont val="Calibri"/>
        <family val="2"/>
        <scheme val="minor"/>
      </rPr>
      <t>BSH</t>
    </r>
  </si>
  <si>
    <r>
      <t>T</t>
    </r>
    <r>
      <rPr>
        <vertAlign val="subscript"/>
        <sz val="11"/>
        <rFont val="Calibri"/>
        <family val="2"/>
        <scheme val="minor"/>
      </rPr>
      <t>Mg</t>
    </r>
  </si>
  <si>
    <t>Total magnesium</t>
  </si>
  <si>
    <r>
      <t>S</t>
    </r>
    <r>
      <rPr>
        <vertAlign val="subscript"/>
        <sz val="11"/>
        <rFont val="Calibri"/>
        <family val="2"/>
        <scheme val="minor"/>
      </rPr>
      <t>Mg</t>
    </r>
    <r>
      <rPr>
        <sz val="11"/>
        <rFont val="Calibri"/>
        <family val="2"/>
        <scheme val="minor"/>
      </rPr>
      <t>+i</t>
    </r>
    <r>
      <rPr>
        <vertAlign val="subscript"/>
        <sz val="11"/>
        <rFont val="Calibri"/>
        <family val="2"/>
        <scheme val="minor"/>
      </rPr>
      <t>Mg,PP</t>
    </r>
    <r>
      <rPr>
        <sz val="11"/>
        <rFont val="Calibri"/>
        <family val="2"/>
        <scheme val="minor"/>
      </rPr>
      <t>*AM</t>
    </r>
    <r>
      <rPr>
        <vertAlign val="subscript"/>
        <sz val="11"/>
        <rFont val="Calibri"/>
        <family val="2"/>
        <scheme val="minor"/>
      </rPr>
      <t>Mg</t>
    </r>
    <r>
      <rPr>
        <sz val="11"/>
        <rFont val="Calibri"/>
        <family val="2"/>
        <scheme val="minor"/>
      </rPr>
      <t>/AM</t>
    </r>
    <r>
      <rPr>
        <vertAlign val="subscript"/>
        <sz val="11"/>
        <rFont val="Calibri"/>
        <family val="2"/>
        <scheme val="minor"/>
      </rPr>
      <t>P</t>
    </r>
    <r>
      <rPr>
        <sz val="11"/>
        <rFont val="Calibri"/>
        <family val="2"/>
        <scheme val="minor"/>
      </rPr>
      <t>*X</t>
    </r>
    <r>
      <rPr>
        <vertAlign val="subscript"/>
        <sz val="11"/>
        <rFont val="Calibri"/>
        <family val="2"/>
        <scheme val="minor"/>
      </rPr>
      <t>PP</t>
    </r>
    <r>
      <rPr>
        <sz val="11"/>
        <rFont val="Calibri"/>
        <family val="2"/>
        <scheme val="minor"/>
      </rPr>
      <t>+i</t>
    </r>
    <r>
      <rPr>
        <vertAlign val="subscript"/>
        <sz val="11"/>
        <rFont val="Calibri"/>
        <family val="2"/>
        <scheme val="minor"/>
      </rPr>
      <t>Mg,INORG</t>
    </r>
    <r>
      <rPr>
        <sz val="11"/>
        <rFont val="Calibri"/>
        <family val="2"/>
        <scheme val="minor"/>
      </rPr>
      <t>*X</t>
    </r>
    <r>
      <rPr>
        <vertAlign val="subscript"/>
        <sz val="11"/>
        <rFont val="Calibri"/>
        <family val="2"/>
        <scheme val="minor"/>
      </rPr>
      <t>INORG</t>
    </r>
    <r>
      <rPr>
        <sz val="11"/>
        <rFont val="Calibri"/>
        <family val="2"/>
        <scheme val="minor"/>
      </rPr>
      <t>+X</t>
    </r>
    <r>
      <rPr>
        <vertAlign val="subscript"/>
        <sz val="11"/>
        <rFont val="Calibri"/>
        <family val="2"/>
        <scheme val="minor"/>
      </rPr>
      <t>STR</t>
    </r>
    <r>
      <rPr>
        <sz val="11"/>
        <rFont val="Calibri"/>
        <family val="2"/>
        <scheme val="minor"/>
      </rPr>
      <t>*AM</t>
    </r>
    <r>
      <rPr>
        <vertAlign val="subscript"/>
        <sz val="11"/>
        <rFont val="Calibri"/>
        <family val="2"/>
        <scheme val="minor"/>
      </rPr>
      <t>Mg</t>
    </r>
    <r>
      <rPr>
        <sz val="11"/>
        <rFont val="Calibri"/>
        <family val="2"/>
        <scheme val="minor"/>
      </rPr>
      <t>/MM</t>
    </r>
    <r>
      <rPr>
        <vertAlign val="subscript"/>
        <sz val="11"/>
        <rFont val="Calibri"/>
        <family val="2"/>
        <scheme val="minor"/>
      </rPr>
      <t>STR</t>
    </r>
  </si>
  <si>
    <r>
      <t>X</t>
    </r>
    <r>
      <rPr>
        <vertAlign val="subscript"/>
        <sz val="11"/>
        <rFont val="Calibri"/>
        <family val="2"/>
        <scheme val="minor"/>
      </rPr>
      <t>HAO,P</t>
    </r>
  </si>
  <si>
    <t>Total phosphorus in HAOs</t>
  </si>
  <si>
    <r>
      <t>(X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</si>
  <si>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*(AM</t>
    </r>
    <r>
      <rPr>
        <vertAlign val="subscript"/>
        <sz val="11"/>
        <rFont val="Calibri"/>
        <family val="2"/>
        <scheme val="minor"/>
      </rPr>
      <t>P</t>
    </r>
    <r>
      <rPr>
        <sz val="11"/>
        <rFont val="Calibri"/>
        <family val="2"/>
        <scheme val="minor"/>
      </rPr>
      <t>/AM</t>
    </r>
    <r>
      <rPr>
        <vertAlign val="subscript"/>
        <sz val="11"/>
        <rFont val="Calibri"/>
        <family val="2"/>
        <scheme val="minor"/>
      </rPr>
      <t>Fe</t>
    </r>
    <r>
      <rPr>
        <sz val="11"/>
        <rFont val="Calibri"/>
        <family val="2"/>
        <scheme val="minor"/>
      </rPr>
      <t>)</t>
    </r>
  </si>
  <si>
    <r>
      <t>T</t>
    </r>
    <r>
      <rPr>
        <vertAlign val="subscript"/>
        <sz val="11"/>
        <rFont val="Calibri"/>
        <family val="2"/>
        <charset val="238"/>
        <scheme val="minor"/>
      </rPr>
      <t>OC</t>
    </r>
  </si>
  <si>
    <t>Total organic carbon</t>
  </si>
  <si>
    <r>
      <t>Max(0;f</t>
    </r>
    <r>
      <rPr>
        <vertAlign val="subscript"/>
        <sz val="11"/>
        <rFont val="Calibri"/>
        <family val="2"/>
        <scheme val="minor"/>
      </rPr>
      <t>TOC,1</t>
    </r>
    <r>
      <rPr>
        <sz val="11"/>
        <rFont val="Calibri"/>
        <family val="2"/>
        <scheme val="minor"/>
      </rPr>
      <t>*T</t>
    </r>
    <r>
      <rPr>
        <vertAlign val="subscript"/>
        <sz val="11"/>
        <rFont val="Calibri"/>
        <family val="2"/>
        <charset val="238"/>
        <scheme val="minor"/>
      </rPr>
      <t>COD</t>
    </r>
    <r>
      <rPr>
        <sz val="11"/>
        <rFont val="Calibri"/>
        <family val="2"/>
        <scheme val="minor"/>
      </rPr>
      <t>-f</t>
    </r>
    <r>
      <rPr>
        <vertAlign val="subscript"/>
        <sz val="11"/>
        <rFont val="Calibri"/>
        <family val="2"/>
        <scheme val="minor"/>
      </rPr>
      <t>TOC,2</t>
    </r>
    <r>
      <rPr>
        <sz val="11"/>
        <rFont val="Calibri"/>
        <family val="2"/>
        <scheme val="minor"/>
      </rPr>
      <t>)</t>
    </r>
  </si>
  <si>
    <r>
      <t>g C.m</t>
    </r>
    <r>
      <rPr>
        <vertAlign val="superscript"/>
        <sz val="11"/>
        <rFont val="Calibri"/>
        <family val="2"/>
        <charset val="238"/>
        <scheme val="minor"/>
      </rPr>
      <t>-3</t>
    </r>
  </si>
  <si>
    <t>Effluent</t>
  </si>
  <si>
    <r>
      <t>f</t>
    </r>
    <r>
      <rPr>
        <vertAlign val="subscript"/>
        <sz val="11"/>
        <rFont val="Calibri"/>
        <family val="2"/>
        <scheme val="minor"/>
      </rPr>
      <t>bw,floc</t>
    </r>
  </si>
  <si>
    <t>Fraction of bound water</t>
  </si>
  <si>
    <t>CASTO related calculations</t>
  </si>
  <si>
    <r>
      <t>X</t>
    </r>
    <r>
      <rPr>
        <vertAlign val="subscript"/>
        <sz val="11"/>
        <rFont val="Calibri"/>
        <family val="2"/>
        <scheme val="minor"/>
      </rPr>
      <t>STC</t>
    </r>
  </si>
  <si>
    <r>
      <t>act</t>
    </r>
    <r>
      <rPr>
        <vertAlign val="subscript"/>
        <sz val="11"/>
        <rFont val="Calibri"/>
        <family val="2"/>
        <scheme val="minor"/>
      </rPr>
      <t>PAO</t>
    </r>
  </si>
  <si>
    <r>
      <t>act</t>
    </r>
    <r>
      <rPr>
        <vertAlign val="subscript"/>
        <sz val="11"/>
        <rFont val="Calibri"/>
        <family val="2"/>
        <scheme val="minor"/>
      </rPr>
      <t>GAO</t>
    </r>
  </si>
  <si>
    <r>
      <t>X</t>
    </r>
    <r>
      <rPr>
        <vertAlign val="subscript"/>
        <sz val="11"/>
        <rFont val="Calibri"/>
        <family val="2"/>
        <scheme val="minor"/>
      </rPr>
      <t>PAO</t>
    </r>
  </si>
  <si>
    <r>
      <t>act</t>
    </r>
    <r>
      <rPr>
        <vertAlign val="subscript"/>
        <sz val="11"/>
        <rFont val="Calibri"/>
        <family val="2"/>
        <scheme val="minor"/>
      </rPr>
      <t>PAO</t>
    </r>
    <r>
      <rPr>
        <sz val="11"/>
        <rFont val="Calibri"/>
        <family val="2"/>
        <scheme val="minor"/>
      </rPr>
      <t xml:space="preserve"> * X</t>
    </r>
    <r>
      <rPr>
        <vertAlign val="subscript"/>
        <sz val="11"/>
        <rFont val="Calibri"/>
        <family val="2"/>
        <scheme val="minor"/>
      </rPr>
      <t>CASTO</t>
    </r>
  </si>
  <si>
    <r>
      <t>X</t>
    </r>
    <r>
      <rPr>
        <vertAlign val="subscript"/>
        <sz val="11"/>
        <rFont val="Calibri"/>
        <family val="2"/>
        <scheme val="minor"/>
      </rPr>
      <t>GAO</t>
    </r>
  </si>
  <si>
    <r>
      <t>act</t>
    </r>
    <r>
      <rPr>
        <vertAlign val="subscript"/>
        <sz val="11"/>
        <rFont val="Calibri"/>
        <family val="2"/>
        <scheme val="minor"/>
      </rPr>
      <t>GAO</t>
    </r>
    <r>
      <rPr>
        <sz val="11"/>
        <rFont val="Calibri"/>
        <family val="2"/>
        <scheme val="minor"/>
      </rPr>
      <t xml:space="preserve"> * X</t>
    </r>
    <r>
      <rPr>
        <vertAlign val="subscript"/>
        <sz val="11"/>
        <rFont val="Calibri"/>
        <family val="2"/>
        <scheme val="minor"/>
      </rPr>
      <t>CASTO</t>
    </r>
  </si>
  <si>
    <r>
      <t>act</t>
    </r>
    <r>
      <rPr>
        <vertAlign val="subscript"/>
        <sz val="11"/>
        <rFont val="Calibri"/>
        <family val="2"/>
        <scheme val="minor"/>
      </rPr>
      <t>sto,GAO,ORP</t>
    </r>
  </si>
  <si>
    <t>ORP dependent VFA storage activity of GAOs</t>
  </si>
  <si>
    <r>
      <t>Logsat</t>
    </r>
    <r>
      <rPr>
        <vertAlign val="subscript"/>
        <sz val="11"/>
        <rFont val="Calibri"/>
        <family val="2"/>
        <scheme val="minor"/>
      </rPr>
      <t>ORP,GAO,T</t>
    </r>
  </si>
  <si>
    <r>
      <t>act</t>
    </r>
    <r>
      <rPr>
        <vertAlign val="subscript"/>
        <sz val="11"/>
        <rFont val="Calibri"/>
        <family val="2"/>
        <scheme val="minor"/>
      </rPr>
      <t>sto,PAO,ORP</t>
    </r>
  </si>
  <si>
    <t>ORP dependent VFA storage activity of PAOs</t>
  </si>
  <si>
    <r>
      <t>(1 - Logsat</t>
    </r>
    <r>
      <rPr>
        <vertAlign val="subscript"/>
        <sz val="11"/>
        <color indexed="8"/>
        <rFont val="Calibri"/>
        <family val="2"/>
        <charset val="238"/>
      </rPr>
      <t>ORP,GAO,T</t>
    </r>
    <r>
      <rPr>
        <sz val="11"/>
        <color indexed="8"/>
        <rFont val="Calibri"/>
        <family val="2"/>
        <charset val="238"/>
      </rPr>
      <t xml:space="preserve">) </t>
    </r>
  </si>
  <si>
    <r>
      <t>act</t>
    </r>
    <r>
      <rPr>
        <vertAlign val="subscript"/>
        <sz val="11"/>
        <rFont val="Calibri"/>
        <family val="2"/>
        <scheme val="minor"/>
      </rPr>
      <t>ferm,PAO,ORP</t>
    </r>
  </si>
  <si>
    <t>ORP dependent fermentation activity of PAOs</t>
  </si>
  <si>
    <r>
      <t>(1 - Logsat</t>
    </r>
    <r>
      <rPr>
        <vertAlign val="subscript"/>
        <sz val="11"/>
        <rFont val="Calibri"/>
        <family val="2"/>
        <charset val="238"/>
        <scheme val="minor"/>
      </rPr>
      <t>ORP,GAO,T</t>
    </r>
    <r>
      <rPr>
        <sz val="11"/>
        <rFont val="Calibri"/>
        <family val="2"/>
        <scheme val="minor"/>
      </rPr>
      <t>) * Loginh</t>
    </r>
    <r>
      <rPr>
        <vertAlign val="subscript"/>
        <sz val="11"/>
        <color rgb="FF000000"/>
        <rFont val="Calibri"/>
        <family val="2"/>
      </rPr>
      <t>ORP,PAO</t>
    </r>
    <r>
      <rPr>
        <sz val="11"/>
        <color indexed="8"/>
        <rFont val="Calibri"/>
        <family val="2"/>
      </rPr>
      <t/>
    </r>
  </si>
  <si>
    <r>
      <t>Y</t>
    </r>
    <r>
      <rPr>
        <vertAlign val="subscript"/>
        <sz val="11"/>
        <rFont val="Calibri"/>
        <family val="2"/>
        <scheme val="minor"/>
      </rPr>
      <t>CASTO,STC,ox</t>
    </r>
  </si>
  <si>
    <r>
      <t>g X</t>
    </r>
    <r>
      <rPr>
        <vertAlign val="subscript"/>
        <sz val="11"/>
        <rFont val="Calibri"/>
        <family val="2"/>
        <scheme val="minor"/>
      </rPr>
      <t>CASTO</t>
    </r>
    <r>
      <rPr>
        <sz val="11"/>
        <rFont val="Calibri"/>
        <family val="2"/>
        <scheme val="minor"/>
      </rPr>
      <t>.g X</t>
    </r>
    <r>
      <rPr>
        <vertAlign val="subscript"/>
        <sz val="11"/>
        <rFont val="Calibri"/>
        <family val="2"/>
        <scheme val="minor"/>
      </rPr>
      <t>STC</t>
    </r>
    <r>
      <rPr>
        <vertAlign val="superscript"/>
        <sz val="11"/>
        <rFont val="Calibri"/>
        <family val="2"/>
        <scheme val="minor"/>
      </rPr>
      <t>-1</t>
    </r>
  </si>
  <si>
    <r>
      <t>Y</t>
    </r>
    <r>
      <rPr>
        <vertAlign val="subscript"/>
        <sz val="11"/>
        <rFont val="Calibri"/>
        <family val="2"/>
        <scheme val="minor"/>
      </rPr>
      <t>CASTO,STC,anox</t>
    </r>
  </si>
  <si>
    <r>
      <t>i</t>
    </r>
    <r>
      <rPr>
        <vertAlign val="subscript"/>
        <sz val="11"/>
        <rFont val="Calibri"/>
        <family val="2"/>
        <scheme val="minor"/>
      </rPr>
      <t>CIT,STC</t>
    </r>
  </si>
  <si>
    <t>Observed inorganic carbon content of STC</t>
  </si>
  <si>
    <r>
      <t>ORP</t>
    </r>
    <r>
      <rPr>
        <vertAlign val="subscript"/>
        <sz val="11"/>
        <rFont val="Calibri"/>
        <family val="2"/>
        <scheme val="minor"/>
      </rPr>
      <t>base</t>
    </r>
    <r>
      <rPr>
        <sz val="11"/>
        <rFont val="Calibri"/>
        <family val="2"/>
        <scheme val="minor"/>
      </rPr>
      <t>+(ORP</t>
    </r>
    <r>
      <rPr>
        <vertAlign val="subscript"/>
        <sz val="11"/>
        <rFont val="Calibri"/>
        <family val="2"/>
        <scheme val="minor"/>
      </rPr>
      <t>max,SO2</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O2</t>
    </r>
    <r>
      <rPr>
        <sz val="11"/>
        <rFont val="Calibri"/>
        <family val="2"/>
        <scheme val="minor"/>
      </rPr>
      <t>/(K</t>
    </r>
    <r>
      <rPr>
        <vertAlign val="subscript"/>
        <sz val="11"/>
        <rFont val="Calibri"/>
        <family val="2"/>
        <scheme val="minor"/>
      </rPr>
      <t>ORP,SO2</t>
    </r>
    <r>
      <rPr>
        <sz val="11"/>
        <rFont val="Calibri"/>
        <family val="2"/>
        <scheme val="minor"/>
      </rPr>
      <t>+S</t>
    </r>
    <r>
      <rPr>
        <vertAlign val="subscript"/>
        <sz val="11"/>
        <rFont val="Calibri"/>
        <family val="2"/>
        <scheme val="minor"/>
      </rPr>
      <t>O2</t>
    </r>
    <r>
      <rPr>
        <sz val="11"/>
        <rFont val="Calibri"/>
        <family val="2"/>
        <scheme val="minor"/>
      </rPr>
      <t>)</t>
    </r>
  </si>
  <si>
    <t>Oxidation-reduction potential due to dissolved nitrate (anoxic)</t>
  </si>
  <si>
    <t>ORP related inhibiton functions</t>
  </si>
  <si>
    <r>
      <t>sl</t>
    </r>
    <r>
      <rPr>
        <vertAlign val="subscript"/>
        <sz val="11"/>
        <rFont val="Calibri"/>
        <family val="2"/>
        <charset val="238"/>
        <scheme val="minor"/>
      </rPr>
      <t>ORP,GAO,Half,T</t>
    </r>
  </si>
  <si>
    <t>Slope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</si>
  <si>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Logsat</t>
    </r>
    <r>
      <rPr>
        <vertAlign val="subscript"/>
        <sz val="11"/>
        <rFont val="Calibri"/>
        <family val="2"/>
        <charset val="238"/>
        <scheme val="minor"/>
      </rPr>
      <t>ORP,GAO,Half,15</t>
    </r>
    <r>
      <rPr>
        <sz val="11"/>
        <rFont val="Calibri"/>
        <family val="2"/>
        <scheme val="minor"/>
      </rPr>
      <t>) / (25 - 15)</t>
    </r>
  </si>
  <si>
    <t>mV.°C-1</t>
  </si>
  <si>
    <r>
      <t>y</t>
    </r>
    <r>
      <rPr>
        <vertAlign val="subscript"/>
        <sz val="11"/>
        <rFont val="Calibri"/>
        <family val="2"/>
        <charset val="238"/>
        <scheme val="minor"/>
      </rPr>
      <t>ORP,GAO,Half,T</t>
    </r>
  </si>
  <si>
    <t>Intercept of logistic half-saturation of ORP switching of GAOs temperature correction</t>
  </si>
  <si>
    <r>
      <t>Logsat</t>
    </r>
    <r>
      <rPr>
        <vertAlign val="subscript"/>
        <sz val="11"/>
        <rFont val="Calibri"/>
        <family val="2"/>
        <charset val="238"/>
        <scheme val="minor"/>
      </rPr>
      <t>ORP,GAO,Half,25</t>
    </r>
    <r>
      <rPr>
        <sz val="11"/>
        <rFont val="Calibri"/>
        <family val="2"/>
        <scheme val="minor"/>
      </rPr>
      <t xml:space="preserve"> - sl</t>
    </r>
    <r>
      <rPr>
        <vertAlign val="subscript"/>
        <sz val="11"/>
        <rFont val="Calibri"/>
        <family val="2"/>
        <charset val="238"/>
        <scheme val="minor"/>
      </rPr>
      <t>ORP,GAO,Half,T</t>
    </r>
    <r>
      <rPr>
        <sz val="11"/>
        <rFont val="Calibri"/>
        <family val="2"/>
        <scheme val="minor"/>
      </rPr>
      <t xml:space="preserve"> * 25</t>
    </r>
  </si>
  <si>
    <r>
      <t>Logsat</t>
    </r>
    <r>
      <rPr>
        <vertAlign val="subscript"/>
        <sz val="11"/>
        <rFont val="Calibri"/>
        <family val="2"/>
      </rPr>
      <t>ORP,GAO,Half,T</t>
    </r>
  </si>
  <si>
    <r>
      <t>sl</t>
    </r>
    <r>
      <rPr>
        <vertAlign val="subscript"/>
        <sz val="11"/>
        <rFont val="Calibri"/>
        <family val="2"/>
      </rPr>
      <t>ORP,GAO,Half,T</t>
    </r>
    <r>
      <rPr>
        <sz val="11"/>
        <rFont val="Calibri"/>
        <family val="2"/>
      </rPr>
      <t xml:space="preserve"> * T + y</t>
    </r>
    <r>
      <rPr>
        <vertAlign val="subscript"/>
        <sz val="11"/>
        <rFont val="Calibri"/>
        <family val="2"/>
      </rPr>
      <t>ORP,GAO,Half,T</t>
    </r>
  </si>
  <si>
    <r>
      <t>Logsat</t>
    </r>
    <r>
      <rPr>
        <vertAlign val="subscript"/>
        <sz val="11"/>
        <rFont val="Calibri"/>
        <family val="2"/>
      </rPr>
      <t>ORP,GAO,T</t>
    </r>
  </si>
  <si>
    <r>
      <t>PrecipDrivingForce</t>
    </r>
    <r>
      <rPr>
        <vertAlign val="subscript"/>
        <sz val="11"/>
        <color theme="1"/>
        <rFont val="Calibri"/>
        <family val="2"/>
        <scheme val="minor"/>
      </rPr>
      <t>BSH</t>
    </r>
  </si>
  <si>
    <t>Rate expression of brushite precipitation (driving force)</t>
  </si>
  <si>
    <r>
      <t>([Ca</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*[HPO</t>
    </r>
    <r>
      <rPr>
        <vertAlign val="subscript"/>
        <sz val="11"/>
        <color theme="1"/>
        <rFont val="Calibri"/>
        <family val="2"/>
        <scheme val="minor"/>
      </rPr>
      <t>4</t>
    </r>
    <r>
      <rPr>
        <vertAlign val="superscript"/>
        <sz val="11"/>
        <color theme="1"/>
        <rFont val="Calibri"/>
        <family val="2"/>
        <scheme val="minor"/>
      </rPr>
      <t>2-</t>
    </r>
    <r>
      <rPr>
        <sz val="11"/>
        <color theme="1"/>
        <rFont val="Calibri"/>
        <family val="2"/>
        <scheme val="minor"/>
      </rPr>
      <t>]</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r>
      <rPr>
        <sz val="11"/>
        <color theme="1"/>
        <rFont val="Calibri"/>
        <family val="2"/>
        <scheme val="minor"/>
      </rPr>
      <t>)/K</t>
    </r>
    <r>
      <rPr>
        <vertAlign val="subscript"/>
        <sz val="11"/>
        <color theme="1"/>
        <rFont val="Calibri"/>
        <family val="2"/>
        <scheme val="minor"/>
      </rPr>
      <t>sp,BSH</t>
    </r>
    <r>
      <rPr>
        <vertAlign val="superscript"/>
        <sz val="11"/>
        <color theme="1"/>
        <rFont val="Calibri"/>
        <family val="2"/>
        <scheme val="minor"/>
      </rPr>
      <t>^(1/2)</t>
    </r>
  </si>
  <si>
    <r>
      <t>q</t>
    </r>
    <r>
      <rPr>
        <vertAlign val="subscript"/>
        <sz val="11"/>
        <color theme="1"/>
        <rFont val="Calibri"/>
        <family val="2"/>
        <scheme val="minor"/>
      </rPr>
      <t>BSH</t>
    </r>
  </si>
  <si>
    <t>Rate of brushite precipitation</t>
  </si>
  <si>
    <r>
      <t>If(PrecipDrivingForce</t>
    </r>
    <r>
      <rPr>
        <vertAlign val="subscript"/>
        <sz val="11"/>
        <color theme="1"/>
        <rFont val="Calibri"/>
        <family val="2"/>
        <scheme val="minor"/>
      </rPr>
      <t>BSH</t>
    </r>
    <r>
      <rPr>
        <sz val="11"/>
        <color theme="1"/>
        <rFont val="Calibri"/>
        <family val="2"/>
        <scheme val="minor"/>
      </rPr>
      <t>&gt;0;q</t>
    </r>
    <r>
      <rPr>
        <vertAlign val="subscript"/>
        <sz val="11"/>
        <color theme="1"/>
        <rFont val="Calibri"/>
        <family val="2"/>
        <scheme val="minor"/>
      </rPr>
      <t>BSH,PREC</t>
    </r>
    <r>
      <rPr>
        <sz val="11"/>
        <color theme="1"/>
        <rFont val="Calibri"/>
        <family val="2"/>
        <scheme val="minor"/>
      </rPr>
      <t>;-q</t>
    </r>
    <r>
      <rPr>
        <vertAlign val="subscript"/>
        <sz val="11"/>
        <color theme="1"/>
        <rFont val="Calibri"/>
        <family val="2"/>
        <scheme val="minor"/>
      </rPr>
      <t>BSH,DISS</t>
    </r>
    <r>
      <rPr>
        <sz val="11"/>
        <color theme="1"/>
        <rFont val="Calibri"/>
        <family val="2"/>
        <scheme val="minor"/>
      </rPr>
      <t>*Msat</t>
    </r>
    <r>
      <rPr>
        <vertAlign val="subscript"/>
        <sz val="11"/>
        <color theme="1"/>
        <rFont val="Calibri"/>
        <family val="2"/>
        <scheme val="minor"/>
      </rPr>
      <t>XBSH,KBSH,DISS</t>
    </r>
    <r>
      <rPr>
        <sz val="11"/>
        <color theme="1"/>
        <rFont val="Calibri"/>
        <family val="2"/>
        <scheme val="minor"/>
      </rPr>
      <t>)</t>
    </r>
  </si>
  <si>
    <r>
      <t>d</t>
    </r>
    <r>
      <rPr>
        <vertAlign val="superscript"/>
        <sz val="11"/>
        <color theme="1"/>
        <rFont val="Calibri"/>
        <family val="2"/>
        <charset val="238"/>
        <scheme val="minor"/>
      </rPr>
      <t>-1</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</si>
  <si>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SO2,KO2,AOB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KNOx,AOB</t>
    </r>
    <r>
      <rPr>
        <sz val="11"/>
        <rFont val="Calibri"/>
        <family val="2"/>
      </rPr>
      <t>*Minh</t>
    </r>
    <r>
      <rPr>
        <vertAlign val="subscript"/>
        <sz val="11"/>
        <rFont val="Calibri"/>
        <family val="2"/>
      </rPr>
      <t>SO2,KO2,AOB</t>
    </r>
    <r>
      <rPr>
        <sz val="11"/>
        <rFont val="Calibri"/>
        <family val="2"/>
      </rPr>
      <t>)</t>
    </r>
  </si>
  <si>
    <r>
      <t>b</t>
    </r>
    <r>
      <rPr>
        <vertAlign val="subscript"/>
        <sz val="11"/>
        <rFont val="Calibri"/>
        <family val="2"/>
      </rPr>
      <t>AOB,T</t>
    </r>
    <r>
      <rPr>
        <sz val="11"/>
        <rFont val="Calibri"/>
        <family val="2"/>
      </rPr>
      <t>*X</t>
    </r>
    <r>
      <rPr>
        <vertAlign val="subscript"/>
        <sz val="11"/>
        <rFont val="Calibri"/>
        <family val="2"/>
      </rPr>
      <t>AOB</t>
    </r>
    <r>
      <rPr>
        <sz val="11"/>
        <rFont val="Calibri"/>
        <family val="2"/>
      </rPr>
      <t>*(η</t>
    </r>
    <r>
      <rPr>
        <vertAlign val="subscript"/>
        <sz val="11"/>
        <rFont val="Calibri"/>
        <family val="2"/>
      </rPr>
      <t>b,ana</t>
    </r>
    <r>
      <rPr>
        <sz val="11"/>
        <rFont val="Calibri"/>
        <family val="2"/>
      </rPr>
      <t>*Minh</t>
    </r>
    <r>
      <rPr>
        <vertAlign val="subscript"/>
        <sz val="11"/>
        <rFont val="Calibri"/>
        <family val="2"/>
      </rPr>
      <t>SNOx,KNOx,AOB</t>
    </r>
    <r>
      <rPr>
        <sz val="11"/>
        <rFont val="Calibri"/>
        <family val="2"/>
      </rPr>
      <t>*Minh</t>
    </r>
    <r>
      <rPr>
        <vertAlign val="subscript"/>
        <sz val="11"/>
        <rFont val="Calibri"/>
        <family val="2"/>
      </rPr>
      <t>SO2,KO2,AOB</t>
    </r>
    <r>
      <rPr>
        <sz val="11"/>
        <rFont val="Calibri"/>
        <family val="2"/>
      </rPr>
      <t>+m</t>
    </r>
    <r>
      <rPr>
        <vertAlign val="subscript"/>
        <sz val="11"/>
        <rFont val="Calibri"/>
        <family val="2"/>
      </rPr>
      <t>tox,ana</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</si>
  <si>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*(Msat</t>
    </r>
    <r>
      <rPr>
        <vertAlign val="subscript"/>
        <sz val="11"/>
        <rFont val="Calibri"/>
        <family val="2"/>
      </rPr>
      <t>SO2,KO2,NOB</t>
    </r>
    <r>
      <rPr>
        <sz val="11"/>
        <rFont val="Calibri"/>
        <family val="2"/>
      </rPr>
      <t>+η</t>
    </r>
    <r>
      <rPr>
        <vertAlign val="subscript"/>
        <sz val="11"/>
        <rFont val="Calibri"/>
        <family val="2"/>
      </rPr>
      <t>b,anox</t>
    </r>
    <r>
      <rPr>
        <sz val="11"/>
        <rFont val="Calibri"/>
        <family val="2"/>
      </rPr>
      <t>*Msat</t>
    </r>
    <r>
      <rPr>
        <vertAlign val="subscript"/>
        <sz val="11"/>
        <rFont val="Calibri"/>
        <family val="2"/>
      </rPr>
      <t>SNOx</t>
    </r>
    <r>
      <rPr>
        <b/>
        <vertAlign val="subscript"/>
        <sz val="11"/>
        <rFont val="Calibri"/>
        <family val="2"/>
      </rPr>
      <t>,</t>
    </r>
    <r>
      <rPr>
        <vertAlign val="subscript"/>
        <sz val="11"/>
        <rFont val="Calibri"/>
        <family val="2"/>
      </rPr>
      <t>KNOx,NOB</t>
    </r>
    <r>
      <rPr>
        <sz val="11"/>
        <rFont val="Calibri"/>
        <family val="2"/>
      </rPr>
      <t>*Minh</t>
    </r>
    <r>
      <rPr>
        <vertAlign val="subscript"/>
        <sz val="11"/>
        <rFont val="Calibri"/>
        <family val="2"/>
      </rPr>
      <t>SO2,KO2,NOB</t>
    </r>
    <r>
      <rPr>
        <sz val="11"/>
        <rFont val="Calibri"/>
        <family val="2"/>
      </rPr>
      <t>)</t>
    </r>
  </si>
  <si>
    <r>
      <t>b</t>
    </r>
    <r>
      <rPr>
        <vertAlign val="subscript"/>
        <sz val="11"/>
        <rFont val="Calibri"/>
        <family val="2"/>
      </rPr>
      <t>NOB,T</t>
    </r>
    <r>
      <rPr>
        <sz val="11"/>
        <rFont val="Calibri"/>
        <family val="2"/>
      </rPr>
      <t>*X</t>
    </r>
    <r>
      <rPr>
        <vertAlign val="subscript"/>
        <sz val="11"/>
        <rFont val="Calibri"/>
        <family val="2"/>
      </rPr>
      <t>NOB</t>
    </r>
    <r>
      <rPr>
        <sz val="11"/>
        <rFont val="Calibri"/>
        <family val="2"/>
      </rPr>
      <t>*(η</t>
    </r>
    <r>
      <rPr>
        <vertAlign val="subscript"/>
        <sz val="11"/>
        <rFont val="Calibri"/>
        <family val="2"/>
      </rPr>
      <t>b,ana</t>
    </r>
    <r>
      <rPr>
        <sz val="11"/>
        <rFont val="Calibri"/>
        <family val="2"/>
      </rPr>
      <t>*Minh</t>
    </r>
    <r>
      <rPr>
        <vertAlign val="subscript"/>
        <sz val="11"/>
        <rFont val="Calibri"/>
        <family val="2"/>
      </rPr>
      <t>SNOx,KNOx,NOB</t>
    </r>
    <r>
      <rPr>
        <sz val="11"/>
        <rFont val="Calibri"/>
        <family val="2"/>
      </rPr>
      <t>*Minh</t>
    </r>
    <r>
      <rPr>
        <vertAlign val="subscript"/>
        <sz val="11"/>
        <rFont val="Calibri"/>
        <family val="2"/>
      </rPr>
      <t>SO2,KO2,NOB</t>
    </r>
    <r>
      <rPr>
        <sz val="11"/>
        <rFont val="Calibri"/>
        <family val="2"/>
      </rPr>
      <t>+m</t>
    </r>
    <r>
      <rPr>
        <vertAlign val="subscript"/>
        <sz val="11"/>
        <rFont val="Calibri"/>
        <family val="2"/>
      </rPr>
      <t>tox,ana</t>
    </r>
    <r>
      <rPr>
        <sz val="11"/>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</si>
  <si>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*(Msat</t>
    </r>
    <r>
      <rPr>
        <vertAlign val="subscript"/>
        <sz val="11"/>
        <color indexed="8"/>
        <rFont val="Calibri"/>
        <family val="2"/>
        <charset val="238"/>
      </rPr>
      <t>SO2,KiO2,AMX</t>
    </r>
    <r>
      <rPr>
        <sz val="11"/>
        <color indexed="8"/>
        <rFont val="Calibri"/>
        <family val="2"/>
      </rPr>
      <t>+η</t>
    </r>
    <r>
      <rPr>
        <vertAlign val="subscript"/>
        <sz val="11"/>
        <color indexed="8"/>
        <rFont val="Calibri"/>
        <family val="2"/>
        <charset val="238"/>
      </rPr>
      <t>b,anox</t>
    </r>
    <r>
      <rPr>
        <sz val="11"/>
        <color indexed="8"/>
        <rFont val="Calibri"/>
        <family val="2"/>
      </rPr>
      <t>*Msat</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</si>
  <si>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b</t>
    </r>
    <r>
      <rPr>
        <vertAlign val="subscript"/>
        <sz val="11"/>
        <color indexed="8"/>
        <rFont val="Calibri"/>
        <family val="2"/>
        <charset val="238"/>
      </rPr>
      <t>AMX,T</t>
    </r>
    <r>
      <rPr>
        <sz val="11"/>
        <color indexed="8"/>
        <rFont val="Calibri"/>
        <family val="2"/>
      </rPr>
      <t>*X</t>
    </r>
    <r>
      <rPr>
        <vertAlign val="subscript"/>
        <sz val="11"/>
        <color indexed="8"/>
        <rFont val="Calibri"/>
        <family val="2"/>
        <charset val="238"/>
      </rPr>
      <t>AMX</t>
    </r>
    <r>
      <rPr>
        <sz val="11"/>
        <color indexed="8"/>
        <rFont val="Calibri"/>
        <family val="2"/>
      </rPr>
      <t>*(η</t>
    </r>
    <r>
      <rPr>
        <vertAlign val="subscript"/>
        <sz val="11"/>
        <color indexed="8"/>
        <rFont val="Calibri"/>
        <family val="2"/>
        <charset val="238"/>
      </rPr>
      <t>b,ana</t>
    </r>
    <r>
      <rPr>
        <sz val="11"/>
        <color indexed="8"/>
        <rFont val="Calibri"/>
        <family val="2"/>
      </rPr>
      <t>*Minh</t>
    </r>
    <r>
      <rPr>
        <vertAlign val="subscript"/>
        <sz val="11"/>
        <color indexed="8"/>
        <rFont val="Calibri"/>
        <family val="2"/>
        <charset val="238"/>
      </rPr>
      <t>SNOx,KNOx,AMX</t>
    </r>
    <r>
      <rPr>
        <sz val="11"/>
        <color indexed="8"/>
        <rFont val="Calibri"/>
        <family val="2"/>
      </rPr>
      <t>*Minh</t>
    </r>
    <r>
      <rPr>
        <vertAlign val="subscript"/>
        <sz val="11"/>
        <color indexed="8"/>
        <rFont val="Calibri"/>
        <family val="2"/>
        <charset val="238"/>
      </rPr>
      <t>SO2,KiO2,AMX</t>
    </r>
    <r>
      <rPr>
        <sz val="11"/>
        <color indexed="8"/>
        <rFont val="Calibri"/>
        <family val="2"/>
      </rPr>
      <t>)</t>
    </r>
  </si>
  <si>
    <r>
      <t>-X</t>
    </r>
    <r>
      <rPr>
        <vertAlign val="subscript"/>
        <sz val="11"/>
        <rFont val="Calibri"/>
        <family val="2"/>
      </rPr>
      <t>HFO,H</t>
    </r>
    <r>
      <rPr>
        <sz val="11"/>
        <rFont val="Calibri"/>
        <family val="2"/>
      </rPr>
      <t>/X</t>
    </r>
    <r>
      <rPr>
        <vertAlign val="subscript"/>
        <sz val="11"/>
        <rFont val="Calibri"/>
        <family val="2"/>
      </rPr>
      <t>HFO</t>
    </r>
  </si>
  <si>
    <r>
      <t>-X</t>
    </r>
    <r>
      <rPr>
        <vertAlign val="subscript"/>
        <sz val="11"/>
        <rFont val="Calibri"/>
        <family val="2"/>
      </rPr>
      <t>HFO,L</t>
    </r>
    <r>
      <rPr>
        <sz val="11"/>
        <rFont val="Calibri"/>
        <family val="2"/>
      </rPr>
      <t>/X</t>
    </r>
    <r>
      <rPr>
        <vertAlign val="subscript"/>
        <sz val="11"/>
        <rFont val="Calibri"/>
        <family val="2"/>
      </rPr>
      <t>HFO</t>
    </r>
  </si>
  <si>
    <r>
      <t>-X</t>
    </r>
    <r>
      <rPr>
        <vertAlign val="subscript"/>
        <sz val="11"/>
        <rFont val="Calibri"/>
        <family val="2"/>
      </rPr>
      <t>HFO,old</t>
    </r>
    <r>
      <rPr>
        <sz val="11"/>
        <rFont val="Calibri"/>
        <family val="2"/>
      </rPr>
      <t>/X</t>
    </r>
    <r>
      <rPr>
        <vertAlign val="subscript"/>
        <sz val="11"/>
        <rFont val="Calibri"/>
        <family val="2"/>
      </rPr>
      <t>HFO</t>
    </r>
  </si>
  <si>
    <r>
      <t>-X</t>
    </r>
    <r>
      <rPr>
        <vertAlign val="subscript"/>
        <sz val="11"/>
        <rFont val="Calibri"/>
        <family val="2"/>
      </rPr>
      <t>HFO,H,P</t>
    </r>
    <r>
      <rPr>
        <sz val="11"/>
        <rFont val="Calibri"/>
        <family val="2"/>
      </rPr>
      <t>/X</t>
    </r>
    <r>
      <rPr>
        <vertAlign val="subscript"/>
        <sz val="11"/>
        <rFont val="Calibri"/>
        <family val="2"/>
      </rPr>
      <t>HFO</t>
    </r>
  </si>
  <si>
    <r>
      <t>-X</t>
    </r>
    <r>
      <rPr>
        <vertAlign val="subscript"/>
        <sz val="11"/>
        <rFont val="Calibri"/>
        <family val="2"/>
      </rPr>
      <t>HFO,L,P</t>
    </r>
    <r>
      <rPr>
        <sz val="11"/>
        <rFont val="Calibri"/>
        <family val="2"/>
      </rPr>
      <t>/X</t>
    </r>
    <r>
      <rPr>
        <vertAlign val="subscript"/>
        <sz val="11"/>
        <rFont val="Calibri"/>
        <family val="2"/>
      </rPr>
      <t>HFO</t>
    </r>
  </si>
  <si>
    <r>
      <t>-X</t>
    </r>
    <r>
      <rPr>
        <vertAlign val="subscript"/>
        <sz val="11"/>
        <rFont val="Calibri"/>
        <family val="2"/>
      </rPr>
      <t>HFO,H,P,old</t>
    </r>
    <r>
      <rPr>
        <sz val="11"/>
        <rFont val="Calibri"/>
        <family val="2"/>
      </rPr>
      <t>/X</t>
    </r>
    <r>
      <rPr>
        <vertAlign val="subscript"/>
        <sz val="11"/>
        <rFont val="Calibri"/>
        <family val="2"/>
      </rPr>
      <t>HFO</t>
    </r>
  </si>
  <si>
    <r>
      <t>-X</t>
    </r>
    <r>
      <rPr>
        <vertAlign val="subscript"/>
        <sz val="11"/>
        <rFont val="Calibri"/>
        <family val="2"/>
      </rPr>
      <t>HFO,L,P,old</t>
    </r>
    <r>
      <rPr>
        <sz val="11"/>
        <rFont val="Calibri"/>
        <family val="2"/>
      </rPr>
      <t>/X</t>
    </r>
    <r>
      <rPr>
        <vertAlign val="subscript"/>
        <sz val="11"/>
        <rFont val="Calibri"/>
        <family val="2"/>
      </rPr>
      <t>HFO</t>
    </r>
  </si>
  <si>
    <r>
      <t>q</t>
    </r>
    <r>
      <rPr>
        <vertAlign val="subscript"/>
        <sz val="11"/>
        <rFont val="Calibri"/>
        <family val="2"/>
      </rPr>
      <t>HFO,RED,T</t>
    </r>
    <r>
      <rPr>
        <sz val="11"/>
        <rFont val="Calibri"/>
        <family val="2"/>
      </rPr>
      <t xml:space="preserve"> * X</t>
    </r>
    <r>
      <rPr>
        <vertAlign val="subscript"/>
        <sz val="11"/>
        <rFont val="Calibri"/>
        <family val="2"/>
      </rPr>
      <t>HFO</t>
    </r>
    <r>
      <rPr>
        <sz val="11"/>
        <rFont val="Calibri"/>
        <family val="2"/>
      </rPr>
      <t>*Loginh</t>
    </r>
    <r>
      <rPr>
        <vertAlign val="subscript"/>
        <sz val="11"/>
        <rFont val="Calibri"/>
        <family val="2"/>
      </rPr>
      <t>ORP,HFO</t>
    </r>
    <r>
      <rPr>
        <sz val="11"/>
        <rFont val="Calibri"/>
        <family val="2"/>
      </rPr>
      <t>*(Msat</t>
    </r>
    <r>
      <rPr>
        <vertAlign val="subscript"/>
        <sz val="11"/>
        <rFont val="Calibri"/>
        <family val="2"/>
      </rPr>
      <t>SB,KSB</t>
    </r>
    <r>
      <rPr>
        <sz val="11"/>
        <rFont val="Calibri"/>
        <family val="2"/>
      </rPr>
      <t>+Msat</t>
    </r>
    <r>
      <rPr>
        <vertAlign val="subscript"/>
        <sz val="11"/>
        <rFont val="Calibri"/>
        <family val="2"/>
      </rPr>
      <t>SVFA,KVFA</t>
    </r>
    <r>
      <rPr>
        <sz val="11"/>
        <rFont val="Calibri"/>
        <family val="2"/>
      </rPr>
      <t>)</t>
    </r>
  </si>
  <si>
    <r>
      <t>X</t>
    </r>
    <r>
      <rPr>
        <vertAlign val="subscript"/>
        <sz val="11"/>
        <rFont val="Calibri"/>
        <family val="2"/>
      </rPr>
      <t>HFO,P</t>
    </r>
    <r>
      <rPr>
        <sz val="11"/>
        <rFont val="Calibri"/>
        <family val="2"/>
      </rPr>
      <t>/X</t>
    </r>
    <r>
      <rPr>
        <vertAlign val="subscript"/>
        <sz val="11"/>
        <rFont val="Calibri"/>
        <family val="2"/>
      </rPr>
      <t>HFO</t>
    </r>
  </si>
  <si>
    <t>Non-Digester; Non-Biofilm</t>
  </si>
  <si>
    <t>Non-Digester; Biofilm</t>
  </si>
  <si>
    <t>Half-saturations for carbon storing organisms (CASTO)</t>
  </si>
  <si>
    <r>
      <t>K</t>
    </r>
    <r>
      <rPr>
        <vertAlign val="subscript"/>
        <sz val="11"/>
        <rFont val="Calibri"/>
        <family val="2"/>
        <scheme val="minor"/>
      </rPr>
      <t>O2,CASTO</t>
    </r>
  </si>
  <si>
    <r>
      <t>Half-saturation of 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</si>
  <si>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scheme val="minor"/>
      </rPr>
      <t>O2,CASTO,AS</t>
    </r>
    <r>
      <rPr>
        <sz val="11"/>
        <rFont val="Calibri"/>
        <family val="2"/>
        <scheme val="minor"/>
      </rPr>
      <t>*f</t>
    </r>
    <r>
      <rPr>
        <vertAlign val="subscript"/>
        <sz val="11"/>
        <rFont val="Calibri"/>
        <family val="2"/>
        <scheme val="minor"/>
      </rPr>
      <t>KS</t>
    </r>
  </si>
  <si>
    <r>
      <t>K</t>
    </r>
    <r>
      <rPr>
        <vertAlign val="subscript"/>
        <sz val="11"/>
        <rFont val="Calibri"/>
        <family val="2"/>
      </rPr>
      <t>NO2,CASTO</t>
    </r>
  </si>
  <si>
    <r>
      <t>Half-saturation of NO</t>
    </r>
    <r>
      <rPr>
        <vertAlign val="subscript"/>
        <sz val="11"/>
        <color rgb="FF000000"/>
        <rFont val="Calibri"/>
        <family val="2"/>
        <scheme val="minor"/>
      </rPr>
      <t>2</t>
    </r>
    <r>
      <rPr>
        <sz val="11"/>
        <color rgb="FF000000"/>
        <rFont val="Calibri"/>
        <family val="2"/>
        <charset val="238"/>
        <scheme val="minor"/>
      </rPr>
      <t xml:space="preserve"> for CASTOs</t>
    </r>
  </si>
  <si>
    <r>
      <t>K</t>
    </r>
    <r>
      <rPr>
        <vertAlign val="subscript"/>
        <sz val="11"/>
        <rFont val="Calibri"/>
        <family val="2"/>
      </rPr>
      <t>NO2,CASTO,AS</t>
    </r>
  </si>
  <si>
    <r>
      <t>K</t>
    </r>
    <r>
      <rPr>
        <vertAlign val="subscript"/>
        <sz val="11"/>
        <rFont val="Calibri"/>
        <family val="2"/>
      </rPr>
      <t>NO2,CASTO,AS</t>
    </r>
    <r>
      <rPr>
        <sz val="11"/>
        <rFont val="Calibri"/>
        <family val="2"/>
      </rPr>
      <t>*f</t>
    </r>
    <r>
      <rPr>
        <vertAlign val="subscript"/>
        <sz val="11"/>
        <rFont val="Calibri"/>
        <family val="2"/>
      </rPr>
      <t>KS</t>
    </r>
  </si>
  <si>
    <r>
      <t>K</t>
    </r>
    <r>
      <rPr>
        <vertAlign val="subscript"/>
        <sz val="11"/>
        <rFont val="Calibri"/>
        <family val="2"/>
        <scheme val="minor"/>
      </rPr>
      <t>NO3,CASTO</t>
    </r>
  </si>
  <si>
    <r>
      <t>Half-saturation of NO</t>
    </r>
    <r>
      <rPr>
        <vertAlign val="subscript"/>
        <sz val="11"/>
        <color rgb="FF000000"/>
        <rFont val="Calibri"/>
        <family val="2"/>
        <scheme val="minor"/>
      </rPr>
      <t>3</t>
    </r>
    <r>
      <rPr>
        <sz val="11"/>
        <color rgb="FF000000"/>
        <rFont val="Calibri"/>
        <family val="2"/>
        <charset val="238"/>
        <scheme val="minor"/>
      </rPr>
      <t xml:space="preserve"> for CASTOs</t>
    </r>
  </si>
  <si>
    <r>
      <t>K</t>
    </r>
    <r>
      <rPr>
        <vertAlign val="subscript"/>
        <sz val="11"/>
        <rFont val="Calibri"/>
        <family val="2"/>
        <scheme val="minor"/>
      </rPr>
      <t>NO3,CASTO,AS</t>
    </r>
    <r>
      <rPr>
        <sz val="11"/>
        <rFont val="Calibri"/>
        <family val="2"/>
        <scheme val="minor"/>
      </rPr>
      <t>*f</t>
    </r>
    <r>
      <rPr>
        <vertAlign val="subscript"/>
        <sz val="11"/>
        <rFont val="Calibri"/>
        <family val="2"/>
        <scheme val="minor"/>
      </rPr>
      <t>KS</t>
    </r>
  </si>
  <si>
    <r>
      <t>K</t>
    </r>
    <r>
      <rPr>
        <vertAlign val="subscript"/>
        <sz val="11"/>
        <rFont val="Calibri"/>
        <family val="2"/>
        <scheme val="minor"/>
      </rPr>
      <t>VFA,CASTO</t>
    </r>
  </si>
  <si>
    <t>Half-saturation of VFA storage for CASTOs</t>
  </si>
  <si>
    <r>
      <t>K</t>
    </r>
    <r>
      <rPr>
        <vertAlign val="subscript"/>
        <sz val="11"/>
        <rFont val="Calibri"/>
        <family val="2"/>
        <scheme val="minor"/>
      </rPr>
      <t>VFA,CASTO,AS</t>
    </r>
    <r>
      <rPr>
        <sz val="11"/>
        <rFont val="Calibri"/>
        <family val="2"/>
        <scheme val="minor"/>
      </rPr>
      <t>*f</t>
    </r>
    <r>
      <rPr>
        <vertAlign val="subscript"/>
        <sz val="11"/>
        <rFont val="Calibri"/>
        <family val="2"/>
        <scheme val="minor"/>
      </rPr>
      <t>KS</t>
    </r>
  </si>
  <si>
    <r>
      <t>Minh</t>
    </r>
    <r>
      <rPr>
        <vertAlign val="subscript"/>
        <sz val="11"/>
        <rFont val="Calibri"/>
        <family val="2"/>
        <scheme val="minor"/>
      </rPr>
      <t>SNO2,KNO2,CASTO</t>
    </r>
  </si>
  <si>
    <r>
      <t>Inhibition term for NO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</si>
  <si>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NO2</t>
    </r>
    <r>
      <rPr>
        <sz val="11"/>
        <rFont val="Calibri"/>
        <family val="2"/>
        <scheme val="minor"/>
      </rPr>
      <t>;K</t>
    </r>
    <r>
      <rPr>
        <vertAlign val="subscript"/>
        <sz val="11"/>
        <rFont val="Calibri"/>
        <family val="2"/>
        <scheme val="minor"/>
      </rPr>
      <t>NO2,CASTO</t>
    </r>
    <r>
      <rPr>
        <sz val="11"/>
        <rFont val="Calibri"/>
        <family val="2"/>
        <scheme val="minor"/>
      </rPr>
      <t>)</t>
    </r>
  </si>
  <si>
    <r>
      <t>Minh</t>
    </r>
    <r>
      <rPr>
        <vertAlign val="subscript"/>
        <sz val="11"/>
        <rFont val="Calibri"/>
        <family val="2"/>
        <scheme val="minor"/>
      </rPr>
      <t>SNO3,KNO3,CASTO</t>
    </r>
  </si>
  <si>
    <r>
      <t>Inhibition term for NO</t>
    </r>
    <r>
      <rPr>
        <vertAlign val="subscript"/>
        <sz val="11"/>
        <color rgb="FF000000"/>
        <rFont val="Calibri"/>
        <family val="2"/>
        <scheme val="minor"/>
      </rPr>
      <t>3</t>
    </r>
    <r>
      <rPr>
        <sz val="11"/>
        <color rgb="FF000000"/>
        <rFont val="Calibri"/>
        <family val="2"/>
        <charset val="238"/>
        <scheme val="minor"/>
      </rPr>
      <t xml:space="preserve"> (CASTO)</t>
    </r>
  </si>
  <si>
    <r>
      <t>Minh(S</t>
    </r>
    <r>
      <rPr>
        <vertAlign val="subscript"/>
        <sz val="11"/>
        <rFont val="Calibri"/>
        <family val="2"/>
        <scheme val="minor"/>
      </rPr>
      <t>NO3</t>
    </r>
    <r>
      <rPr>
        <sz val="11"/>
        <rFont val="Calibri"/>
        <family val="2"/>
        <scheme val="minor"/>
      </rPr>
      <t>;K</t>
    </r>
    <r>
      <rPr>
        <vertAlign val="subscript"/>
        <sz val="11"/>
        <rFont val="Calibri"/>
        <family val="2"/>
        <scheme val="minor"/>
      </rPr>
      <t>NO3,CASTO</t>
    </r>
    <r>
      <rPr>
        <sz val="11"/>
        <rFont val="Calibri"/>
        <family val="2"/>
        <scheme val="minor"/>
      </rPr>
      <t>)</t>
    </r>
  </si>
  <si>
    <r>
      <t>Minh</t>
    </r>
    <r>
      <rPr>
        <vertAlign val="subscript"/>
        <sz val="11"/>
        <rFont val="Calibri"/>
        <family val="2"/>
        <scheme val="minor"/>
      </rPr>
      <t>SO2,KO2,CASTO</t>
    </r>
  </si>
  <si>
    <r>
      <t>Inhibition term for O</t>
    </r>
    <r>
      <rPr>
        <vertAlign val="subscript"/>
        <sz val="11"/>
        <color rgb="FF000000"/>
        <rFont val="Calibri"/>
        <family val="2"/>
        <scheme val="minor"/>
      </rPr>
      <t>2</t>
    </r>
    <r>
      <rPr>
        <sz val="11"/>
        <color rgb="FF000000"/>
        <rFont val="Calibri"/>
        <family val="2"/>
        <charset val="238"/>
        <scheme val="minor"/>
      </rPr>
      <t xml:space="preserve"> (CASTO)</t>
    </r>
  </si>
  <si>
    <r>
      <t>Minh(S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</si>
  <si>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MRsat</t>
    </r>
    <r>
      <rPr>
        <vertAlign val="subscript"/>
        <sz val="11"/>
        <rFont val="Calibri"/>
        <family val="2"/>
        <scheme val="minor"/>
      </rPr>
      <t>XSTC,XCASTO,KSTC</t>
    </r>
  </si>
  <si>
    <r>
      <t>MRsat(X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</si>
  <si>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MRinh</t>
    </r>
    <r>
      <rPr>
        <vertAlign val="subscript"/>
        <sz val="11"/>
        <rFont val="Calibri"/>
        <family val="2"/>
        <scheme val="minor"/>
      </rPr>
      <t>XPHA,XPAO,KPHA,cle</t>
    </r>
  </si>
  <si>
    <r>
      <t>MRinh</t>
    </r>
    <r>
      <rPr>
        <vertAlign val="subscript"/>
        <sz val="11"/>
        <rFont val="Calibri"/>
        <family val="2"/>
        <scheme val="minor"/>
      </rPr>
      <t>XSTC,XCASTO,KSTC</t>
    </r>
  </si>
  <si>
    <r>
      <t>MRinh(X</t>
    </r>
    <r>
      <rPr>
        <vertAlign val="subscript"/>
        <sz val="11"/>
        <rFont val="Calibri"/>
        <family val="2"/>
        <scheme val="minor"/>
      </rPr>
      <t>STC</t>
    </r>
    <r>
      <rPr>
        <sz val="11"/>
        <rFont val="Calibri"/>
        <family val="2"/>
        <scheme val="minor"/>
      </rPr>
      <t>;X</t>
    </r>
    <r>
      <rPr>
        <vertAlign val="subscript"/>
        <sz val="11"/>
        <rFont val="Calibri"/>
        <family val="2"/>
        <scheme val="minor"/>
      </rPr>
      <t>CASTO</t>
    </r>
    <r>
      <rPr>
        <sz val="11"/>
        <rFont val="Calibri"/>
        <family val="2"/>
        <scheme val="minor"/>
      </rPr>
      <t>;K</t>
    </r>
    <r>
      <rPr>
        <vertAlign val="subscript"/>
        <sz val="11"/>
        <rFont val="Calibri"/>
        <family val="2"/>
        <scheme val="minor"/>
      </rPr>
      <t>STC</t>
    </r>
    <r>
      <rPr>
        <sz val="11"/>
        <rFont val="Calibri"/>
        <family val="2"/>
        <scheme val="minor"/>
      </rPr>
      <t>)</t>
    </r>
  </si>
  <si>
    <r>
      <t>Msat</t>
    </r>
    <r>
      <rPr>
        <vertAlign val="subscript"/>
        <sz val="11"/>
        <rFont val="Calibri"/>
        <family val="2"/>
      </rPr>
      <t>SNO2,KNO2,CASTO</t>
    </r>
  </si>
  <si>
    <r>
      <t>Saturation term for NO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</si>
  <si>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rPr>
      <t>NO2</t>
    </r>
    <r>
      <rPr>
        <sz val="11"/>
        <rFont val="Calibri"/>
        <family val="2"/>
      </rPr>
      <t>;K</t>
    </r>
    <r>
      <rPr>
        <vertAlign val="subscript"/>
        <sz val="11"/>
        <rFont val="Calibri"/>
        <family val="2"/>
      </rPr>
      <t>NO2,CASTO</t>
    </r>
    <r>
      <rPr>
        <sz val="11"/>
        <rFont val="Calibri"/>
        <family val="2"/>
      </rPr>
      <t>)</t>
    </r>
  </si>
  <si>
    <r>
      <t>Msat</t>
    </r>
    <r>
      <rPr>
        <vertAlign val="subscript"/>
        <sz val="11"/>
        <rFont val="Calibri"/>
        <family val="2"/>
      </rPr>
      <t>SNO3,KNO3,CASTO</t>
    </r>
  </si>
  <si>
    <r>
      <t>Saturation term for NO</t>
    </r>
    <r>
      <rPr>
        <vertAlign val="subscript"/>
        <sz val="11"/>
        <color rgb="FF000000"/>
        <rFont val="Calibri"/>
        <family val="2"/>
        <scheme val="minor"/>
      </rPr>
      <t>3</t>
    </r>
    <r>
      <rPr>
        <sz val="11"/>
        <color rgb="FF000000"/>
        <rFont val="Calibri"/>
        <family val="2"/>
        <charset val="238"/>
        <scheme val="minor"/>
      </rPr>
      <t xml:space="preserve"> (CASTO)</t>
    </r>
  </si>
  <si>
    <r>
      <t>Msat(S</t>
    </r>
    <r>
      <rPr>
        <vertAlign val="subscript"/>
        <sz val="11"/>
        <rFont val="Calibri"/>
        <family val="2"/>
      </rPr>
      <t>NO3</t>
    </r>
    <r>
      <rPr>
        <sz val="11"/>
        <rFont val="Calibri"/>
        <family val="2"/>
      </rPr>
      <t>;K</t>
    </r>
    <r>
      <rPr>
        <vertAlign val="subscript"/>
        <sz val="11"/>
        <rFont val="Calibri"/>
        <family val="2"/>
      </rPr>
      <t>NO3,CASTO</t>
    </r>
    <r>
      <rPr>
        <sz val="11"/>
        <rFont val="Calibri"/>
        <family val="2"/>
      </rPr>
      <t>)</t>
    </r>
  </si>
  <si>
    <r>
      <t>Msat</t>
    </r>
    <r>
      <rPr>
        <vertAlign val="subscript"/>
        <sz val="11"/>
        <rFont val="Calibri"/>
        <family val="2"/>
        <scheme val="minor"/>
      </rPr>
      <t>SO2,KO2,CASTO</t>
    </r>
  </si>
  <si>
    <r>
      <t>Saturation term for O</t>
    </r>
    <r>
      <rPr>
        <vertAlign val="subscript"/>
        <sz val="11"/>
        <color rgb="FF000000"/>
        <rFont val="Calibri"/>
        <family val="2"/>
        <scheme val="minor"/>
      </rPr>
      <t>2</t>
    </r>
    <r>
      <rPr>
        <sz val="11"/>
        <color rgb="FF000000"/>
        <rFont val="Calibri"/>
        <family val="2"/>
        <charset val="238"/>
        <scheme val="minor"/>
      </rPr>
      <t xml:space="preserve"> (CASTO)</t>
    </r>
  </si>
  <si>
    <r>
      <t>Msat(S</t>
    </r>
    <r>
      <rPr>
        <vertAlign val="subscript"/>
        <sz val="11"/>
        <rFont val="Calibri"/>
        <family val="2"/>
        <scheme val="minor"/>
      </rPr>
      <t>O2</t>
    </r>
    <r>
      <rPr>
        <sz val="11"/>
        <rFont val="Calibri"/>
        <family val="2"/>
        <scheme val="minor"/>
      </rPr>
      <t>;K</t>
    </r>
    <r>
      <rPr>
        <vertAlign val="subscript"/>
        <sz val="11"/>
        <rFont val="Calibri"/>
        <family val="2"/>
        <scheme val="minor"/>
      </rPr>
      <t>O2,CASTO</t>
    </r>
    <r>
      <rPr>
        <sz val="11"/>
        <rFont val="Calibri"/>
        <family val="2"/>
        <scheme val="minor"/>
      </rPr>
      <t>)</t>
    </r>
  </si>
  <si>
    <r>
      <t>Logsat</t>
    </r>
    <r>
      <rPr>
        <vertAlign val="subscript"/>
        <sz val="11"/>
        <rFont val="Calibri"/>
        <family val="2"/>
        <scheme val="minor"/>
      </rPr>
      <t>SPO4,KPO4,PAO</t>
    </r>
  </si>
  <si>
    <r>
      <t>Logistic saturation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</si>
  <si>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scheme val="minor"/>
      </rPr>
      <t>SVFA,KVFA,CASTO</t>
    </r>
  </si>
  <si>
    <t>Saturation term for VFA storage (CASTO)</t>
  </si>
  <si>
    <r>
      <t>Msat(S</t>
    </r>
    <r>
      <rPr>
        <vertAlign val="subscript"/>
        <sz val="11"/>
        <rFont val="Calibri"/>
        <family val="2"/>
        <scheme val="minor"/>
      </rPr>
      <t>VFA</t>
    </r>
    <r>
      <rPr>
        <sz val="11"/>
        <rFont val="Calibri"/>
        <family val="2"/>
        <scheme val="minor"/>
      </rPr>
      <t>;K</t>
    </r>
    <r>
      <rPr>
        <vertAlign val="subscript"/>
        <sz val="11"/>
        <rFont val="Calibri"/>
        <family val="2"/>
        <scheme val="minor"/>
      </rPr>
      <t>VFA,CASTO</t>
    </r>
    <r>
      <rPr>
        <sz val="11"/>
        <rFont val="Calibri"/>
        <family val="2"/>
        <scheme val="minor"/>
      </rPr>
      <t>)</t>
    </r>
  </si>
  <si>
    <r>
      <t>Logsat</t>
    </r>
    <r>
      <rPr>
        <vertAlign val="subscript"/>
        <sz val="11"/>
        <rFont val="Calibri"/>
        <family val="2"/>
        <scheme val="minor"/>
      </rPr>
      <t>XPP,KPO4,PAO</t>
    </r>
  </si>
  <si>
    <t>Logistic saturation term for PP in PP cleavage (PAO)</t>
  </si>
  <si>
    <t>Logistic inhibition term for PHA (PAO)</t>
  </si>
  <si>
    <t>Logistic inhibition term for PP (PAO)</t>
  </si>
  <si>
    <r>
      <t>Loginh</t>
    </r>
    <r>
      <rPr>
        <vertAlign val="subscript"/>
        <sz val="11"/>
        <rFont val="Calibri"/>
        <family val="2"/>
        <scheme val="minor"/>
      </rPr>
      <t>SPO4,KiP,HAO,DISS</t>
    </r>
  </si>
  <si>
    <r>
      <t>Inhibition term for PO</t>
    </r>
    <r>
      <rPr>
        <vertAlign val="subscript"/>
        <sz val="11"/>
        <color rgb="FF000000"/>
        <rFont val="Calibri"/>
        <family val="2"/>
        <scheme val="minor"/>
      </rPr>
      <t>4</t>
    </r>
    <r>
      <rPr>
        <sz val="11"/>
        <color rgb="FF000000"/>
        <rFont val="Calibri"/>
        <family val="2"/>
        <charset val="238"/>
        <scheme val="minor"/>
      </rPr>
      <t xml:space="preserve"> in redissolution of HAO</t>
    </r>
  </si>
  <si>
    <r>
      <t>Minh</t>
    </r>
    <r>
      <rPr>
        <vertAlign val="subscript"/>
        <sz val="11"/>
        <rFont val="Calibri"/>
        <family val="2"/>
        <scheme val="minor"/>
      </rPr>
      <t>SPO4,KiP,HAO,DESORP</t>
    </r>
  </si>
  <si>
    <r>
      <t>Inhibition term for PO</t>
    </r>
    <r>
      <rPr>
        <vertAlign val="subscript"/>
        <sz val="11"/>
        <color rgb="FF000000"/>
        <rFont val="Calibri"/>
        <family val="2"/>
        <scheme val="minor"/>
      </rPr>
      <t>4</t>
    </r>
    <r>
      <rPr>
        <sz val="11"/>
        <color rgb="FF000000"/>
        <rFont val="Calibri"/>
        <family val="2"/>
        <charset val="238"/>
        <scheme val="minor"/>
      </rPr>
      <t xml:space="preserve"> in desorption of HAO</t>
    </r>
  </si>
  <si>
    <r>
      <t>Minh(S</t>
    </r>
    <r>
      <rPr>
        <vertAlign val="subscript"/>
        <sz val="11"/>
        <rFont val="Calibri"/>
        <family val="2"/>
        <scheme val="minor"/>
      </rPr>
      <t>PO4</t>
    </r>
    <r>
      <rPr>
        <sz val="11"/>
        <rFont val="Calibri"/>
        <family val="2"/>
        <scheme val="minor"/>
      </rPr>
      <t>;Ki</t>
    </r>
    <r>
      <rPr>
        <vertAlign val="subscript"/>
        <sz val="11"/>
        <rFont val="Calibri"/>
        <family val="2"/>
        <scheme val="minor"/>
      </rPr>
      <t>P,HAO,DESORP</t>
    </r>
    <r>
      <rPr>
        <sz val="11"/>
        <rFont val="Calibri"/>
        <family val="2"/>
        <scheme val="minor"/>
      </rPr>
      <t>)</t>
    </r>
  </si>
  <si>
    <r>
      <t>Msat</t>
    </r>
    <r>
      <rPr>
        <vertAlign val="subscript"/>
        <sz val="11"/>
        <rFont val="Calibri"/>
        <family val="2"/>
        <scheme val="minor"/>
      </rPr>
      <t>SPO4,KP,HAO,BIND</t>
    </r>
  </si>
  <si>
    <r>
      <t>Saturation term for PO</t>
    </r>
    <r>
      <rPr>
        <vertAlign val="subscript"/>
        <sz val="11"/>
        <color rgb="FF000000"/>
        <rFont val="Calibri"/>
        <family val="2"/>
        <scheme val="minor"/>
      </rPr>
      <t>4</t>
    </r>
    <r>
      <rPr>
        <sz val="11"/>
        <color rgb="FF000000"/>
        <rFont val="Calibri"/>
        <family val="2"/>
        <charset val="238"/>
        <scheme val="minor"/>
      </rPr>
      <t xml:space="preserve"> binding on HAO</t>
    </r>
  </si>
  <si>
    <r>
      <t>Msat(S</t>
    </r>
    <r>
      <rPr>
        <vertAlign val="subscript"/>
        <sz val="11"/>
        <rFont val="Calibri"/>
        <family val="2"/>
        <scheme val="minor"/>
      </rPr>
      <t>PO4</t>
    </r>
    <r>
      <rPr>
        <sz val="11"/>
        <rFont val="Calibri"/>
        <family val="2"/>
        <scheme val="minor"/>
      </rPr>
      <t>;K</t>
    </r>
    <r>
      <rPr>
        <vertAlign val="subscript"/>
        <sz val="11"/>
        <rFont val="Calibri"/>
        <family val="2"/>
        <scheme val="minor"/>
      </rPr>
      <t>P,HAO,BIND</t>
    </r>
    <r>
      <rPr>
        <sz val="11"/>
        <rFont val="Calibri"/>
        <family val="2"/>
        <scheme val="minor"/>
      </rPr>
      <t>)</t>
    </r>
  </si>
  <si>
    <r>
      <t>Msat</t>
    </r>
    <r>
      <rPr>
        <vertAlign val="subscript"/>
        <sz val="11"/>
        <rFont val="Calibri"/>
        <family val="2"/>
        <scheme val="minor"/>
      </rPr>
      <t>XBSH,KBSH,DISS</t>
    </r>
  </si>
  <si>
    <t>Saturation term for brushite dissolution</t>
  </si>
  <si>
    <r>
      <t>Msat(X</t>
    </r>
    <r>
      <rPr>
        <vertAlign val="subscript"/>
        <sz val="11"/>
        <rFont val="Calibri"/>
        <family val="2"/>
        <scheme val="minor"/>
      </rPr>
      <t>BSH</t>
    </r>
    <r>
      <rPr>
        <sz val="11"/>
        <rFont val="Calibri"/>
        <family val="2"/>
        <scheme val="minor"/>
      </rPr>
      <t>;K</t>
    </r>
    <r>
      <rPr>
        <vertAlign val="subscript"/>
        <sz val="11"/>
        <rFont val="Calibri"/>
        <family val="2"/>
        <scheme val="minor"/>
      </rPr>
      <t>BSH,DISS</t>
    </r>
    <r>
      <rPr>
        <sz val="11"/>
        <rFont val="Calibri"/>
        <family val="2"/>
        <scheme val="minor"/>
      </rPr>
      <t>)</t>
    </r>
  </si>
  <si>
    <r>
      <t>µ</t>
    </r>
    <r>
      <rPr>
        <vertAlign val="subscript"/>
        <sz val="11"/>
        <color indexed="8"/>
        <rFont val="Calibri"/>
        <family val="2"/>
        <scheme val="minor"/>
      </rPr>
      <t>CASTO,T</t>
    </r>
  </si>
  <si>
    <t>Observed maximum specific growth rate of CASTOs (temperature corrected)</t>
  </si>
  <si>
    <r>
      <t>µ</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µ,CASTO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</si>
  <si>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PAO,PP,T</t>
    </r>
  </si>
  <si>
    <t>Rate of polyphosphate storage for PAOs (temperature corrected)</t>
  </si>
  <si>
    <r>
      <t>q</t>
    </r>
    <r>
      <rPr>
        <vertAlign val="subscript"/>
        <sz val="11"/>
        <color indexed="8"/>
        <rFont val="Calibri"/>
        <family val="2"/>
        <scheme val="minor"/>
      </rPr>
      <t>PAO,PP</t>
    </r>
    <r>
      <rPr>
        <sz val="11"/>
        <color indexed="8"/>
        <rFont val="Calibri"/>
        <family val="2"/>
        <scheme val="minor"/>
      </rPr>
      <t>*Arrh(θ</t>
    </r>
    <r>
      <rPr>
        <vertAlign val="subscript"/>
        <sz val="11"/>
        <color indexed="8"/>
        <rFont val="Calibri"/>
        <family val="2"/>
        <scheme val="minor"/>
      </rPr>
      <t>q,PAO,PP</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</si>
  <si>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STC,T</t>
    </r>
  </si>
  <si>
    <r>
      <t>b</t>
    </r>
    <r>
      <rPr>
        <vertAlign val="subscript"/>
        <sz val="11"/>
        <color indexed="8"/>
        <rFont val="Calibri"/>
        <family val="2"/>
        <charset val="238"/>
        <scheme val="minor"/>
      </rPr>
      <t>STC</t>
    </r>
    <r>
      <rPr>
        <sz val="11"/>
        <color indexed="8"/>
        <rFont val="Calibri"/>
        <family val="2"/>
        <scheme val="minor"/>
      </rPr>
      <t>*Arrh(θ</t>
    </r>
    <r>
      <rPr>
        <vertAlign val="subscript"/>
        <sz val="11"/>
        <color indexed="8"/>
        <rFont val="Calibri"/>
        <family val="2"/>
        <scheme val="minor"/>
      </rPr>
      <t>b,STC</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</si>
  <si>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b</t>
    </r>
    <r>
      <rPr>
        <vertAlign val="subscript"/>
        <sz val="11"/>
        <color indexed="8"/>
        <rFont val="Calibri"/>
        <family val="2"/>
        <scheme val="minor"/>
      </rPr>
      <t>CASTO,T</t>
    </r>
  </si>
  <si>
    <t>Decay rate of CASTOs (temperature corrected)</t>
  </si>
  <si>
    <r>
      <t>b</t>
    </r>
    <r>
      <rPr>
        <vertAlign val="subscript"/>
        <sz val="11"/>
        <color indexed="8"/>
        <rFont val="Calibri"/>
        <family val="2"/>
        <scheme val="minor"/>
      </rPr>
      <t>CASTO</t>
    </r>
    <r>
      <rPr>
        <sz val="11"/>
        <color indexed="8"/>
        <rFont val="Calibri"/>
        <family val="2"/>
        <scheme val="minor"/>
      </rPr>
      <t>*Arrh(θ</t>
    </r>
    <r>
      <rPr>
        <vertAlign val="subscript"/>
        <sz val="11"/>
        <color indexed="8"/>
        <rFont val="Calibri"/>
        <family val="2"/>
        <scheme val="minor"/>
      </rPr>
      <t>b,CASTO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</si>
  <si>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K</t>
    </r>
    <r>
      <rPr>
        <vertAlign val="subscript"/>
        <sz val="11"/>
        <rFont val="Calibri"/>
        <family val="2"/>
        <scheme val="minor"/>
      </rPr>
      <t>sp,BSH</t>
    </r>
  </si>
  <si>
    <t>Solubility constant of brushite (activity corrected)</t>
  </si>
  <si>
    <r>
      <t>K</t>
    </r>
    <r>
      <rPr>
        <vertAlign val="subscript"/>
        <sz val="11"/>
        <rFont val="Calibri"/>
        <family val="2"/>
        <scheme val="minor"/>
      </rPr>
      <t>sp,BSH,param</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*f</t>
    </r>
    <r>
      <rPr>
        <vertAlign val="subscript"/>
        <sz val="11"/>
        <rFont val="Calibri"/>
        <family val="2"/>
        <scheme val="minor"/>
      </rPr>
      <t>di</t>
    </r>
    <r>
      <rPr>
        <vertAlign val="superscript"/>
        <sz val="11"/>
        <rFont val="Calibri"/>
        <family val="2"/>
        <scheme val="minor"/>
      </rPr>
      <t>^(1/2)</t>
    </r>
    <r>
      <rPr>
        <sz val="11"/>
        <rFont val="Calibri"/>
        <family val="2"/>
        <scheme val="minor"/>
      </rPr>
      <t>)</t>
    </r>
  </si>
  <si>
    <t>Alpha factor influencing expressions</t>
  </si>
  <si>
    <r>
      <t>damp</t>
    </r>
    <r>
      <rPr>
        <vertAlign val="subscript"/>
        <sz val="11"/>
        <rFont val="Calibri"/>
        <family val="2"/>
        <charset val="238"/>
        <scheme val="minor"/>
      </rPr>
      <t>ALPHA</t>
    </r>
  </si>
  <si>
    <r>
      <t>1+coeff</t>
    </r>
    <r>
      <rPr>
        <vertAlign val="subscript"/>
        <sz val="11"/>
        <rFont val="Calibri"/>
        <family val="2"/>
        <charset val="238"/>
        <scheme val="minor"/>
      </rPr>
      <t>damp,ALPHA</t>
    </r>
    <r>
      <rPr>
        <sz val="11"/>
        <rFont val="Calibri"/>
        <family val="2"/>
        <charset val="238"/>
        <scheme val="minor"/>
      </rPr>
      <t>*(</t>
    </r>
    <r>
      <rPr>
        <sz val="11"/>
        <rFont val="Calibri"/>
        <family val="2"/>
        <scheme val="minor"/>
      </rPr>
      <t>S</t>
    </r>
    <r>
      <rPr>
        <vertAlign val="subscript"/>
        <sz val="11"/>
        <rFont val="Calibri"/>
        <family val="2"/>
        <charset val="238"/>
        <scheme val="minor"/>
      </rPr>
      <t>ALPHA</t>
    </r>
    <r>
      <rPr>
        <sz val="11"/>
        <rFont val="Calibri"/>
        <family val="2"/>
        <scheme val="minor"/>
      </rPr>
      <t>/S</t>
    </r>
    <r>
      <rPr>
        <vertAlign val="subscript"/>
        <sz val="11"/>
        <rFont val="Calibri"/>
        <family val="2"/>
        <charset val="238"/>
        <scheme val="minor"/>
      </rPr>
      <t>ALPHA,sat</t>
    </r>
    <r>
      <rPr>
        <sz val="11"/>
        <rFont val="Calibri"/>
        <family val="2"/>
        <charset val="238"/>
        <scheme val="minor"/>
      </rPr>
      <t>)^pow</t>
    </r>
    <r>
      <rPr>
        <vertAlign val="subscript"/>
        <sz val="11"/>
        <rFont val="Calibri"/>
        <family val="2"/>
        <charset val="238"/>
        <scheme val="minor"/>
      </rPr>
      <t>damp,ALPHA</t>
    </r>
  </si>
  <si>
    <r>
      <t>corr</t>
    </r>
    <r>
      <rPr>
        <vertAlign val="subscript"/>
        <sz val="11"/>
        <rFont val="Calibri"/>
        <family val="2"/>
        <charset val="238"/>
        <scheme val="minor"/>
      </rPr>
      <t>TSS,</t>
    </r>
    <r>
      <rPr>
        <vertAlign val="subscript"/>
        <sz val="11"/>
        <rFont val="Calibri"/>
        <family val="2"/>
        <charset val="238"/>
      </rPr>
      <t>α</t>
    </r>
  </si>
  <si>
    <r>
      <t>Exp(</t>
    </r>
    <r>
      <rPr>
        <sz val="11"/>
        <color indexed="8"/>
        <rFont val="Calibri"/>
        <family val="2"/>
      </rPr>
      <t>sl</t>
    </r>
    <r>
      <rPr>
        <vertAlign val="subscript"/>
        <sz val="11"/>
        <color rgb="FF000000"/>
        <rFont val="Calibri"/>
        <family val="2"/>
        <charset val="238"/>
      </rPr>
      <t>TSS,α,def</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</si>
  <si>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r>
      <t>Exp(</t>
    </r>
    <r>
      <rPr>
        <sz val="11"/>
        <color indexed="8"/>
        <rFont val="Calibri"/>
        <family val="2"/>
      </rPr>
      <t>sl</t>
    </r>
    <r>
      <rPr>
        <vertAlign val="subscript"/>
        <sz val="11"/>
        <color rgb="FF000000"/>
        <rFont val="Calibri"/>
        <family val="2"/>
        <charset val="238"/>
      </rPr>
      <t>TSS,α,coarse</t>
    </r>
    <r>
      <rPr>
        <sz val="11"/>
        <color rgb="FF000000"/>
        <rFont val="Calibri"/>
        <family val="2"/>
        <charset val="238"/>
      </rPr>
      <t>*X</t>
    </r>
    <r>
      <rPr>
        <vertAlign val="subscript"/>
        <sz val="11"/>
        <color rgb="FF000000"/>
        <rFont val="Calibri"/>
        <family val="2"/>
        <charset val="238"/>
      </rPr>
      <t>TSS</t>
    </r>
    <r>
      <rPr>
        <sz val="11"/>
        <color rgb="FF000000"/>
        <rFont val="Calibri"/>
        <family val="2"/>
        <charset val="238"/>
      </rPr>
      <t>/c</t>
    </r>
    <r>
      <rPr>
        <vertAlign val="subscript"/>
        <sz val="11"/>
        <color rgb="FF000000"/>
        <rFont val="Calibri"/>
        <family val="2"/>
        <charset val="238"/>
      </rPr>
      <t>g,kg</t>
    </r>
    <r>
      <rPr>
        <sz val="11"/>
        <color indexed="8"/>
        <rFont val="Calibri"/>
        <family val="2"/>
      </rPr>
      <t>)</t>
    </r>
  </si>
  <si>
    <t>SOTECorr_cap</t>
  </si>
  <si>
    <t>SOTEFixed_coarse</t>
  </si>
  <si>
    <r>
      <t>coeff</t>
    </r>
    <r>
      <rPr>
        <vertAlign val="subscript"/>
        <sz val="11"/>
        <rFont val="Calibri"/>
        <family val="2"/>
        <charset val="238"/>
        <scheme val="minor"/>
      </rPr>
      <t>lead,TSS,</t>
    </r>
    <r>
      <rPr>
        <vertAlign val="subscript"/>
        <sz val="11"/>
        <rFont val="Calibri"/>
        <family val="2"/>
        <charset val="238"/>
      </rPr>
      <t>α,mech</t>
    </r>
    <r>
      <rPr>
        <sz val="11"/>
        <rFont val="Calibri"/>
        <family val="2"/>
        <scheme val="minor"/>
      </rPr>
      <t>*(X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charset val="238"/>
        <scheme val="minor"/>
      </rPr>
      <t>)^</t>
    </r>
    <r>
      <rPr>
        <sz val="11"/>
        <rFont val="Calibri"/>
        <family val="2"/>
        <scheme val="minor"/>
      </rPr>
      <t>2 + coeff</t>
    </r>
    <r>
      <rPr>
        <vertAlign val="subscript"/>
        <sz val="11"/>
        <rFont val="Calibri"/>
        <family val="2"/>
        <charset val="238"/>
        <scheme val="minor"/>
      </rPr>
      <t>lin,TSS,α,mech</t>
    </r>
    <r>
      <rPr>
        <sz val="11"/>
        <rFont val="Calibri"/>
        <family val="2"/>
        <scheme val="minor"/>
      </rPr>
      <t xml:space="preserve"> * X</t>
    </r>
    <r>
      <rPr>
        <vertAlign val="subscript"/>
        <sz val="11"/>
        <rFont val="Calibri"/>
        <family val="2"/>
        <charset val="238"/>
        <scheme val="minor"/>
      </rPr>
      <t>TSS</t>
    </r>
    <r>
      <rPr>
        <sz val="11"/>
        <rFont val="Calibri"/>
        <family val="2"/>
        <charset val="238"/>
        <scheme val="minor"/>
      </rPr>
      <t>/c</t>
    </r>
    <r>
      <rPr>
        <vertAlign val="subscript"/>
        <sz val="11"/>
        <rFont val="Calibri"/>
        <family val="2"/>
        <charset val="238"/>
        <scheme val="minor"/>
      </rPr>
      <t>g,kg</t>
    </r>
    <r>
      <rPr>
        <sz val="11"/>
        <rFont val="Calibri"/>
        <family val="2"/>
        <scheme val="minor"/>
      </rPr>
      <t xml:space="preserve"> + const</t>
    </r>
    <r>
      <rPr>
        <vertAlign val="subscript"/>
        <sz val="11"/>
        <rFont val="Calibri"/>
        <family val="2"/>
        <charset val="238"/>
        <scheme val="minor"/>
      </rPr>
      <t>TSS,α,mech</t>
    </r>
  </si>
  <si>
    <t>Mechanical</t>
  </si>
  <si>
    <r>
      <t>α</t>
    </r>
    <r>
      <rPr>
        <vertAlign val="subscript"/>
        <sz val="9.35"/>
        <rFont val="Calibri"/>
        <family val="2"/>
        <charset val="238"/>
      </rPr>
      <t>pred</t>
    </r>
  </si>
  <si>
    <t>Alpha factor predicted</t>
  </si>
  <si>
    <r>
      <t>ASF</t>
    </r>
    <r>
      <rPr>
        <vertAlign val="subscript"/>
        <sz val="11"/>
        <rFont val="Calibri"/>
        <family val="2"/>
        <scheme val="minor"/>
      </rPr>
      <t>HFO,H</t>
    </r>
  </si>
  <si>
    <r>
      <t>ASF</t>
    </r>
    <r>
      <rPr>
        <vertAlign val="subscript"/>
        <sz val="11"/>
        <rFont val="Calibri"/>
        <family val="2"/>
        <scheme val="minor"/>
      </rPr>
      <t>HFO,L</t>
    </r>
  </si>
  <si>
    <r>
      <t>i</t>
    </r>
    <r>
      <rPr>
        <vertAlign val="subscript"/>
        <sz val="11"/>
        <rFont val="Calibri"/>
        <family val="2"/>
        <scheme val="minor"/>
      </rPr>
      <t>P,XBSH</t>
    </r>
  </si>
  <si>
    <t>P content of BSH</t>
  </si>
  <si>
    <t>Estimated to fit saturation concentrations for 0-30 °C from Metcalf &amp; Eddy Inc.: Wastewater Engineering: Treatment and Reuse</t>
  </si>
  <si>
    <r>
      <t>Temperature dependency factor for CO</t>
    </r>
    <r>
      <rPr>
        <vertAlign val="subscript"/>
        <sz val="11"/>
        <rFont val="Calibri"/>
        <family val="2"/>
        <scheme val="minor"/>
      </rPr>
      <t>2</t>
    </r>
    <r>
      <rPr>
        <sz val="11"/>
        <rFont val="Calibri"/>
        <family val="2"/>
        <scheme val="minor"/>
      </rPr>
      <t xml:space="preserve"> Henry coefficient</t>
    </r>
  </si>
  <si>
    <t>original values in Sumo:</t>
  </si>
  <si>
    <t>Sabba et al</t>
  </si>
  <si>
    <r>
      <t>p</t>
    </r>
    <r>
      <rPr>
        <vertAlign val="subscript"/>
        <sz val="11"/>
        <rFont val="Calibri"/>
        <family val="2"/>
      </rPr>
      <t>NTP</t>
    </r>
  </si>
  <si>
    <r>
      <t>Ca</t>
    </r>
    <r>
      <rPr>
        <vertAlign val="subscript"/>
        <sz val="11"/>
        <rFont val="Calibri"/>
        <family val="2"/>
        <scheme val="minor"/>
      </rPr>
      <t>3</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2</t>
    </r>
    <r>
      <rPr>
        <sz val="11"/>
        <rFont val="Calibri"/>
        <family val="2"/>
        <scheme val="minor"/>
      </rPr>
      <t>x·4 H</t>
    </r>
    <r>
      <rPr>
        <vertAlign val="subscript"/>
        <sz val="11"/>
        <rFont val="Calibri"/>
        <family val="2"/>
        <scheme val="minor"/>
      </rPr>
      <t>2</t>
    </r>
    <r>
      <rPr>
        <sz val="11"/>
        <rFont val="Calibri"/>
        <family val="2"/>
        <scheme val="minor"/>
      </rPr>
      <t>O</t>
    </r>
  </si>
  <si>
    <r>
      <t>MM</t>
    </r>
    <r>
      <rPr>
        <vertAlign val="subscript"/>
        <sz val="11"/>
        <rFont val="Calibri"/>
        <family val="2"/>
        <scheme val="minor"/>
      </rPr>
      <t>Al2SO43</t>
    </r>
  </si>
  <si>
    <t>Molecular mass of aluminium sulfate</t>
  </si>
  <si>
    <r>
      <t>MM</t>
    </r>
    <r>
      <rPr>
        <vertAlign val="subscript"/>
        <sz val="11"/>
        <rFont val="Calibri"/>
        <family val="2"/>
        <scheme val="minor"/>
      </rPr>
      <t>AlCl3</t>
    </r>
  </si>
  <si>
    <t>Molecular mass of aluminium chloride</t>
  </si>
  <si>
    <r>
      <t>MM</t>
    </r>
    <r>
      <rPr>
        <vertAlign val="subscript"/>
        <sz val="11"/>
        <rFont val="Calibri"/>
        <family val="2"/>
        <scheme val="minor"/>
      </rPr>
      <t>BSH</t>
    </r>
  </si>
  <si>
    <t>Molecular mass of Brushite</t>
  </si>
  <si>
    <r>
      <t>MM</t>
    </r>
    <r>
      <rPr>
        <vertAlign val="subscript"/>
        <sz val="11"/>
        <rFont val="Calibri"/>
        <family val="2"/>
        <scheme val="minor"/>
      </rPr>
      <t>CaCl</t>
    </r>
    <r>
      <rPr>
        <vertAlign val="subscript"/>
        <sz val="11"/>
        <rFont val="Calibri"/>
        <family val="2"/>
      </rPr>
      <t>2</t>
    </r>
  </si>
  <si>
    <t>Molecular mass of CaCl2</t>
  </si>
  <si>
    <r>
      <t>MM</t>
    </r>
    <r>
      <rPr>
        <vertAlign val="subscript"/>
        <sz val="11"/>
        <rFont val="Calibri"/>
        <family val="2"/>
        <scheme val="minor"/>
      </rPr>
      <t>CaOH</t>
    </r>
    <r>
      <rPr>
        <vertAlign val="subscript"/>
        <sz val="11"/>
        <rFont val="Calibri"/>
        <family val="2"/>
      </rPr>
      <t>2</t>
    </r>
  </si>
  <si>
    <t>Molecular mass of CaOH2</t>
  </si>
  <si>
    <r>
      <t>MM</t>
    </r>
    <r>
      <rPr>
        <vertAlign val="subscript"/>
        <sz val="11"/>
        <rFont val="Calibri"/>
        <family val="2"/>
        <scheme val="minor"/>
      </rPr>
      <t>Fe2SO43</t>
    </r>
  </si>
  <si>
    <t>Molecular mass of iron sulfate</t>
  </si>
  <si>
    <r>
      <t>MM</t>
    </r>
    <r>
      <rPr>
        <vertAlign val="subscript"/>
        <sz val="11"/>
        <rFont val="Calibri"/>
        <family val="2"/>
        <scheme val="minor"/>
      </rPr>
      <t>H3PO4</t>
    </r>
  </si>
  <si>
    <t>Molecular mass of phosphoric acid</t>
  </si>
  <si>
    <r>
      <t>Ca</t>
    </r>
    <r>
      <rPr>
        <vertAlign val="subscript"/>
        <sz val="11"/>
        <rFont val="Calibri"/>
        <family val="2"/>
        <scheme val="minor"/>
      </rPr>
      <t>5</t>
    </r>
    <r>
      <rPr>
        <sz val="11"/>
        <rFont val="Calibri"/>
        <family val="2"/>
        <scheme val="minor"/>
      </rPr>
      <t>(PO</t>
    </r>
    <r>
      <rPr>
        <vertAlign val="subscript"/>
        <sz val="11"/>
        <rFont val="Calibri"/>
        <family val="2"/>
        <scheme val="minor"/>
      </rPr>
      <t>4</t>
    </r>
    <r>
      <rPr>
        <sz val="11"/>
        <rFont val="Calibri"/>
        <family val="2"/>
        <scheme val="minor"/>
      </rPr>
      <t>)</t>
    </r>
    <r>
      <rPr>
        <vertAlign val="subscript"/>
        <sz val="11"/>
        <rFont val="Calibri"/>
        <family val="2"/>
        <scheme val="minor"/>
      </rPr>
      <t>3</t>
    </r>
    <r>
      <rPr>
        <sz val="11"/>
        <rFont val="Calibri"/>
        <family val="2"/>
        <scheme val="minor"/>
      </rPr>
      <t>(OH)</t>
    </r>
  </si>
  <si>
    <r>
      <t>Ca</t>
    </r>
    <r>
      <rPr>
        <vertAlign val="subscript"/>
        <sz val="11"/>
        <rFont val="Calibri"/>
        <family val="2"/>
        <scheme val="minor"/>
      </rPr>
      <t>2</t>
    </r>
    <r>
      <rPr>
        <sz val="11"/>
        <rFont val="Calibri"/>
        <family val="2"/>
        <scheme val="minor"/>
      </rPr>
      <t>(PO</t>
    </r>
    <r>
      <rPr>
        <vertAlign val="subscript"/>
        <sz val="11"/>
        <rFont val="Calibri"/>
        <family val="2"/>
        <scheme val="minor"/>
      </rPr>
      <t>4</t>
    </r>
    <r>
      <rPr>
        <sz val="11"/>
        <rFont val="Calibri"/>
        <family val="2"/>
        <scheme val="minor"/>
      </rPr>
      <t>)(OH)</t>
    </r>
    <r>
      <rPr>
        <vertAlign val="subscript"/>
        <sz val="11"/>
        <rFont val="Calibri"/>
        <family val="2"/>
        <scheme val="minor"/>
      </rPr>
      <t>2</t>
    </r>
    <r>
      <rPr>
        <vertAlign val="superscript"/>
        <sz val="11"/>
        <rFont val="Calibri"/>
        <family val="2"/>
        <scheme val="minor"/>
      </rPr>
      <t>-</t>
    </r>
  </si>
  <si>
    <r>
      <t>MM</t>
    </r>
    <r>
      <rPr>
        <vertAlign val="subscript"/>
        <sz val="11"/>
        <rFont val="Calibri"/>
        <family val="2"/>
        <scheme val="minor"/>
      </rPr>
      <t>HNO3</t>
    </r>
  </si>
  <si>
    <t>Molecular mass of nitric acid</t>
  </si>
  <si>
    <r>
      <t>CH</t>
    </r>
    <r>
      <rPr>
        <vertAlign val="subscript"/>
        <sz val="11"/>
        <rFont val="Calibri"/>
        <family val="2"/>
        <scheme val="minor"/>
      </rPr>
      <t>4</t>
    </r>
    <r>
      <rPr>
        <sz val="11"/>
        <rFont val="Calibri"/>
        <family val="2"/>
        <scheme val="minor"/>
      </rPr>
      <t>S</t>
    </r>
  </si>
  <si>
    <r>
      <t>MM</t>
    </r>
    <r>
      <rPr>
        <vertAlign val="subscript"/>
        <sz val="11"/>
        <rFont val="Calibri"/>
        <family val="2"/>
        <scheme val="minor"/>
      </rPr>
      <t>KNO2</t>
    </r>
  </si>
  <si>
    <t>Molecular mass of KNO2</t>
  </si>
  <si>
    <r>
      <t>MM</t>
    </r>
    <r>
      <rPr>
        <vertAlign val="subscript"/>
        <sz val="11"/>
        <rFont val="Calibri"/>
        <family val="2"/>
        <scheme val="minor"/>
      </rPr>
      <t>KNO3</t>
    </r>
  </si>
  <si>
    <t>Molecular mass of KNO3</t>
  </si>
  <si>
    <r>
      <t>MM</t>
    </r>
    <r>
      <rPr>
        <vertAlign val="subscript"/>
        <sz val="11"/>
        <rFont val="Calibri"/>
        <family val="2"/>
        <scheme val="minor"/>
      </rPr>
      <t>NH4HCO3</t>
    </r>
  </si>
  <si>
    <t>Molecular mass of NH4HCO3</t>
  </si>
  <si>
    <r>
      <t>MgNH</t>
    </r>
    <r>
      <rPr>
        <vertAlign val="subscript"/>
        <sz val="11"/>
        <rFont val="Calibri"/>
        <family val="2"/>
        <scheme val="minor"/>
      </rPr>
      <t>4</t>
    </r>
    <r>
      <rPr>
        <sz val="11"/>
        <rFont val="Calibri"/>
        <family val="2"/>
        <scheme val="minor"/>
      </rPr>
      <t>PO</t>
    </r>
    <r>
      <rPr>
        <vertAlign val="subscript"/>
        <sz val="11"/>
        <rFont val="Calibri"/>
        <family val="2"/>
        <scheme val="minor"/>
      </rPr>
      <t>4</t>
    </r>
    <r>
      <rPr>
        <sz val="11"/>
        <rFont val="Calibri"/>
        <family val="2"/>
        <scheme val="minor"/>
      </rPr>
      <t>x·6 H</t>
    </r>
    <r>
      <rPr>
        <vertAlign val="subscript"/>
        <sz val="11"/>
        <rFont val="Calibri"/>
        <family val="2"/>
        <scheme val="minor"/>
      </rPr>
      <t>2</t>
    </r>
    <r>
      <rPr>
        <sz val="11"/>
        <rFont val="Calibri"/>
        <family val="2"/>
        <scheme val="minor"/>
      </rPr>
      <t>O</t>
    </r>
  </si>
  <si>
    <r>
      <t>Fe</t>
    </r>
    <r>
      <rPr>
        <vertAlign val="subscript"/>
        <sz val="11"/>
        <rFont val="Calibri"/>
        <family val="2"/>
        <scheme val="minor"/>
      </rPr>
      <t>2</t>
    </r>
    <r>
      <rPr>
        <vertAlign val="superscript"/>
        <sz val="11"/>
        <rFont val="Calibri"/>
        <family val="2"/>
        <scheme val="minor"/>
      </rPr>
      <t>+3</t>
    </r>
    <r>
      <rPr>
        <sz val="11"/>
        <rFont val="Calibri"/>
        <family val="2"/>
        <scheme val="minor"/>
      </rPr>
      <t>(PO</t>
    </r>
    <r>
      <rPr>
        <vertAlign val="subscript"/>
        <sz val="11"/>
        <rFont val="Calibri"/>
        <family val="2"/>
        <scheme val="minor"/>
      </rPr>
      <t>4</t>
    </r>
    <r>
      <rPr>
        <vertAlign val="superscript"/>
        <sz val="11"/>
        <rFont val="Calibri"/>
        <family val="2"/>
        <scheme val="minor"/>
      </rPr>
      <t>3-</t>
    </r>
    <r>
      <rPr>
        <sz val="11"/>
        <rFont val="Calibri"/>
        <family val="2"/>
        <scheme val="minor"/>
      </rPr>
      <t>)</t>
    </r>
    <r>
      <rPr>
        <vertAlign val="subscript"/>
        <sz val="11"/>
        <rFont val="Calibri"/>
        <family val="2"/>
        <scheme val="minor"/>
      </rPr>
      <t xml:space="preserve">2 </t>
    </r>
    <r>
      <rPr>
        <sz val="11"/>
        <rFont val="Calibri"/>
        <family val="2"/>
        <scheme val="minor"/>
      </rPr>
      <t>x 8 H</t>
    </r>
    <r>
      <rPr>
        <vertAlign val="subscript"/>
        <sz val="11"/>
        <rFont val="Calibri"/>
        <family val="2"/>
        <scheme val="minor"/>
      </rPr>
      <t>2</t>
    </r>
    <r>
      <rPr>
        <sz val="11"/>
        <rFont val="Calibri"/>
        <family val="2"/>
        <scheme val="minor"/>
      </rPr>
      <t>O</t>
    </r>
  </si>
  <si>
    <t>Dissociation constant of propionate</t>
  </si>
  <si>
    <r>
      <t>K</t>
    </r>
    <r>
      <rPr>
        <vertAlign val="subscript"/>
        <sz val="11"/>
        <rFont val="Calibri"/>
        <family val="2"/>
        <scheme val="minor"/>
      </rPr>
      <t>But,param</t>
    </r>
  </si>
  <si>
    <t>Dissociation constant of butyrate</t>
  </si>
  <si>
    <t>?</t>
  </si>
  <si>
    <r>
      <t>K</t>
    </r>
    <r>
      <rPr>
        <vertAlign val="subscript"/>
        <sz val="11"/>
        <rFont val="Calibri"/>
        <family val="2"/>
        <scheme val="minor"/>
      </rPr>
      <t>Val,param</t>
    </r>
  </si>
  <si>
    <t>Dissociation constant of valerate</t>
  </si>
  <si>
    <t>Musvoto et al. (2000) =10^(-25.46) (NIST 1e-29 is too high)</t>
  </si>
  <si>
    <r>
      <t>K</t>
    </r>
    <r>
      <rPr>
        <vertAlign val="subscript"/>
        <sz val="11"/>
        <rFont val="Calibri"/>
        <family val="2"/>
        <scheme val="minor"/>
      </rPr>
      <t>sp,BSH,param</t>
    </r>
  </si>
  <si>
    <t>Solubility constant of Brushite</t>
  </si>
  <si>
    <t xml:space="preserve">Musvoto et al. (2000) =10^(-6.6) </t>
  </si>
  <si>
    <r>
      <t>c</t>
    </r>
    <r>
      <rPr>
        <vertAlign val="subscript"/>
        <sz val="11"/>
        <rFont val="Calibri"/>
        <family val="2"/>
        <scheme val="minor"/>
      </rPr>
      <t>mmol,mol</t>
    </r>
  </si>
  <si>
    <t>Conversion coefficient between milimols and mol</t>
  </si>
  <si>
    <r>
      <t>mmol.mol</t>
    </r>
    <r>
      <rPr>
        <vertAlign val="superscript"/>
        <sz val="11"/>
        <rFont val="Calibri"/>
        <family val="2"/>
        <scheme val="minor"/>
      </rPr>
      <t>-1</t>
    </r>
  </si>
  <si>
    <r>
      <t>c</t>
    </r>
    <r>
      <rPr>
        <vertAlign val="subscript"/>
        <sz val="11"/>
        <rFont val="Calibri"/>
        <family val="2"/>
        <scheme val="minor"/>
      </rPr>
      <t>s,min</t>
    </r>
  </si>
  <si>
    <t>Conversion coefficient between seconds and minutes</t>
  </si>
  <si>
    <r>
      <t>s.min</t>
    </r>
    <r>
      <rPr>
        <vertAlign val="superscript"/>
        <sz val="11"/>
        <rFont val="Calibri"/>
        <family val="2"/>
        <scheme val="minor"/>
      </rPr>
      <t>-1</t>
    </r>
  </si>
  <si>
    <r>
      <t>c</t>
    </r>
    <r>
      <rPr>
        <vertAlign val="subscript"/>
        <sz val="11"/>
        <rFont val="Calibri"/>
        <family val="2"/>
        <scheme val="minor"/>
      </rPr>
      <t>min,d</t>
    </r>
  </si>
  <si>
    <t>Conversion coefficient between minutes and days</t>
  </si>
  <si>
    <r>
      <t>min.d</t>
    </r>
    <r>
      <rPr>
        <vertAlign val="superscript"/>
        <sz val="11"/>
        <rFont val="Calibri"/>
        <family val="2"/>
        <scheme val="minor"/>
      </rPr>
      <t>-1</t>
    </r>
  </si>
  <si>
    <r>
      <t>c</t>
    </r>
    <r>
      <rPr>
        <vertAlign val="subscript"/>
        <sz val="11"/>
        <rFont val="Calibri"/>
        <family val="2"/>
        <scheme val="minor"/>
      </rPr>
      <t>d,w</t>
    </r>
  </si>
  <si>
    <t>Conversion coefficient between days and weeks</t>
  </si>
  <si>
    <r>
      <t>d.w</t>
    </r>
    <r>
      <rPr>
        <vertAlign val="superscript"/>
        <sz val="11"/>
        <rFont val="Calibri"/>
        <family val="2"/>
        <scheme val="minor"/>
      </rPr>
      <t>-1</t>
    </r>
  </si>
  <si>
    <r>
      <t>c</t>
    </r>
    <r>
      <rPr>
        <vertAlign val="subscript"/>
        <sz val="11"/>
        <rFont val="Calibri"/>
        <family val="2"/>
        <scheme val="minor"/>
      </rPr>
      <t>d,mon</t>
    </r>
  </si>
  <si>
    <t>Conversion coefficient between days and month</t>
  </si>
  <si>
    <r>
      <t>d.mon</t>
    </r>
    <r>
      <rPr>
        <vertAlign val="superscript"/>
        <sz val="11"/>
        <rFont val="Calibri"/>
        <family val="2"/>
        <scheme val="minor"/>
      </rPr>
      <t>-1</t>
    </r>
  </si>
  <si>
    <r>
      <t>c</t>
    </r>
    <r>
      <rPr>
        <vertAlign val="subscript"/>
        <sz val="11"/>
        <rFont val="Calibri"/>
        <family val="2"/>
        <scheme val="minor"/>
      </rPr>
      <t>d,y</t>
    </r>
  </si>
  <si>
    <t>Conversion coefficient between days and years</t>
  </si>
  <si>
    <r>
      <t>d.y</t>
    </r>
    <r>
      <rPr>
        <vertAlign val="superscript"/>
        <sz val="11"/>
        <rFont val="Calibri"/>
        <family val="2"/>
        <scheme val="minor"/>
      </rPr>
      <t>-1</t>
    </r>
  </si>
  <si>
    <r>
      <t>c</t>
    </r>
    <r>
      <rPr>
        <vertAlign val="subscript"/>
        <sz val="11"/>
        <rFont val="Calibri"/>
        <family val="2"/>
        <scheme val="minor"/>
      </rPr>
      <t>g,ton</t>
    </r>
  </si>
  <si>
    <t>Conversion coefficient between grams and ton</t>
  </si>
  <si>
    <r>
      <t>g.ton</t>
    </r>
    <r>
      <rPr>
        <vertAlign val="superscript"/>
        <sz val="11"/>
        <rFont val="Calibri"/>
        <family val="2"/>
        <scheme val="minor"/>
      </rPr>
      <t>-1</t>
    </r>
  </si>
  <si>
    <r>
      <t>c</t>
    </r>
    <r>
      <rPr>
        <vertAlign val="subscript"/>
        <sz val="11"/>
        <rFont val="Calibri"/>
        <family val="2"/>
        <scheme val="minor"/>
      </rPr>
      <t>W,kW</t>
    </r>
  </si>
  <si>
    <r>
      <t>kW.MW</t>
    </r>
    <r>
      <rPr>
        <vertAlign val="superscript"/>
        <sz val="11"/>
        <rFont val="Calibri"/>
        <family val="2"/>
        <scheme val="minor"/>
      </rPr>
      <t>-1</t>
    </r>
  </si>
  <si>
    <r>
      <t>c</t>
    </r>
    <r>
      <rPr>
        <vertAlign val="subscript"/>
        <sz val="11"/>
        <rFont val="Calibri"/>
        <family val="2"/>
        <scheme val="minor"/>
      </rPr>
      <t>Pa,MPa</t>
    </r>
  </si>
  <si>
    <t>Conversion coefficient between pascal and megapascal</t>
  </si>
  <si>
    <r>
      <t>Pa.MPa</t>
    </r>
    <r>
      <rPr>
        <vertAlign val="superscript"/>
        <sz val="11"/>
        <rFont val="Calibri"/>
        <family val="2"/>
        <scheme val="minor"/>
      </rPr>
      <t>-1</t>
    </r>
  </si>
  <si>
    <r>
      <t>c</t>
    </r>
    <r>
      <rPr>
        <vertAlign val="subscript"/>
        <sz val="11"/>
        <rFont val="Calibri"/>
        <family val="2"/>
        <scheme val="minor"/>
      </rPr>
      <t>Pa,mbar</t>
    </r>
  </si>
  <si>
    <t>Conversion coefficient between pascal and milibar</t>
  </si>
  <si>
    <r>
      <t>Pa.mbar</t>
    </r>
    <r>
      <rPr>
        <vertAlign val="superscript"/>
        <sz val="11"/>
        <rFont val="Calibri"/>
        <family val="2"/>
        <scheme val="minor"/>
      </rPr>
      <t>-1</t>
    </r>
  </si>
  <si>
    <r>
      <t>c</t>
    </r>
    <r>
      <rPr>
        <vertAlign val="subscript"/>
        <sz val="11"/>
        <rFont val="Calibri"/>
        <family val="2"/>
        <scheme val="minor"/>
      </rPr>
      <t>micron,m</t>
    </r>
  </si>
  <si>
    <t>Conversion coefficient between microns and meters</t>
  </si>
  <si>
    <r>
      <t>micron.m</t>
    </r>
    <r>
      <rPr>
        <vertAlign val="superscript"/>
        <sz val="11"/>
        <rFont val="Calibri"/>
        <family val="2"/>
        <scheme val="minor"/>
      </rPr>
      <t>-1</t>
    </r>
  </si>
  <si>
    <r>
      <t>c</t>
    </r>
    <r>
      <rPr>
        <vertAlign val="subscript"/>
        <sz val="11"/>
        <rFont val="Calibri"/>
        <family val="2"/>
        <scheme val="minor"/>
      </rPr>
      <t>mm,m</t>
    </r>
  </si>
  <si>
    <t>Conversion coefficient between milimeters and meters</t>
  </si>
  <si>
    <r>
      <t>mm.m</t>
    </r>
    <r>
      <rPr>
        <vertAlign val="superscript"/>
        <sz val="11"/>
        <rFont val="Calibri"/>
        <family val="2"/>
        <scheme val="minor"/>
      </rPr>
      <t>-1</t>
    </r>
  </si>
  <si>
    <r>
      <t>cm.m</t>
    </r>
    <r>
      <rPr>
        <vertAlign val="superscript"/>
        <sz val="11"/>
        <rFont val="Calibri"/>
        <family val="2"/>
        <scheme val="minor"/>
      </rPr>
      <t>-1</t>
    </r>
  </si>
  <si>
    <r>
      <t>c</t>
    </r>
    <r>
      <rPr>
        <vertAlign val="subscript"/>
        <sz val="11"/>
        <rFont val="Calibri"/>
        <family val="2"/>
        <scheme val="minor"/>
      </rPr>
      <t>MG,m3</t>
    </r>
  </si>
  <si>
    <t>Conversion coefficient between million gallons and cubic meters</t>
  </si>
  <si>
    <r>
      <t>MG.m</t>
    </r>
    <r>
      <rPr>
        <vertAlign val="superscript"/>
        <sz val="11"/>
        <rFont val="Calibri"/>
        <family val="2"/>
        <scheme val="minor"/>
      </rPr>
      <t>-3</t>
    </r>
  </si>
  <si>
    <r>
      <t>c</t>
    </r>
    <r>
      <rPr>
        <vertAlign val="subscript"/>
        <sz val="11"/>
        <rFont val="Calibri"/>
        <family val="2"/>
        <scheme val="minor"/>
      </rPr>
      <t>G,m3</t>
    </r>
  </si>
  <si>
    <t>Conversion coefficient between gallons and cubic meters</t>
  </si>
  <si>
    <r>
      <t>G.m</t>
    </r>
    <r>
      <rPr>
        <vertAlign val="superscript"/>
        <sz val="11"/>
        <rFont val="Calibri"/>
        <family val="2"/>
        <scheme val="minor"/>
      </rPr>
      <t>-3</t>
    </r>
  </si>
  <si>
    <r>
      <t>c</t>
    </r>
    <r>
      <rPr>
        <vertAlign val="subscript"/>
        <sz val="11"/>
        <rFont val="Calibri"/>
        <family val="2"/>
        <scheme val="minor"/>
      </rPr>
      <t>lbs,g</t>
    </r>
  </si>
  <si>
    <t>Conversion coefficient between lbs and g</t>
  </si>
  <si>
    <r>
      <t>lbs.g</t>
    </r>
    <r>
      <rPr>
        <vertAlign val="superscript"/>
        <sz val="11"/>
        <rFont val="Calibri"/>
        <family val="2"/>
        <scheme val="minor"/>
      </rPr>
      <t>-1</t>
    </r>
  </si>
  <si>
    <r>
      <t>c</t>
    </r>
    <r>
      <rPr>
        <vertAlign val="subscript"/>
        <sz val="11"/>
        <rFont val="Calibri"/>
        <family val="2"/>
        <scheme val="minor"/>
      </rPr>
      <t>ft3,m3</t>
    </r>
  </si>
  <si>
    <t>Conversion coefficient between cubic feet and cubic meters</t>
  </si>
  <si>
    <r>
      <t>ft</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</si>
  <si>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ft2,m2</t>
    </r>
  </si>
  <si>
    <t>Conversion coefficient between square feet and square meters</t>
  </si>
  <si>
    <r>
      <t>ft</t>
    </r>
    <r>
      <rPr>
        <vertAlign val="superscript"/>
        <sz val="11"/>
        <rFont val="Calibri"/>
        <family val="2"/>
        <scheme val="minor"/>
      </rPr>
      <t>2</t>
    </r>
    <r>
      <rPr>
        <sz val="11"/>
        <rFont val="Calibri"/>
        <family val="2"/>
        <scheme val="minor"/>
      </rPr>
      <t>.m</t>
    </r>
    <r>
      <rPr>
        <vertAlign val="superscript"/>
        <sz val="11"/>
        <rFont val="Calibri"/>
        <family val="2"/>
        <scheme val="minor"/>
      </rPr>
      <t>-2</t>
    </r>
  </si>
  <si>
    <r>
      <t>c</t>
    </r>
    <r>
      <rPr>
        <vertAlign val="subscript"/>
        <sz val="11"/>
        <rFont val="Calibri"/>
        <family val="2"/>
        <scheme val="minor"/>
      </rPr>
      <t>ft,m</t>
    </r>
  </si>
  <si>
    <t>Conversion coefficient between foot and meters</t>
  </si>
  <si>
    <r>
      <t>ft.m</t>
    </r>
    <r>
      <rPr>
        <vertAlign val="superscript"/>
        <sz val="11"/>
        <rFont val="Calibri"/>
        <family val="2"/>
        <scheme val="minor"/>
      </rPr>
      <t>-1</t>
    </r>
  </si>
  <si>
    <t>Standard enthalpy of phosphoric acid</t>
  </si>
  <si>
    <r>
      <t>dH</t>
    </r>
    <r>
      <rPr>
        <vertAlign val="subscript"/>
        <sz val="11"/>
        <rFont val="Calibri"/>
        <family val="2"/>
        <scheme val="minor"/>
      </rPr>
      <t>diss,Prop</t>
    </r>
  </si>
  <si>
    <t>Standard enthalpy change of propionate dissociation</t>
  </si>
  <si>
    <t>NIST</t>
  </si>
  <si>
    <r>
      <t>dH</t>
    </r>
    <r>
      <rPr>
        <vertAlign val="subscript"/>
        <sz val="11"/>
        <rFont val="Calibri"/>
        <family val="2"/>
        <scheme val="minor"/>
      </rPr>
      <t>diss,But</t>
    </r>
  </si>
  <si>
    <t>Standard enthalpy change of butyrate dissociation</t>
  </si>
  <si>
    <r>
      <t>dH</t>
    </r>
    <r>
      <rPr>
        <vertAlign val="subscript"/>
        <sz val="11"/>
        <rFont val="Calibri"/>
        <family val="2"/>
        <scheme val="minor"/>
      </rPr>
      <t>diss,Val</t>
    </r>
  </si>
  <si>
    <t>Standard enthalpy change of valerate dissociation</t>
  </si>
  <si>
    <r>
      <t>D</t>
    </r>
    <r>
      <rPr>
        <vertAlign val="subscript"/>
        <sz val="11"/>
        <rFont val="Calibri"/>
        <family val="2"/>
        <charset val="238"/>
        <scheme val="minor"/>
      </rPr>
      <t>SNH2OH</t>
    </r>
  </si>
  <si>
    <t>Diffusion coefficient of NH2OH</t>
  </si>
  <si>
    <r>
      <t>D</t>
    </r>
    <r>
      <rPr>
        <vertAlign val="subscript"/>
        <sz val="11"/>
        <rFont val="Calibri"/>
        <family val="2"/>
        <charset val="238"/>
        <scheme val="minor"/>
      </rPr>
      <t>SNO</t>
    </r>
  </si>
  <si>
    <r>
      <t>D</t>
    </r>
    <r>
      <rPr>
        <vertAlign val="subscript"/>
        <sz val="11"/>
        <rFont val="Calibri"/>
        <family val="2"/>
        <charset val="238"/>
        <scheme val="minor"/>
      </rPr>
      <t>SN2O</t>
    </r>
  </si>
  <si>
    <t>Diffusion coefficient of N2O</t>
  </si>
  <si>
    <r>
      <t>D</t>
    </r>
    <r>
      <rPr>
        <vertAlign val="subscript"/>
        <sz val="11"/>
        <rFont val="Calibri"/>
        <family val="2"/>
        <charset val="238"/>
        <scheme val="minor"/>
      </rPr>
      <t>SO</t>
    </r>
  </si>
  <si>
    <r>
      <t>D</t>
    </r>
    <r>
      <rPr>
        <vertAlign val="subscript"/>
        <sz val="11"/>
        <rFont val="Calibri"/>
        <family val="2"/>
        <charset val="238"/>
        <scheme val="minor"/>
      </rPr>
      <t>SHCO</t>
    </r>
  </si>
  <si>
    <r>
      <t>q</t>
    </r>
    <r>
      <rPr>
        <vertAlign val="subscript"/>
        <sz val="11"/>
        <rFont val="Calibri"/>
        <family val="2"/>
        <scheme val="minor"/>
      </rPr>
      <t>BSH,PREC</t>
    </r>
  </si>
  <si>
    <r>
      <t>q</t>
    </r>
    <r>
      <rPr>
        <vertAlign val="subscript"/>
        <sz val="11"/>
        <rFont val="Calibri"/>
        <family val="2"/>
        <scheme val="minor"/>
      </rPr>
      <t>BSH,DISS</t>
    </r>
  </si>
  <si>
    <t>Rate of brushite dissolution</t>
  </si>
  <si>
    <r>
      <t>Minh</t>
    </r>
    <r>
      <rPr>
        <vertAlign val="subscript"/>
        <sz val="11"/>
        <rFont val="Calibri"/>
        <family val="2"/>
      </rPr>
      <t>SNOx,KNOx,AOB</t>
    </r>
  </si>
  <si>
    <r>
      <t>Minh(S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</si>
  <si>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</si>
  <si>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Msat(S</t>
    </r>
    <r>
      <rPr>
        <vertAlign val="subscript"/>
        <sz val="11"/>
        <rFont val="Calibri"/>
        <family val="2"/>
      </rPr>
      <t>NOx</t>
    </r>
    <r>
      <rPr>
        <sz val="11"/>
        <rFont val="Calibri"/>
        <family val="2"/>
      </rPr>
      <t>;K</t>
    </r>
    <r>
      <rPr>
        <vertAlign val="subscript"/>
        <sz val="11"/>
        <rFont val="Calibri"/>
        <family val="2"/>
      </rPr>
      <t>NOx,NOB</t>
    </r>
    <r>
      <rPr>
        <sz val="11"/>
        <rFont val="Calibri"/>
        <family val="2"/>
      </rPr>
      <t>)</t>
    </r>
  </si>
  <si>
    <r>
      <t>Minh</t>
    </r>
    <r>
      <rPr>
        <vertAlign val="subscript"/>
        <sz val="11"/>
        <rFont val="Calibri"/>
        <family val="2"/>
      </rPr>
      <t>SNOx,KNOx,NOB</t>
    </r>
  </si>
  <si>
    <r>
      <t>Msat</t>
    </r>
    <r>
      <rPr>
        <vertAlign val="subscript"/>
        <sz val="11"/>
        <rFont val="Calibri"/>
        <family val="2"/>
      </rPr>
      <t>SNOx,KNOx,NOB</t>
    </r>
  </si>
  <si>
    <r>
      <t>Msat</t>
    </r>
    <r>
      <rPr>
        <vertAlign val="subscript"/>
        <sz val="11"/>
        <rFont val="Calibri"/>
        <family val="2"/>
      </rPr>
      <t>SNOx,KNOx,AMX</t>
    </r>
  </si>
  <si>
    <r>
      <t>Msat(S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</si>
  <si>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Minh(S</t>
    </r>
    <r>
      <rPr>
        <vertAlign val="subscript"/>
        <sz val="11"/>
        <rFont val="Calibri"/>
        <family val="2"/>
      </rPr>
      <t>NOx</t>
    </r>
    <r>
      <rPr>
        <sz val="11"/>
        <rFont val="Calibri"/>
        <family val="2"/>
      </rPr>
      <t>;K</t>
    </r>
    <r>
      <rPr>
        <vertAlign val="subscript"/>
        <sz val="11"/>
        <rFont val="Calibri"/>
        <family val="2"/>
      </rPr>
      <t>NOx,AMX</t>
    </r>
    <r>
      <rPr>
        <sz val="11"/>
        <rFont val="Calibri"/>
        <family val="2"/>
      </rPr>
      <t>)</t>
    </r>
  </si>
  <si>
    <r>
      <t>Minh</t>
    </r>
    <r>
      <rPr>
        <vertAlign val="subscript"/>
        <sz val="11"/>
        <rFont val="Calibri"/>
        <family val="2"/>
      </rPr>
      <t>SNOx,KNOx,AMX</t>
    </r>
  </si>
  <si>
    <r>
      <t>Msat</t>
    </r>
    <r>
      <rPr>
        <vertAlign val="subscript"/>
        <sz val="11"/>
        <rFont val="Calibri"/>
        <family val="2"/>
      </rPr>
      <t>SNOx,KNOx,AOB</t>
    </r>
  </si>
  <si>
    <r>
      <t>Msat(S</t>
    </r>
    <r>
      <rPr>
        <vertAlign val="subscript"/>
        <sz val="11"/>
        <rFont val="Calibri"/>
        <family val="2"/>
      </rPr>
      <t>NOx</t>
    </r>
    <r>
      <rPr>
        <sz val="11"/>
        <rFont val="Calibri"/>
        <family val="2"/>
      </rPr>
      <t>;K</t>
    </r>
    <r>
      <rPr>
        <vertAlign val="subscript"/>
        <sz val="11"/>
        <rFont val="Calibri"/>
        <family val="2"/>
      </rPr>
      <t>NOx,AOB</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</si>
  <si>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NOx,AMETO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</si>
  <si>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NOx,AMETO</t>
    </r>
    <r>
      <rPr>
        <sz val="11"/>
        <rFont val="Calibri"/>
        <family val="2"/>
      </rPr>
      <t>)</t>
    </r>
  </si>
  <si>
    <r>
      <t>Minh(S</t>
    </r>
    <r>
      <rPr>
        <vertAlign val="subscript"/>
        <sz val="11"/>
        <rFont val="Calibri"/>
        <family val="2"/>
        <scheme val="minor"/>
      </rPr>
      <t>NOx</t>
    </r>
    <r>
      <rPr>
        <sz val="11"/>
        <rFont val="Calibri"/>
        <family val="2"/>
        <scheme val="minor"/>
      </rPr>
      <t>;K</t>
    </r>
    <r>
      <rPr>
        <vertAlign val="subscript"/>
        <sz val="11"/>
        <rFont val="Calibri"/>
        <family val="2"/>
        <scheme val="minor"/>
      </rPr>
      <t>NOx,HMETO</t>
    </r>
    <r>
      <rPr>
        <sz val="11"/>
        <rFont val="Calibri"/>
        <family val="2"/>
        <scheme val="minor"/>
      </rPr>
      <t>)</t>
    </r>
  </si>
  <si>
    <r>
      <t>Msat(S</t>
    </r>
    <r>
      <rPr>
        <vertAlign val="subscript"/>
        <sz val="11"/>
        <rFont val="Calibri"/>
        <family val="2"/>
      </rPr>
      <t>NOx</t>
    </r>
    <r>
      <rPr>
        <sz val="11"/>
        <rFont val="Calibri"/>
        <family val="2"/>
      </rPr>
      <t>;K</t>
    </r>
    <r>
      <rPr>
        <vertAlign val="subscript"/>
        <sz val="11"/>
        <rFont val="Calibri"/>
        <family val="2"/>
      </rPr>
      <t>NOx,HMETO</t>
    </r>
    <r>
      <rPr>
        <sz val="11"/>
        <rFont val="Calibri"/>
        <family val="2"/>
      </rPr>
      <t>)</t>
    </r>
  </si>
  <si>
    <t>HAO kinetics</t>
  </si>
  <si>
    <r>
      <t>q</t>
    </r>
    <r>
      <rPr>
        <vertAlign val="subscript"/>
        <sz val="11"/>
        <rFont val="Calibri"/>
        <family val="2"/>
        <scheme val="minor"/>
      </rPr>
      <t>HAOH,AGING</t>
    </r>
  </si>
  <si>
    <r>
      <t>Rate of X</t>
    </r>
    <r>
      <rPr>
        <vertAlign val="subscript"/>
        <sz val="11"/>
        <color rgb="FF000000"/>
        <rFont val="Calibri"/>
        <family val="2"/>
        <scheme val="minor"/>
      </rPr>
      <t>HAO,H</t>
    </r>
    <r>
      <rPr>
        <sz val="11"/>
        <color rgb="FF000000"/>
        <rFont val="Calibri"/>
        <family val="2"/>
        <charset val="238"/>
        <scheme val="minor"/>
      </rPr>
      <t xml:space="preserve"> aging</t>
    </r>
  </si>
  <si>
    <r>
      <t>q</t>
    </r>
    <r>
      <rPr>
        <vertAlign val="subscript"/>
        <sz val="11"/>
        <rFont val="Calibri"/>
        <family val="2"/>
        <scheme val="minor"/>
      </rPr>
      <t>HAOL,AGING</t>
    </r>
  </si>
  <si>
    <r>
      <t>Rate of X</t>
    </r>
    <r>
      <rPr>
        <vertAlign val="subscript"/>
        <sz val="11"/>
        <color rgb="FF000000"/>
        <rFont val="Calibri"/>
        <family val="2"/>
        <scheme val="minor"/>
      </rPr>
      <t>HAO,L</t>
    </r>
    <r>
      <rPr>
        <sz val="11"/>
        <color rgb="FF000000"/>
        <rFont val="Calibri"/>
        <family val="2"/>
        <charset val="238"/>
        <scheme val="minor"/>
      </rPr>
      <t xml:space="preserve"> aging</t>
    </r>
  </si>
  <si>
    <r>
      <t>q</t>
    </r>
    <r>
      <rPr>
        <vertAlign val="subscript"/>
        <sz val="11"/>
        <rFont val="Calibri"/>
        <family val="2"/>
        <scheme val="minor"/>
      </rPr>
      <t>P,HAO,COPREC</t>
    </r>
  </si>
  <si>
    <r>
      <t>Rate of P binding and coprecipitation on X</t>
    </r>
    <r>
      <rPr>
        <vertAlign val="subscript"/>
        <sz val="11"/>
        <rFont val="Calibri"/>
        <family val="2"/>
        <scheme val="minor"/>
      </rPr>
      <t>HAO,H</t>
    </r>
  </si>
  <si>
    <r>
      <t>q</t>
    </r>
    <r>
      <rPr>
        <vertAlign val="subscript"/>
        <sz val="11"/>
        <rFont val="Calibri"/>
        <family val="2"/>
        <scheme val="minor"/>
      </rPr>
      <t>P,HAO,BIND</t>
    </r>
  </si>
  <si>
    <r>
      <t>Rate of P binding on X</t>
    </r>
    <r>
      <rPr>
        <vertAlign val="subscript"/>
        <sz val="11"/>
        <rFont val="Calibri"/>
        <family val="2"/>
        <scheme val="minor"/>
      </rPr>
      <t>HAO,L</t>
    </r>
  </si>
  <si>
    <r>
      <t>q</t>
    </r>
    <r>
      <rPr>
        <vertAlign val="subscript"/>
        <sz val="11"/>
        <rFont val="Calibri"/>
        <family val="2"/>
        <scheme val="minor"/>
      </rPr>
      <t>HAOH,DESORP</t>
    </r>
  </si>
  <si>
    <r>
      <t>Rate of X</t>
    </r>
    <r>
      <rPr>
        <vertAlign val="subscript"/>
        <sz val="11"/>
        <color rgb="FF000000"/>
        <rFont val="Calibri"/>
        <family val="2"/>
        <scheme val="minor"/>
      </rPr>
      <t>HAO,H,P</t>
    </r>
    <r>
      <rPr>
        <sz val="11"/>
        <color rgb="FF000000"/>
        <rFont val="Calibri"/>
        <family val="2"/>
        <charset val="238"/>
        <scheme val="minor"/>
      </rPr>
      <t xml:space="preserve"> desorption</t>
    </r>
  </si>
  <si>
    <r>
      <t>q</t>
    </r>
    <r>
      <rPr>
        <vertAlign val="subscript"/>
        <sz val="11"/>
        <rFont val="Calibri"/>
        <family val="2"/>
        <scheme val="minor"/>
      </rPr>
      <t>HAOL,DESORP</t>
    </r>
  </si>
  <si>
    <r>
      <t>Rate of X</t>
    </r>
    <r>
      <rPr>
        <vertAlign val="subscript"/>
        <sz val="11"/>
        <color rgb="FF000000"/>
        <rFont val="Calibri"/>
        <family val="2"/>
        <scheme val="minor"/>
      </rPr>
      <t>HAO,L,P</t>
    </r>
    <r>
      <rPr>
        <sz val="11"/>
        <color rgb="FF000000"/>
        <rFont val="Calibri"/>
        <family val="2"/>
        <charset val="238"/>
        <scheme val="minor"/>
      </rPr>
      <t xml:space="preserve"> desorption</t>
    </r>
  </si>
  <si>
    <r>
      <t>q</t>
    </r>
    <r>
      <rPr>
        <vertAlign val="subscript"/>
        <sz val="11"/>
        <rFont val="Calibri"/>
        <family val="2"/>
        <scheme val="minor"/>
      </rPr>
      <t>HAO,DISS</t>
    </r>
  </si>
  <si>
    <r>
      <t>Rate of X</t>
    </r>
    <r>
      <rPr>
        <vertAlign val="subscript"/>
        <sz val="11"/>
        <color rgb="FF000000"/>
        <rFont val="Calibri"/>
        <family val="2"/>
        <scheme val="minor"/>
      </rPr>
      <t>HAO,H,P,old</t>
    </r>
    <r>
      <rPr>
        <sz val="11"/>
        <color rgb="FF000000"/>
        <rFont val="Calibri"/>
        <family val="2"/>
        <charset val="238"/>
        <scheme val="minor"/>
      </rPr>
      <t xml:space="preserve"> and X</t>
    </r>
    <r>
      <rPr>
        <vertAlign val="subscript"/>
        <sz val="11"/>
        <color rgb="FF000000"/>
        <rFont val="Calibri"/>
        <family val="2"/>
        <scheme val="minor"/>
      </rPr>
      <t>HAO,L,P,old</t>
    </r>
    <r>
      <rPr>
        <sz val="11"/>
        <color rgb="FF000000"/>
        <rFont val="Calibri"/>
        <family val="2"/>
        <charset val="238"/>
        <scheme val="minor"/>
      </rPr>
      <t xml:space="preserve"> redissolution</t>
    </r>
  </si>
  <si>
    <r>
      <t>K</t>
    </r>
    <r>
      <rPr>
        <vertAlign val="subscript"/>
        <sz val="11"/>
        <rFont val="Calibri"/>
        <family val="2"/>
        <scheme val="minor"/>
      </rPr>
      <t>P,HAO,BIND</t>
    </r>
  </si>
  <si>
    <r>
      <t>Half-saturation of PO</t>
    </r>
    <r>
      <rPr>
        <vertAlign val="subscript"/>
        <sz val="11"/>
        <color rgb="FF000000"/>
        <rFont val="Calibri"/>
        <family val="2"/>
        <scheme val="minor"/>
      </rPr>
      <t>4</t>
    </r>
    <r>
      <rPr>
        <sz val="11"/>
        <color rgb="FF000000"/>
        <rFont val="Calibri"/>
        <family val="2"/>
        <charset val="238"/>
        <scheme val="minor"/>
      </rPr>
      <t xml:space="preserve"> for binding on HAO</t>
    </r>
  </si>
  <si>
    <r>
      <t>Ki</t>
    </r>
    <r>
      <rPr>
        <vertAlign val="subscript"/>
        <sz val="11"/>
        <rFont val="Calibri"/>
        <family val="2"/>
        <scheme val="minor"/>
      </rPr>
      <t>P,HAO,DISS</t>
    </r>
  </si>
  <si>
    <r>
      <t>Half-inhibition of PO</t>
    </r>
    <r>
      <rPr>
        <vertAlign val="subscript"/>
        <sz val="11"/>
        <color rgb="FF000000"/>
        <rFont val="Calibri"/>
        <family val="2"/>
        <scheme val="minor"/>
      </rPr>
      <t>4</t>
    </r>
    <r>
      <rPr>
        <sz val="11"/>
        <color rgb="FF000000"/>
        <rFont val="Calibri"/>
        <family val="2"/>
        <charset val="238"/>
        <scheme val="minor"/>
      </rPr>
      <t xml:space="preserve"> in HAO redissolution</t>
    </r>
  </si>
  <si>
    <r>
      <t>Ki</t>
    </r>
    <r>
      <rPr>
        <vertAlign val="subscript"/>
        <sz val="11"/>
        <rFont val="Calibri"/>
        <family val="2"/>
        <scheme val="minor"/>
      </rPr>
      <t>P,HAO,DESORP</t>
    </r>
  </si>
  <si>
    <r>
      <t>Half-inhibition of PO</t>
    </r>
    <r>
      <rPr>
        <vertAlign val="subscript"/>
        <sz val="11"/>
        <color rgb="FF000000"/>
        <rFont val="Calibri"/>
        <family val="2"/>
        <scheme val="minor"/>
      </rPr>
      <t>4</t>
    </r>
    <r>
      <rPr>
        <sz val="11"/>
        <color rgb="FF000000"/>
        <rFont val="Calibri"/>
        <family val="2"/>
        <charset val="238"/>
        <scheme val="minor"/>
      </rPr>
      <t xml:space="preserve"> in HAO desorption</t>
    </r>
  </si>
  <si>
    <r>
      <t>K</t>
    </r>
    <r>
      <rPr>
        <vertAlign val="subscript"/>
        <sz val="11"/>
        <color indexed="8"/>
        <rFont val="Calibri"/>
        <family val="2"/>
        <scheme val="minor"/>
      </rPr>
      <t>BSH,DISS</t>
    </r>
  </si>
  <si>
    <t>Half-saturation of brushite redissolution</t>
  </si>
  <si>
    <r>
      <t>θ</t>
    </r>
    <r>
      <rPr>
        <vertAlign val="subscript"/>
        <sz val="11"/>
        <color indexed="8"/>
        <rFont val="Calibri"/>
        <family val="2"/>
        <scheme val="minor"/>
      </rPr>
      <t>µ,CASTO</t>
    </r>
  </si>
  <si>
    <t>Arrhenius coefficient for CASTO growth</t>
  </si>
  <si>
    <r>
      <t>θ</t>
    </r>
    <r>
      <rPr>
        <vertAlign val="subscript"/>
        <sz val="11"/>
        <color indexed="8"/>
        <rFont val="Calibri"/>
        <family val="2"/>
        <scheme val="minor"/>
      </rPr>
      <t>q,PAO,PP</t>
    </r>
  </si>
  <si>
    <t>Arrhenius coefficient for PP storage</t>
  </si>
  <si>
    <t>r36</t>
  </si>
  <si>
    <t>r37</t>
  </si>
  <si>
    <t>r38</t>
  </si>
  <si>
    <t>r39</t>
  </si>
  <si>
    <t>r40</t>
  </si>
  <si>
    <t>r41</t>
  </si>
  <si>
    <t>r42</t>
  </si>
  <si>
    <t>r43</t>
  </si>
  <si>
    <t>r44</t>
  </si>
  <si>
    <t>r83</t>
  </si>
  <si>
    <t>r107</t>
  </si>
  <si>
    <t>r108</t>
  </si>
  <si>
    <r>
      <t>pH</t>
    </r>
    <r>
      <rPr>
        <vertAlign val="subscript"/>
        <sz val="11"/>
        <rFont val="Calibri"/>
        <family val="2"/>
        <scheme val="minor"/>
      </rPr>
      <t>field</t>
    </r>
  </si>
  <si>
    <t>pH in process unit</t>
  </si>
  <si>
    <r>
      <t>-(v1_S</t>
    </r>
    <r>
      <rPr>
        <vertAlign val="subscript"/>
        <sz val="11"/>
        <rFont val="Calibri"/>
        <family val="2"/>
        <scheme val="minor"/>
      </rPr>
      <t>O2</t>
    </r>
    <r>
      <rPr>
        <sz val="11"/>
        <rFont val="Calibri"/>
        <family val="2"/>
        <scheme val="minor"/>
      </rPr>
      <t>*r1+v6_S</t>
    </r>
    <r>
      <rPr>
        <vertAlign val="subscript"/>
        <sz val="11"/>
        <rFont val="Calibri"/>
        <family val="2"/>
        <scheme val="minor"/>
      </rPr>
      <t>O2</t>
    </r>
    <r>
      <rPr>
        <sz val="11"/>
        <rFont val="Calibri"/>
        <family val="2"/>
        <scheme val="minor"/>
      </rPr>
      <t>*r6+v13_S</t>
    </r>
    <r>
      <rPr>
        <vertAlign val="subscript"/>
        <sz val="11"/>
        <rFont val="Calibri"/>
        <family val="2"/>
        <scheme val="minor"/>
      </rPr>
      <t>O2</t>
    </r>
    <r>
      <rPr>
        <sz val="11"/>
        <rFont val="Calibri"/>
        <family val="2"/>
        <scheme val="minor"/>
      </rPr>
      <t>*r13+v20_S</t>
    </r>
    <r>
      <rPr>
        <vertAlign val="subscript"/>
        <sz val="11"/>
        <rFont val="Calibri"/>
        <family val="2"/>
        <scheme val="minor"/>
      </rPr>
      <t>O2</t>
    </r>
    <r>
      <rPr>
        <sz val="11"/>
        <rFont val="Calibri"/>
        <family val="2"/>
        <scheme val="minor"/>
      </rPr>
      <t>*r20+v23_S</t>
    </r>
    <r>
      <rPr>
        <vertAlign val="subscript"/>
        <sz val="11"/>
        <rFont val="Calibri"/>
        <family val="2"/>
        <scheme val="minor"/>
      </rPr>
      <t>O2</t>
    </r>
    <r>
      <rPr>
        <sz val="11"/>
        <rFont val="Calibri"/>
        <family val="2"/>
        <scheme val="minor"/>
      </rPr>
      <t>*r23+v26_S</t>
    </r>
    <r>
      <rPr>
        <vertAlign val="subscript"/>
        <sz val="11"/>
        <rFont val="Calibri"/>
        <family val="2"/>
        <scheme val="minor"/>
      </rPr>
      <t>O2</t>
    </r>
    <r>
      <rPr>
        <sz val="11"/>
        <rFont val="Calibri"/>
        <family val="2"/>
        <scheme val="minor"/>
      </rPr>
      <t>*r26+v31_S</t>
    </r>
    <r>
      <rPr>
        <vertAlign val="subscript"/>
        <sz val="11"/>
        <rFont val="Calibri"/>
        <family val="2"/>
        <scheme val="minor"/>
      </rPr>
      <t>O2</t>
    </r>
    <r>
      <rPr>
        <sz val="11"/>
        <rFont val="Calibri"/>
        <family val="2"/>
        <scheme val="minor"/>
      </rPr>
      <t>*r31)</t>
    </r>
  </si>
  <si>
    <r>
      <t>v44_S</t>
    </r>
    <r>
      <rPr>
        <vertAlign val="subscript"/>
        <sz val="11"/>
        <rFont val="Calibri"/>
        <family val="2"/>
        <scheme val="minor"/>
      </rPr>
      <t>N2O</t>
    </r>
    <r>
      <rPr>
        <sz val="11"/>
        <rFont val="Calibri"/>
        <family val="2"/>
        <scheme val="minor"/>
      </rPr>
      <t>*r44</t>
    </r>
  </si>
  <si>
    <t>-Damp(chargebalance)</t>
  </si>
  <si>
    <t>Cooments</t>
  </si>
  <si>
    <t>If(x&lt;0;-Log10(-x+1);Log10(x+1))</t>
  </si>
  <si>
    <r>
      <t>Henry</t>
    </r>
    <r>
      <rPr>
        <vertAlign val="subscript"/>
        <sz val="11"/>
        <color theme="1"/>
        <rFont val="Calibri"/>
        <family val="2"/>
        <scheme val="minor"/>
      </rPr>
      <t>GNH3</t>
    </r>
    <r>
      <rPr>
        <sz val="11"/>
        <color indexed="8"/>
        <rFont val="Calibri"/>
        <family val="2"/>
      </rPr>
      <t>(T)</t>
    </r>
  </si>
  <si>
    <r>
      <t>Temperature dependent Henry coefficient for NH</t>
    </r>
    <r>
      <rPr>
        <vertAlign val="subscript"/>
        <sz val="11"/>
        <color theme="1"/>
        <rFont val="Calibri"/>
        <family val="2"/>
        <scheme val="minor"/>
      </rPr>
      <t>3</t>
    </r>
  </si>
  <si>
    <r>
      <t>Henry</t>
    </r>
    <r>
      <rPr>
        <vertAlign val="subscript"/>
        <sz val="11"/>
        <color theme="1"/>
        <rFont val="Calibri"/>
        <family val="2"/>
        <scheme val="minor"/>
      </rPr>
      <t>GNH3_25</t>
    </r>
    <r>
      <rPr>
        <sz val="11"/>
        <color indexed="8"/>
        <rFont val="Calibri"/>
        <family val="2"/>
      </rPr>
      <t>*Exp(Henry</t>
    </r>
    <r>
      <rPr>
        <vertAlign val="subscript"/>
        <sz val="11"/>
        <color theme="1"/>
        <rFont val="Calibri"/>
        <family val="2"/>
        <scheme val="minor"/>
      </rPr>
      <t>GNH3_dt</t>
    </r>
    <r>
      <rPr>
        <sz val="11"/>
        <color indexed="8"/>
        <rFont val="Calibri"/>
        <family val="2"/>
      </rPr>
      <t>*((1/T)-(1/298.15)))</t>
    </r>
  </si>
  <si>
    <r>
      <t>Henry</t>
    </r>
    <r>
      <rPr>
        <vertAlign val="subscript"/>
        <sz val="11"/>
        <color theme="1"/>
        <rFont val="Calibri"/>
        <family val="2"/>
        <scheme val="minor"/>
      </rPr>
      <t>GH2S</t>
    </r>
    <r>
      <rPr>
        <sz val="11"/>
        <color indexed="8"/>
        <rFont val="Calibri"/>
        <family val="2"/>
      </rPr>
      <t>(T)</t>
    </r>
  </si>
  <si>
    <r>
      <t>Temperature dependent Henry coefficient for H</t>
    </r>
    <r>
      <rPr>
        <vertAlign val="subscript"/>
        <sz val="11"/>
        <rFont val="Calibri"/>
        <family val="2"/>
        <scheme val="minor"/>
      </rPr>
      <t>2</t>
    </r>
    <r>
      <rPr>
        <sz val="11"/>
        <rFont val="Calibri"/>
        <family val="2"/>
        <scheme val="minor"/>
      </rPr>
      <t>S</t>
    </r>
  </si>
  <si>
    <r>
      <t>Henry</t>
    </r>
    <r>
      <rPr>
        <vertAlign val="subscript"/>
        <sz val="11"/>
        <color theme="1"/>
        <rFont val="Calibri"/>
        <family val="2"/>
        <scheme val="minor"/>
      </rPr>
      <t>GH2S_25</t>
    </r>
    <r>
      <rPr>
        <sz val="11"/>
        <color indexed="8"/>
        <rFont val="Calibri"/>
        <family val="2"/>
      </rPr>
      <t>*Exp(Henry</t>
    </r>
    <r>
      <rPr>
        <vertAlign val="subscript"/>
        <sz val="11"/>
        <color theme="1"/>
        <rFont val="Calibri"/>
        <family val="2"/>
        <scheme val="minor"/>
      </rPr>
      <t>GH2S_dt</t>
    </r>
    <r>
      <rPr>
        <sz val="11"/>
        <color indexed="8"/>
        <rFont val="Calibri"/>
        <family val="2"/>
      </rPr>
      <t>*((1/T)-(1/298.15)))</t>
    </r>
  </si>
  <si>
    <t>if (x &lt; Sumo__DampingLimit &amp;&amp; dx &lt; 0.0 &amp;&amp; fabs(dx/x) &gt; Sumo__DerivToStateRatioLimit)
{
     Real x_d = 1/((1+exp(-Sumo__DampingStrength/(Sumo__DampingLimit)*
                      (x - Sumo__DampingLimit/2.0))));
    return x_d*dx;
}
else return dx;</t>
  </si>
  <si>
    <t>MinElemIndex([] x)</t>
  </si>
  <si>
    <t>Index of element with minimum value in 'x'</t>
    <phoneticPr fontId="0"/>
  </si>
  <si>
    <t>return std::distance(x.data, std::min_element(x.data, x.data+x.size))+1;</t>
    <phoneticPr fontId="0"/>
  </si>
  <si>
    <t>Real sum = 0.0;
for( int i = 0; i &lt; y.size; ++i )
{
  if( y(i) == z ) sum += x(i);
}
return sum;</t>
  </si>
  <si>
    <t>STRING If(BOOL a; STRING b; STRING c)</t>
  </si>
  <si>
    <t>STRING</t>
  </si>
  <si>
    <t>Real sum = 0.0;
for( int i = 0; i &lt; x.size; ++i )
{
  sum += x(i);
}
return sum/x.size;</t>
  </si>
  <si>
    <t>Average([] x; INT start; INT end)</t>
  </si>
  <si>
    <t>Average of array elements between indices 'start' and 'end'</t>
  </si>
  <si>
    <t>Real sum = 0.0;
if (end &gt; x.size)
{
    return -9999.9;
}
if (start &gt; end)
{
    return -9999.9;
}
if (start == end &amp;&amp; start &lt; x.size)
{
    return x(start);
}
for(int i = start; i &lt; end; ++i)
{
  sum += x(i);
}
return sum/(end - start);</t>
  </si>
  <si>
    <t>Real m = x(0);
for( int i = 1; i &lt; x.size; ++i )
{
    m = max( m, x(i) );
}
return m;</t>
  </si>
  <si>
    <t>Real m = x(0);
for( int i = 1; i &lt; x.size; ++i )
{
    m = min( m, x(i) );
}
return m;</t>
  </si>
  <si>
    <t>Real sum = 0.0;
for( int i = 0; i &lt;= x.size; ++i )
{
  sum += x(i);
}
return sum;</t>
  </si>
  <si>
    <t>MoveAndPrepend([] x; y)</t>
  </si>
  <si>
    <t>Move the array content 'to the right' and insert a new value to array beginning</t>
  </si>
  <si>
    <t>for( int i = x.size-1; i &gt;= 1; --i )
{
  x(i) = x(i-1);
}
static int j = 0;
x(0) = y;
return j++;</t>
  </si>
  <si>
    <t>MoveAndAppend([] x; y)</t>
  </si>
  <si>
    <t>Move the array content 'to the left' and insert a new value to array end</t>
  </si>
  <si>
    <t>for( int i = 0; i &lt;= x.size-1; ++i )
{
  x(i) = x(i+1);
}
x(x.size-1) = y;
return 0;</t>
  </si>
  <si>
    <t>SV group</t>
  </si>
  <si>
    <t>Biomass</t>
  </si>
  <si>
    <t>O2</t>
  </si>
  <si>
    <t>TIC</t>
  </si>
  <si>
    <t>TSS</t>
  </si>
  <si>
    <t>ALPHA</t>
  </si>
  <si>
    <t>IS input</t>
  </si>
  <si>
    <t>Advanced</t>
  </si>
  <si>
    <t>Non-pHSet; IS</t>
  </si>
  <si>
    <r>
      <t>IS</t>
    </r>
    <r>
      <rPr>
        <vertAlign val="subscript"/>
        <sz val="11"/>
        <rFont val="Calibri"/>
        <family val="2"/>
        <scheme val="minor"/>
      </rPr>
      <t>input,AS</t>
    </r>
  </si>
  <si>
    <r>
      <t>IS</t>
    </r>
    <r>
      <rPr>
        <vertAlign val="subscript"/>
        <sz val="11"/>
        <rFont val="Calibri"/>
        <family val="2"/>
        <scheme val="minor"/>
      </rPr>
      <t>input,DIG</t>
    </r>
  </si>
  <si>
    <r>
      <t>IS</t>
    </r>
    <r>
      <rPr>
        <vertAlign val="subscript"/>
        <sz val="11"/>
        <color theme="1"/>
        <rFont val="Calibri"/>
        <family val="2"/>
        <scheme val="minor"/>
      </rPr>
      <t>input,AS</t>
    </r>
  </si>
  <si>
    <r>
      <t>IS</t>
    </r>
    <r>
      <rPr>
        <vertAlign val="subscript"/>
        <sz val="11"/>
        <color theme="1"/>
        <rFont val="Calibri"/>
        <family val="2"/>
        <scheme val="minor"/>
      </rPr>
      <t>input,DIG</t>
    </r>
  </si>
  <si>
    <t>pH; Non-IS; Non-Input; Digester</t>
  </si>
  <si>
    <r>
      <t>IS</t>
    </r>
    <r>
      <rPr>
        <vertAlign val="subscript"/>
        <sz val="11"/>
        <color theme="1"/>
        <rFont val="Calibri"/>
        <family val="2"/>
        <scheme val="minor"/>
      </rPr>
      <t>input,sidestream</t>
    </r>
  </si>
  <si>
    <t>Ionic strength input for sidestream</t>
  </si>
  <si>
    <t>Ionic strength input for activated sludge</t>
  </si>
  <si>
    <t>Ionic strength input for digesters</t>
  </si>
  <si>
    <r>
      <t>IS</t>
    </r>
    <r>
      <rPr>
        <vertAlign val="subscript"/>
        <sz val="11"/>
        <rFont val="Calibri"/>
        <family val="2"/>
        <scheme val="minor"/>
      </rPr>
      <t>input,sidestream</t>
    </r>
  </si>
  <si>
    <t>pH; Non-IS; Non-Input; Sidestream</t>
  </si>
  <si>
    <t>pH; Non-IS; Non-Input; Non-Digester; Non-Sidestream</t>
  </si>
  <si>
    <t>pH; Non-IS; Input; Non-Digester; Non-Sidestream; Non-pHSet</t>
  </si>
  <si>
    <t>pH; Non-IS; Input; Digester; Non-pHSet</t>
  </si>
  <si>
    <t>pH; Non-IS; Input; Sidestream; Non-pHSet</t>
  </si>
  <si>
    <t>previously 0.03</t>
  </si>
  <si>
    <t>previously 0.05</t>
  </si>
  <si>
    <t>previously 0.005</t>
  </si>
  <si>
    <r>
      <t>S</t>
    </r>
    <r>
      <rPr>
        <vertAlign val="subscript"/>
        <sz val="11"/>
        <rFont val="Calibri"/>
        <family val="2"/>
        <scheme val="minor"/>
      </rPr>
      <t>U,N</t>
    </r>
  </si>
  <si>
    <t>Soluble unbiodegradable organic nitrogen</t>
  </si>
  <si>
    <r>
      <t>S</t>
    </r>
    <r>
      <rPr>
        <vertAlign val="subscript"/>
        <sz val="11"/>
        <rFont val="Calibri"/>
        <family val="2"/>
      </rPr>
      <t>U</t>
    </r>
    <r>
      <rPr>
        <sz val="11"/>
        <rFont val="Calibri"/>
        <family val="2"/>
      </rPr>
      <t xml:space="preserve"> *i</t>
    </r>
    <r>
      <rPr>
        <vertAlign val="subscript"/>
        <sz val="11"/>
        <rFont val="Calibri"/>
        <family val="2"/>
      </rPr>
      <t>N,SU</t>
    </r>
  </si>
  <si>
    <r>
      <t>Loginhswitch(ORP; Logsat</t>
    </r>
    <r>
      <rPr>
        <vertAlign val="subscript"/>
        <sz val="11"/>
        <rFont val="Calibri"/>
        <family val="2"/>
      </rPr>
      <t>ORP,HFO,Half</t>
    </r>
    <r>
      <rPr>
        <sz val="11"/>
        <rFont val="Calibri"/>
        <family val="2"/>
      </rPr>
      <t>; Logsat</t>
    </r>
    <r>
      <rPr>
        <vertAlign val="subscript"/>
        <sz val="11"/>
        <rFont val="Calibri"/>
        <family val="2"/>
      </rPr>
      <t>ORP,HFO,Slope</t>
    </r>
    <r>
      <rPr>
        <sz val="11"/>
        <rFont val="Calibri"/>
        <family val="2"/>
      </rPr>
      <t>)</t>
    </r>
  </si>
  <si>
    <t>Bellopt(var; xopt; whalf; slope)</t>
  </si>
  <si>
    <t>Bell-shaped filtering function</t>
  </si>
  <si>
    <t>1 / (1 + Pow(Abs((var-xopt)/whalf),slope))</t>
  </si>
  <si>
    <t>Logsatswitch(var; halfval; slope)</t>
  </si>
  <si>
    <t>Logistic saturation switch</t>
  </si>
  <si>
    <t>Loginhswitch(var; halfval; slope)</t>
  </si>
  <si>
    <t>Logistic inhibition switch</t>
  </si>
  <si>
    <t>g COD.m-3</t>
  </si>
  <si>
    <t>Half-saturation of readily biodegradable substrate in fermentation by OHOs in digester (AS)</t>
  </si>
  <si>
    <t>1 gO2/m3 in Pocquet et al., 2016</t>
  </si>
  <si>
    <t>0.6 g O2/m3 in Pocquet et al., 2016</t>
  </si>
  <si>
    <t>0.9 g N/m3 in Pocquet et al., 2016</t>
  </si>
  <si>
    <r>
      <t>Logrange</t>
    </r>
    <r>
      <rPr>
        <vertAlign val="subscript"/>
        <sz val="11"/>
        <rFont val="Calibri"/>
        <family val="2"/>
        <charset val="238"/>
        <scheme val="minor"/>
      </rPr>
      <t>VFA,FERM,AS</t>
    </r>
  </si>
  <si>
    <t>Effective range of logistic switch for VFA fermentation by OHOs (AS)</t>
  </si>
  <si>
    <t>define range in percentage of half-saturation value</t>
  </si>
  <si>
    <r>
      <t>Logrange</t>
    </r>
    <r>
      <rPr>
        <vertAlign val="subscript"/>
        <sz val="11"/>
        <rFont val="Calibri"/>
        <family val="2"/>
        <scheme val="minor"/>
      </rPr>
      <t>PO4,PAO,AS,sat</t>
    </r>
  </si>
  <si>
    <r>
      <t>Effective range of logistic switch for PO</t>
    </r>
    <r>
      <rPr>
        <vertAlign val="subscript"/>
        <sz val="11"/>
        <rFont val="Calibri"/>
        <family val="2"/>
        <charset val="238"/>
        <scheme val="minor"/>
      </rPr>
      <t>4</t>
    </r>
    <r>
      <rPr>
        <sz val="11"/>
        <rFont val="Calibri"/>
        <family val="2"/>
        <scheme val="minor"/>
      </rPr>
      <t xml:space="preserve"> uptake by PAOs</t>
    </r>
  </si>
  <si>
    <r>
      <t>Logrange</t>
    </r>
    <r>
      <rPr>
        <vertAlign val="subscript"/>
        <sz val="11"/>
        <rFont val="Calibri"/>
        <family val="2"/>
        <charset val="238"/>
        <scheme val="minor"/>
      </rPr>
      <t>PP,PAO,AS,sat</t>
    </r>
  </si>
  <si>
    <t>Effective range of logistic switch for PP cleavage by PAOs</t>
  </si>
  <si>
    <r>
      <t>Logrange</t>
    </r>
    <r>
      <rPr>
        <vertAlign val="subscript"/>
        <sz val="11"/>
        <rFont val="Calibri"/>
        <family val="2"/>
        <charset val="238"/>
        <scheme val="minor"/>
      </rPr>
      <t>PP,PAO,inh</t>
    </r>
  </si>
  <si>
    <t>Effective range of logistic switch for PP/PAO inhibition term</t>
  </si>
  <si>
    <t>define range in percentage of half-inhibition value</t>
  </si>
  <si>
    <r>
      <t>Logrange</t>
    </r>
    <r>
      <rPr>
        <vertAlign val="subscript"/>
        <sz val="11"/>
        <rFont val="Calibri"/>
        <family val="2"/>
        <charset val="238"/>
        <scheme val="minor"/>
      </rPr>
      <t>PHA,PAO,inh</t>
    </r>
  </si>
  <si>
    <t>Effective range of logistic switch for PHA/PAO inhibition term</t>
  </si>
  <si>
    <r>
      <t>Logrange</t>
    </r>
    <r>
      <rPr>
        <vertAlign val="subscript"/>
        <sz val="11"/>
        <rFont val="Calibri"/>
        <family val="2"/>
        <charset val="238"/>
        <scheme val="minor"/>
      </rPr>
      <t>CO2,AOB,pH,AS</t>
    </r>
  </si>
  <si>
    <t>Effective range of bicarbonate logistic switch for AOBs (AS)</t>
  </si>
  <si>
    <r>
      <t>Logrange</t>
    </r>
    <r>
      <rPr>
        <vertAlign val="subscript"/>
        <sz val="11"/>
        <rFont val="Calibri"/>
        <family val="2"/>
        <charset val="238"/>
        <scheme val="minor"/>
      </rPr>
      <t>CO2,AOB,pH,sidestream</t>
    </r>
  </si>
  <si>
    <t>Effective range of bicarbonate logistic switch for AOBs (Sidestream)</t>
  </si>
  <si>
    <r>
      <t>Logrange</t>
    </r>
    <r>
      <rPr>
        <vertAlign val="subscript"/>
        <sz val="11"/>
        <color indexed="8"/>
        <rFont val="Calibri"/>
        <family val="2"/>
        <charset val="238"/>
        <scheme val="minor"/>
      </rPr>
      <t>CO2,NOB,pH,AS</t>
    </r>
  </si>
  <si>
    <t>Effective range of bicarbonate logistic switch for NOBs (AS)</t>
  </si>
  <si>
    <r>
      <t>Logrange</t>
    </r>
    <r>
      <rPr>
        <vertAlign val="subscript"/>
        <sz val="11"/>
        <rFont val="Calibri"/>
        <family val="2"/>
        <charset val="238"/>
        <scheme val="minor"/>
      </rPr>
      <t>CO2,AMX,pH,AS</t>
    </r>
  </si>
  <si>
    <t>Effective range of bicarbonate logistic switch for AMX (AS)</t>
  </si>
  <si>
    <r>
      <t>Logrange</t>
    </r>
    <r>
      <rPr>
        <vertAlign val="subscript"/>
        <sz val="11"/>
        <rFont val="Calibri"/>
        <family val="2"/>
        <charset val="238"/>
        <scheme val="minor"/>
      </rPr>
      <t>P,HFO,DISS</t>
    </r>
  </si>
  <si>
    <t>Effective range of logistic switch for HFO redissolution</t>
  </si>
  <si>
    <r>
      <t>Logrange</t>
    </r>
    <r>
      <rPr>
        <vertAlign val="subscript"/>
        <sz val="11"/>
        <rFont val="Calibri"/>
        <family val="2"/>
        <charset val="238"/>
        <scheme val="minor"/>
      </rPr>
      <t>P,HAO,DISS</t>
    </r>
  </si>
  <si>
    <t>Effective range of logistic switch for HAO redissolution</t>
  </si>
  <si>
    <r>
      <t>Ki</t>
    </r>
    <r>
      <rPr>
        <vertAlign val="subscript"/>
        <sz val="11"/>
        <rFont val="Calibri"/>
        <family val="2"/>
        <scheme val="minor"/>
      </rPr>
      <t>P,HFO,DISS</t>
    </r>
  </si>
  <si>
    <t>var / (var + halfval * Exp((halfval - var) * slope))</t>
  </si>
  <si>
    <t>1 - var / (var + halfval * Exp((halfval - var) * slope))</t>
  </si>
  <si>
    <r>
      <t>Loginh</t>
    </r>
    <r>
      <rPr>
        <vertAlign val="subscript"/>
        <sz val="11"/>
        <rFont val="Calibri"/>
        <family val="2"/>
        <scheme val="minor"/>
      </rPr>
      <t>SPO4,KiP,HFO,DISS</t>
    </r>
  </si>
  <si>
    <r>
      <t>q</t>
    </r>
    <r>
      <rPr>
        <vertAlign val="subscript"/>
        <sz val="11"/>
        <rFont val="Calibri"/>
        <family val="2"/>
      </rPr>
      <t>HFO,DISS</t>
    </r>
    <r>
      <rPr>
        <sz val="11"/>
        <rFont val="Calibri"/>
        <family val="2"/>
      </rPr>
      <t>*(X</t>
    </r>
    <r>
      <rPr>
        <vertAlign val="subscript"/>
        <sz val="11"/>
        <rFont val="Calibri"/>
        <family val="2"/>
      </rPr>
      <t>HFO,H,P,old</t>
    </r>
    <r>
      <rPr>
        <sz val="11"/>
        <rFont val="Calibri"/>
        <family val="2"/>
      </rPr>
      <t>+X</t>
    </r>
    <r>
      <rPr>
        <vertAlign val="subscript"/>
        <sz val="11"/>
        <rFont val="Calibri"/>
        <family val="2"/>
      </rPr>
      <t>HFO,L,P,old</t>
    </r>
    <r>
      <rPr>
        <sz val="11"/>
        <rFont val="Calibri"/>
        <family val="2"/>
      </rPr>
      <t>)*Loginh</t>
    </r>
    <r>
      <rPr>
        <vertAlign val="subscript"/>
        <sz val="11"/>
        <rFont val="Calibri"/>
        <family val="2"/>
      </rPr>
      <t>SPO4,KiP,HFO,DISS</t>
    </r>
  </si>
  <si>
    <t>Slope calculations for logistic saturation/inhibition functions</t>
  </si>
  <si>
    <r>
      <t>Logslope</t>
    </r>
    <r>
      <rPr>
        <vertAlign val="subscript"/>
        <sz val="11"/>
        <rFont val="Calibri"/>
        <family val="2"/>
        <scheme val="minor"/>
      </rPr>
      <t>CO2,AOB,pH</t>
    </r>
  </si>
  <si>
    <r>
      <t>Logistic slope of bicarbonate</t>
    </r>
    <r>
      <rPr>
        <sz val="11"/>
        <color rgb="FF000000"/>
        <rFont val="Calibri"/>
        <family val="2"/>
        <charset val="238"/>
        <scheme val="minor"/>
      </rPr>
      <t xml:space="preserve"> for AOBs in AS</t>
    </r>
  </si>
  <si>
    <r>
      <t>L.mol [HCO</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</si>
  <si>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Logistic slope of bicarbonate</t>
    </r>
    <r>
      <rPr>
        <sz val="11"/>
        <color rgb="FF000000"/>
        <rFont val="Calibri"/>
        <family val="2"/>
        <charset val="238"/>
        <scheme val="minor"/>
      </rPr>
      <t xml:space="preserve"> for AOBs in sidestream</t>
    </r>
  </si>
  <si>
    <r>
      <t>Logslope</t>
    </r>
    <r>
      <rPr>
        <vertAlign val="subscript"/>
        <sz val="11"/>
        <rFont val="Calibri"/>
        <family val="2"/>
        <charset val="238"/>
        <scheme val="minor"/>
      </rPr>
      <t>CO2,NOB,pH</t>
    </r>
  </si>
  <si>
    <t>Logistic slope of bicarbonate for NOBs in AS</t>
  </si>
  <si>
    <r>
      <t>Logslope</t>
    </r>
    <r>
      <rPr>
        <vertAlign val="subscript"/>
        <sz val="11"/>
        <rFont val="Calibri"/>
        <family val="2"/>
        <scheme val="minor"/>
      </rPr>
      <t>CO2,AMX,pH</t>
    </r>
  </si>
  <si>
    <r>
      <t>Logistic slope of bicarbonate</t>
    </r>
    <r>
      <rPr>
        <sz val="11"/>
        <color rgb="FF000000"/>
        <rFont val="Calibri"/>
        <family val="2"/>
        <charset val="238"/>
        <scheme val="minor"/>
      </rPr>
      <t xml:space="preserve"> for AMX in AS</t>
    </r>
  </si>
  <si>
    <r>
      <t>Logslope</t>
    </r>
    <r>
      <rPr>
        <vertAlign val="subscript"/>
        <sz val="11"/>
        <rFont val="Calibri"/>
        <family val="2"/>
        <charset val="238"/>
        <scheme val="minor"/>
      </rPr>
      <t>VFA,FERM</t>
    </r>
  </si>
  <si>
    <t>Logistic slope of VFA fermentation switch for OHOs in AS</t>
  </si>
  <si>
    <r>
      <t>m</t>
    </r>
    <r>
      <rPr>
        <vertAlign val="superscript"/>
        <sz val="11"/>
        <rFont val="Calibri"/>
        <family val="2"/>
        <charset val="238"/>
        <scheme val="minor"/>
      </rPr>
      <t>3</t>
    </r>
    <r>
      <rPr>
        <sz val="11"/>
        <rFont val="Calibri"/>
        <family val="2"/>
        <scheme val="minor"/>
      </rPr>
      <t>.g COD</t>
    </r>
    <r>
      <rPr>
        <vertAlign val="superscript"/>
        <sz val="11"/>
        <rFont val="Calibri"/>
        <family val="2"/>
        <charset val="238"/>
        <scheme val="minor"/>
      </rPr>
      <t>-1</t>
    </r>
  </si>
  <si>
    <t>Logistic slope of VFA fermentation switch for OHOs in biofilm</t>
  </si>
  <si>
    <r>
      <t>Logslope</t>
    </r>
    <r>
      <rPr>
        <vertAlign val="subscript"/>
        <sz val="11"/>
        <rFont val="Calibri"/>
        <family val="2"/>
        <charset val="238"/>
        <scheme val="minor"/>
      </rPr>
      <t>PO4,PAO,sat</t>
    </r>
  </si>
  <si>
    <r>
      <t>Logistic slope of PO</t>
    </r>
    <r>
      <rPr>
        <vertAlign val="subscript"/>
        <sz val="11"/>
        <rFont val="Calibri"/>
        <family val="2"/>
        <charset val="238"/>
        <scheme val="minor"/>
      </rPr>
      <t>4</t>
    </r>
    <r>
      <rPr>
        <sz val="11"/>
        <rFont val="Calibri"/>
        <family val="2"/>
        <scheme val="minor"/>
      </rPr>
      <t xml:space="preserve"> uptake switch for PAOs in AS</t>
    </r>
  </si>
  <si>
    <r>
      <t>m</t>
    </r>
    <r>
      <rPr>
        <vertAlign val="superscript"/>
        <sz val="11"/>
        <rFont val="Calibri"/>
        <family val="2"/>
        <charset val="238"/>
        <scheme val="minor"/>
      </rPr>
      <t>3</t>
    </r>
    <r>
      <rPr>
        <sz val="11"/>
        <rFont val="Calibri"/>
        <family val="2"/>
        <scheme val="minor"/>
      </rPr>
      <t>.g P</t>
    </r>
    <r>
      <rPr>
        <vertAlign val="superscript"/>
        <sz val="11"/>
        <rFont val="Calibri"/>
        <family val="2"/>
        <charset val="238"/>
        <scheme val="minor"/>
      </rPr>
      <t>-1</t>
    </r>
  </si>
  <si>
    <r>
      <t>Logistic slope of PO</t>
    </r>
    <r>
      <rPr>
        <vertAlign val="subscript"/>
        <sz val="11"/>
        <rFont val="Calibri"/>
        <family val="2"/>
        <charset val="238"/>
        <scheme val="minor"/>
      </rPr>
      <t>4</t>
    </r>
    <r>
      <rPr>
        <sz val="11"/>
        <rFont val="Calibri"/>
        <family val="2"/>
        <scheme val="minor"/>
      </rPr>
      <t xml:space="preserve"> uptake switch for PAOs in biofilm</t>
    </r>
  </si>
  <si>
    <r>
      <t>Logslope</t>
    </r>
    <r>
      <rPr>
        <vertAlign val="subscript"/>
        <sz val="11"/>
        <rFont val="Calibri"/>
        <family val="2"/>
        <charset val="238"/>
        <scheme val="minor"/>
      </rPr>
      <t>PP,PAO,sat</t>
    </r>
  </si>
  <si>
    <t>Logistic slope of PP cleavage switch for PAOs in AS</t>
  </si>
  <si>
    <t>Logistic slope of PP cleavage switch for PAOs in biofilm</t>
  </si>
  <si>
    <r>
      <t>Logslope</t>
    </r>
    <r>
      <rPr>
        <vertAlign val="subscript"/>
        <sz val="11"/>
        <rFont val="Calibri"/>
        <family val="2"/>
        <charset val="238"/>
        <scheme val="minor"/>
      </rPr>
      <t>PHA,PAO,inh</t>
    </r>
  </si>
  <si>
    <t>Logistic slope of inhibition term for PHA/PAO</t>
  </si>
  <si>
    <r>
      <t>Logslope</t>
    </r>
    <r>
      <rPr>
        <vertAlign val="subscript"/>
        <sz val="11"/>
        <rFont val="Calibri"/>
        <family val="2"/>
        <charset val="238"/>
        <scheme val="minor"/>
      </rPr>
      <t>PP,PAO,inh</t>
    </r>
  </si>
  <si>
    <t>Logistic slope of inhibition term for PP/PAO</t>
  </si>
  <si>
    <r>
      <t>Logslope</t>
    </r>
    <r>
      <rPr>
        <vertAlign val="subscript"/>
        <sz val="11"/>
        <rFont val="Calibri"/>
        <family val="2"/>
        <charset val="238"/>
        <scheme val="minor"/>
      </rPr>
      <t>P,HFO,DISS</t>
    </r>
  </si>
  <si>
    <r>
      <t>Logistic slope of PO</t>
    </r>
    <r>
      <rPr>
        <vertAlign val="subscript"/>
        <sz val="11"/>
        <rFont val="Calibri"/>
        <family val="2"/>
        <charset val="238"/>
        <scheme val="minor"/>
      </rPr>
      <t>4</t>
    </r>
    <r>
      <rPr>
        <sz val="11"/>
        <rFont val="Calibri"/>
        <family val="2"/>
        <scheme val="minor"/>
      </rPr>
      <t xml:space="preserve"> in HFO redissolution</t>
    </r>
  </si>
  <si>
    <r>
      <t>Logslope</t>
    </r>
    <r>
      <rPr>
        <vertAlign val="subscript"/>
        <sz val="11"/>
        <rFont val="Calibri"/>
        <family val="2"/>
        <charset val="238"/>
        <scheme val="minor"/>
      </rPr>
      <t>P,HAO,DISS</t>
    </r>
  </si>
  <si>
    <r>
      <t>Logistic slope of PO</t>
    </r>
    <r>
      <rPr>
        <vertAlign val="subscript"/>
        <sz val="11"/>
        <rFont val="Calibri"/>
        <family val="2"/>
        <charset val="238"/>
        <scheme val="minor"/>
      </rPr>
      <t>4</t>
    </r>
    <r>
      <rPr>
        <sz val="11"/>
        <rFont val="Calibri"/>
        <family val="2"/>
        <scheme val="minor"/>
      </rPr>
      <t xml:space="preserve"> in HAO redissolution</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</si>
  <si>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CO2,AOB,pH</t>
    </r>
    <r>
      <rPr>
        <sz val="11"/>
        <rFont val="Calibri"/>
        <family val="2"/>
        <scheme val="minor"/>
      </rPr>
      <t>;  Logslope</t>
    </r>
    <r>
      <rPr>
        <vertAlign val="subscript"/>
        <sz val="11"/>
        <rFont val="Calibri"/>
        <family val="2"/>
        <charset val="238"/>
        <scheme val="minor"/>
      </rPr>
      <t>CO2,AOB,pH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</si>
  <si>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CO2,NOB,pH</t>
    </r>
    <r>
      <rPr>
        <sz val="11"/>
        <rFont val="Calibri"/>
        <family val="2"/>
        <scheme val="minor"/>
      </rPr>
      <t>; Logslope</t>
    </r>
    <r>
      <rPr>
        <vertAlign val="subscript"/>
        <sz val="11"/>
        <rFont val="Calibri"/>
        <family val="2"/>
        <charset val="238"/>
        <scheme val="minor"/>
      </rPr>
      <t>CO2,NOB,pH</t>
    </r>
    <r>
      <rPr>
        <sz val="11"/>
        <rFont val="Calibri"/>
        <family val="2"/>
        <scheme val="minor"/>
      </rPr>
      <t>)</t>
    </r>
  </si>
  <si>
    <r>
      <t>Logsat([HCO</t>
    </r>
    <r>
      <rPr>
        <vertAlign val="subscript"/>
        <sz val="11"/>
        <rFont val="Calibri"/>
        <family val="2"/>
        <scheme val="minor"/>
      </rPr>
      <t>3</t>
    </r>
    <r>
      <rPr>
        <vertAlign val="superscript"/>
        <sz val="11"/>
        <rFont val="Calibri"/>
        <family val="2"/>
        <scheme val="minor"/>
      </rPr>
      <t>-</t>
    </r>
    <r>
      <rPr>
        <sz val="11"/>
        <rFont val="Calibri"/>
        <family val="2"/>
        <scheme val="minor"/>
      </rPr>
      <t>]; K</t>
    </r>
    <r>
      <rPr>
        <vertAlign val="subscript"/>
        <sz val="11"/>
        <rFont val="Calibri"/>
        <family val="2"/>
        <scheme val="minor"/>
      </rPr>
      <t>CO2,AMX,pH</t>
    </r>
    <r>
      <rPr>
        <sz val="11"/>
        <rFont val="Calibri"/>
        <family val="2"/>
        <scheme val="minor"/>
      </rPr>
      <t>; Logslope</t>
    </r>
    <r>
      <rPr>
        <vertAlign val="subscript"/>
        <sz val="11"/>
        <rFont val="Calibri"/>
        <family val="2"/>
        <charset val="238"/>
        <scheme val="minor"/>
      </rPr>
      <t>CO2,AMX,pH</t>
    </r>
    <r>
      <rPr>
        <sz val="11"/>
        <rFont val="Calibri"/>
        <family val="2"/>
        <scheme val="minor"/>
      </rPr>
      <t>)</t>
    </r>
  </si>
  <si>
    <r>
      <t>Logsat(S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</si>
  <si>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Loginh(S</t>
    </r>
    <r>
      <rPr>
        <vertAlign val="subscript"/>
        <sz val="11"/>
        <rFont val="Calibri"/>
        <family val="2"/>
        <scheme val="minor"/>
      </rPr>
      <t>VFA</t>
    </r>
    <r>
      <rPr>
        <sz val="11"/>
        <rFont val="Calibri"/>
        <family val="2"/>
        <scheme val="minor"/>
      </rPr>
      <t>;K</t>
    </r>
    <r>
      <rPr>
        <vertAlign val="subscript"/>
        <sz val="11"/>
        <rFont val="Calibri"/>
        <family val="2"/>
        <scheme val="minor"/>
      </rPr>
      <t>VFA,FERM</t>
    </r>
    <r>
      <rPr>
        <sz val="11"/>
        <rFont val="Calibri"/>
        <family val="2"/>
        <scheme val="minor"/>
      </rPr>
      <t>;Logslope</t>
    </r>
    <r>
      <rPr>
        <vertAlign val="subscript"/>
        <sz val="11"/>
        <rFont val="Calibri"/>
        <family val="2"/>
        <scheme val="minor"/>
      </rPr>
      <t>VFA,FERM</t>
    </r>
    <r>
      <rPr>
        <sz val="11"/>
        <rFont val="Calibri"/>
        <family val="2"/>
        <scheme val="minor"/>
      </rPr>
      <t>)</t>
    </r>
  </si>
  <si>
    <r>
      <t>Logsat(S</t>
    </r>
    <r>
      <rPr>
        <vertAlign val="subscript"/>
        <sz val="11"/>
        <rFont val="Calibri"/>
        <family val="2"/>
        <scheme val="minor"/>
      </rPr>
      <t>PO4</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PO4,PAO,sat</t>
    </r>
    <r>
      <rPr>
        <sz val="11"/>
        <rFont val="Calibri"/>
        <family val="2"/>
        <scheme val="minor"/>
      </rPr>
      <t>)</t>
    </r>
  </si>
  <si>
    <r>
      <t>Logsat(X</t>
    </r>
    <r>
      <rPr>
        <vertAlign val="subscript"/>
        <sz val="11"/>
        <rFont val="Calibri"/>
        <family val="2"/>
        <scheme val="minor"/>
      </rPr>
      <t>PP</t>
    </r>
    <r>
      <rPr>
        <sz val="11"/>
        <rFont val="Calibri"/>
        <family val="2"/>
        <scheme val="minor"/>
      </rPr>
      <t>;K</t>
    </r>
    <r>
      <rPr>
        <vertAlign val="subscript"/>
        <sz val="11"/>
        <rFont val="Calibri"/>
        <family val="2"/>
        <scheme val="minor"/>
      </rPr>
      <t>PO4,PAO</t>
    </r>
    <r>
      <rPr>
        <sz val="11"/>
        <rFont val="Calibri"/>
        <family val="2"/>
        <scheme val="minor"/>
      </rPr>
      <t>;Logslope</t>
    </r>
    <r>
      <rPr>
        <vertAlign val="subscript"/>
        <sz val="11"/>
        <rFont val="Calibri"/>
        <family val="2"/>
        <charset val="238"/>
        <scheme val="minor"/>
      </rPr>
      <t>PP,PAO,sat</t>
    </r>
    <r>
      <rPr>
        <sz val="11"/>
        <rFont val="Calibri"/>
        <family val="2"/>
        <scheme val="minor"/>
      </rPr>
      <t>)</t>
    </r>
  </si>
  <si>
    <r>
      <t>Loginh(X</t>
    </r>
    <r>
      <rPr>
        <vertAlign val="subscript"/>
        <sz val="11"/>
        <rFont val="Calibri"/>
        <family val="2"/>
        <charset val="238"/>
        <scheme val="minor"/>
      </rPr>
      <t>PP</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PP,PAO,max</t>
    </r>
    <r>
      <rPr>
        <sz val="11"/>
        <rFont val="Calibri"/>
        <family val="2"/>
        <scheme val="minor"/>
      </rPr>
      <t>; Logslope</t>
    </r>
    <r>
      <rPr>
        <vertAlign val="subscript"/>
        <sz val="11"/>
        <rFont val="Calibri"/>
        <family val="2"/>
        <charset val="238"/>
        <scheme val="minor"/>
      </rPr>
      <t>PP,PAO,inh</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</si>
  <si>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P,HFO,DISS</t>
    </r>
    <r>
      <rPr>
        <sz val="11"/>
        <rFont val="Calibri"/>
        <family val="2"/>
        <scheme val="minor"/>
      </rPr>
      <t>;Logslope</t>
    </r>
    <r>
      <rPr>
        <vertAlign val="subscript"/>
        <sz val="11"/>
        <rFont val="Calibri"/>
        <family val="2"/>
        <charset val="238"/>
        <scheme val="minor"/>
      </rPr>
      <t>P,HFO,DISS</t>
    </r>
    <r>
      <rPr>
        <sz val="11"/>
        <rFont val="Calibri"/>
        <family val="2"/>
        <scheme val="minor"/>
      </rPr>
      <t>)</t>
    </r>
  </si>
  <si>
    <r>
      <t>Loginh(S</t>
    </r>
    <r>
      <rPr>
        <vertAlign val="subscript"/>
        <sz val="11"/>
        <rFont val="Calibri"/>
        <family val="2"/>
        <scheme val="minor"/>
      </rPr>
      <t>PO4</t>
    </r>
    <r>
      <rPr>
        <sz val="11"/>
        <rFont val="Calibri"/>
        <family val="2"/>
        <scheme val="minor"/>
      </rPr>
      <t>;Ki</t>
    </r>
    <r>
      <rPr>
        <vertAlign val="subscript"/>
        <sz val="11"/>
        <rFont val="Calibri"/>
        <family val="2"/>
        <scheme val="minor"/>
      </rPr>
      <t>P,HAO,DISS</t>
    </r>
    <r>
      <rPr>
        <sz val="11"/>
        <rFont val="Calibri"/>
        <family val="2"/>
        <scheme val="minor"/>
      </rPr>
      <t>;Logslope</t>
    </r>
    <r>
      <rPr>
        <vertAlign val="subscript"/>
        <sz val="11"/>
        <rFont val="Calibri"/>
        <family val="2"/>
        <charset val="238"/>
        <scheme val="minor"/>
      </rPr>
      <t>P,HAO,DISS</t>
    </r>
    <r>
      <rPr>
        <sz val="11"/>
        <rFont val="Calibri"/>
        <family val="2"/>
        <scheme val="minor"/>
      </rPr>
      <t>)</t>
    </r>
  </si>
  <si>
    <r>
      <t>mol [HCO</t>
    </r>
    <r>
      <rPr>
        <vertAlign val="subscript"/>
        <sz val="11"/>
        <color indexed="8"/>
        <rFont val="Calibri"/>
        <family val="2"/>
        <scheme val="minor"/>
      </rPr>
      <t>3</t>
    </r>
    <r>
      <rPr>
        <vertAlign val="superscript"/>
        <sz val="11"/>
        <color indexed="8"/>
        <rFont val="Calibri"/>
        <family val="2"/>
        <scheme val="minor"/>
      </rPr>
      <t>-</t>
    </r>
    <r>
      <rPr>
        <sz val="11"/>
        <color indexed="8"/>
        <rFont val="Calibri"/>
        <family val="2"/>
        <scheme val="minor"/>
      </rPr>
      <t>].L</t>
    </r>
    <r>
      <rPr>
        <vertAlign val="superscript"/>
        <sz val="11"/>
        <color indexed="8"/>
        <rFont val="Calibri"/>
        <family val="2"/>
        <charset val="238"/>
        <scheme val="minor"/>
      </rPr>
      <t>-1</t>
    </r>
  </si>
  <si>
    <r>
      <t>µ</t>
    </r>
    <r>
      <rPr>
        <vertAlign val="subscript"/>
        <sz val="11"/>
        <color rgb="FF000000"/>
        <rFont val="Calibri"/>
        <family val="2"/>
        <scheme val="minor"/>
      </rPr>
      <t>AOB,T</t>
    </r>
    <r>
      <rPr>
        <sz val="11"/>
        <color indexed="8"/>
        <rFont val="Calibri"/>
        <family val="2"/>
        <scheme val="minor"/>
      </rPr>
      <t>/Y</t>
    </r>
    <r>
      <rPr>
        <vertAlign val="subscript"/>
        <sz val="11"/>
        <color rgb="FF000000"/>
        <rFont val="Calibri"/>
        <family val="2"/>
        <scheme val="minor"/>
      </rPr>
      <t>AOB</t>
    </r>
    <r>
      <rPr>
        <sz val="11"/>
        <color indexed="8"/>
        <rFont val="Calibri"/>
        <family val="2"/>
        <scheme val="minor"/>
      </rPr>
      <t>*X</t>
    </r>
    <r>
      <rPr>
        <vertAlign val="subscript"/>
        <sz val="11"/>
        <color rgb="FF000000"/>
        <rFont val="Calibri"/>
        <family val="2"/>
        <scheme val="minor"/>
      </rPr>
      <t>AOB</t>
    </r>
    <r>
      <rPr>
        <sz val="11"/>
        <color indexed="8"/>
        <rFont val="Calibri"/>
        <family val="2"/>
        <scheme val="minor"/>
      </rPr>
      <t>*Msat</t>
    </r>
    <r>
      <rPr>
        <vertAlign val="subscript"/>
        <sz val="11"/>
        <color rgb="FF000000"/>
        <rFont val="Calibri"/>
        <family val="2"/>
        <scheme val="minor"/>
      </rPr>
      <t>SO2,KO2,NHx,AOB</t>
    </r>
    <r>
      <rPr>
        <sz val="11"/>
        <color indexed="8"/>
        <rFont val="Calibri"/>
        <family val="2"/>
        <scheme val="minor"/>
      </rPr>
      <t>*Msat</t>
    </r>
    <r>
      <rPr>
        <vertAlign val="subscript"/>
        <sz val="11"/>
        <color rgb="FF000000"/>
        <rFont val="Calibri"/>
        <family val="2"/>
        <scheme val="minor"/>
      </rPr>
      <t>SNHx,KNHx,NH2OH,AOB</t>
    </r>
  </si>
  <si>
    <r>
      <t>µ</t>
    </r>
    <r>
      <rPr>
        <vertAlign val="subscript"/>
        <sz val="11"/>
        <rFont val="Calibri"/>
        <family val="2"/>
      </rPr>
      <t>AOB,T</t>
    </r>
    <r>
      <rPr>
        <sz val="11"/>
        <rFont val="Calibri"/>
        <family val="2"/>
      </rPr>
      <t>/Y</t>
    </r>
    <r>
      <rPr>
        <vertAlign val="subscript"/>
        <sz val="11"/>
        <rFont val="Calibri"/>
        <family val="2"/>
      </rPr>
      <t>AOB</t>
    </r>
    <r>
      <rPr>
        <sz val="11"/>
        <rFont val="Calibri"/>
        <family val="2"/>
      </rPr>
      <t>*X</t>
    </r>
    <r>
      <rPr>
        <vertAlign val="subscript"/>
        <sz val="11"/>
        <rFont val="Calibri"/>
        <family val="2"/>
      </rPr>
      <t>AOB</t>
    </r>
    <r>
      <rPr>
        <sz val="11"/>
        <rFont val="Calibri"/>
        <family val="2"/>
      </rPr>
      <t>*Msat</t>
    </r>
    <r>
      <rPr>
        <vertAlign val="subscript"/>
        <sz val="11"/>
        <rFont val="Calibri"/>
        <family val="2"/>
      </rPr>
      <t>SO2,KO2,NH2OH,AOB</t>
    </r>
    <r>
      <rPr>
        <sz val="11"/>
        <rFont val="Calibri"/>
        <family val="2"/>
      </rPr>
      <t>*Msat</t>
    </r>
    <r>
      <rPr>
        <vertAlign val="subscript"/>
        <sz val="11"/>
        <rFont val="Calibri"/>
        <family val="2"/>
      </rPr>
      <t>SNO,KNO,NO2,AOB</t>
    </r>
  </si>
  <si>
    <t>Logisticslope(halfval; range)</t>
  </si>
  <si>
    <t>Slope for logistic saturation and inhibition functions</t>
  </si>
  <si>
    <t>(-1)*(2 / (halfval * range)) * Ln((1/19) * (1 + (1/2) * (halfval * range / halfval)))</t>
  </si>
  <si>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</si>
  <si>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r>
      <rPr>
        <sz val="11"/>
        <rFont val="Calibri"/>
        <family val="2"/>
        <scheme val="minor"/>
      </rPr>
      <t xml:space="preserve"> / f</t>
    </r>
    <r>
      <rPr>
        <vertAlign val="subscript"/>
        <sz val="11"/>
        <rFont val="Calibri"/>
        <family val="2"/>
        <scheme val="minor"/>
      </rPr>
      <t>KS</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</si>
  <si>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r>
      <rPr>
        <sz val="11"/>
        <rFont val="Calibri"/>
        <family val="2"/>
        <scheme val="minor"/>
      </rPr>
      <t xml:space="preserve"> / f</t>
    </r>
    <r>
      <rPr>
        <vertAlign val="subscript"/>
        <sz val="11"/>
        <rFont val="Calibri"/>
        <family val="2"/>
        <scheme val="minor"/>
      </rPr>
      <t>KS</t>
    </r>
  </si>
  <si>
    <t>based on the 95% percentile of the saturation function</t>
  </si>
  <si>
    <r>
      <t>Logisticslope(Ki</t>
    </r>
    <r>
      <rPr>
        <vertAlign val="subscript"/>
        <sz val="11"/>
        <rFont val="Calibri"/>
        <family val="2"/>
        <charset val="238"/>
        <scheme val="minor"/>
      </rPr>
      <t>P,HAO,DISS</t>
    </r>
    <r>
      <rPr>
        <sz val="11"/>
        <rFont val="Calibri"/>
        <family val="2"/>
        <scheme val="minor"/>
      </rPr>
      <t>; Logrange</t>
    </r>
    <r>
      <rPr>
        <vertAlign val="subscript"/>
        <sz val="11"/>
        <rFont val="Calibri"/>
        <family val="2"/>
        <charset val="238"/>
        <scheme val="minor"/>
      </rPr>
      <t>P,HAO,DISS</t>
    </r>
    <r>
      <rPr>
        <sz val="11"/>
        <rFont val="Calibri"/>
        <family val="2"/>
        <scheme val="minor"/>
      </rPr>
      <t>)</t>
    </r>
  </si>
  <si>
    <r>
      <t>Logisticslope(Ki</t>
    </r>
    <r>
      <rPr>
        <vertAlign val="subscript"/>
        <sz val="11"/>
        <rFont val="Calibri"/>
        <family val="2"/>
        <charset val="238"/>
        <scheme val="minor"/>
      </rPr>
      <t>P,HFO,DISS</t>
    </r>
    <r>
      <rPr>
        <sz val="11"/>
        <rFont val="Calibri"/>
        <family val="2"/>
        <scheme val="minor"/>
      </rPr>
      <t>; Logrange</t>
    </r>
    <r>
      <rPr>
        <vertAlign val="subscript"/>
        <sz val="11"/>
        <rFont val="Calibri"/>
        <family val="2"/>
        <charset val="238"/>
        <scheme val="minor"/>
      </rPr>
      <t>P,HFO,DISS</t>
    </r>
    <r>
      <rPr>
        <sz val="11"/>
        <rFont val="Calibri"/>
        <family val="2"/>
        <scheme val="minor"/>
      </rPr>
      <t>)</t>
    </r>
  </si>
  <si>
    <r>
      <t>Logisticslope(Ki</t>
    </r>
    <r>
      <rPr>
        <vertAlign val="subscript"/>
        <sz val="11"/>
        <rFont val="Calibri"/>
        <family val="2"/>
        <charset val="238"/>
        <scheme val="minor"/>
      </rPr>
      <t>PP,PAO,max</t>
    </r>
    <r>
      <rPr>
        <sz val="11"/>
        <rFont val="Calibri"/>
        <family val="2"/>
        <scheme val="minor"/>
      </rPr>
      <t>; Logrange</t>
    </r>
    <r>
      <rPr>
        <vertAlign val="subscript"/>
        <sz val="11"/>
        <rFont val="Calibri"/>
        <family val="2"/>
        <charset val="238"/>
        <scheme val="minor"/>
      </rPr>
      <t>PP,PAO,inh</t>
    </r>
    <r>
      <rPr>
        <sz val="11"/>
        <rFont val="Calibri"/>
        <family val="2"/>
        <scheme val="minor"/>
      </rPr>
      <t>)</t>
    </r>
  </si>
  <si>
    <r>
      <t>Logisticslope(Ki</t>
    </r>
    <r>
      <rPr>
        <vertAlign val="subscript"/>
        <sz val="11"/>
        <rFont val="Calibri"/>
        <family val="2"/>
        <charset val="238"/>
        <scheme val="minor"/>
      </rPr>
      <t>PHA,PAO,max</t>
    </r>
    <r>
      <rPr>
        <sz val="11"/>
        <rFont val="Calibri"/>
        <family val="2"/>
        <scheme val="minor"/>
      </rPr>
      <t>; Logrange</t>
    </r>
    <r>
      <rPr>
        <vertAlign val="subscript"/>
        <sz val="11"/>
        <rFont val="Calibri"/>
        <family val="2"/>
        <charset val="238"/>
        <scheme val="minor"/>
      </rPr>
      <t>PHA,PAO,inh</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</si>
  <si>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PP,PAO,AS,sat</t>
    </r>
    <r>
      <rPr>
        <sz val="11"/>
        <rFont val="Calibri"/>
        <family val="2"/>
        <scheme val="minor"/>
      </rPr>
      <t>)</t>
    </r>
  </si>
  <si>
    <r>
      <t>Logisticslope(K</t>
    </r>
    <r>
      <rPr>
        <vertAlign val="subscript"/>
        <sz val="11"/>
        <rFont val="Calibri"/>
        <family val="2"/>
        <charset val="238"/>
        <scheme val="minor"/>
      </rPr>
      <t>PO4,PAO</t>
    </r>
    <r>
      <rPr>
        <sz val="11"/>
        <rFont val="Calibri"/>
        <family val="2"/>
        <scheme val="minor"/>
      </rPr>
      <t>; Logrange</t>
    </r>
    <r>
      <rPr>
        <vertAlign val="subscript"/>
        <sz val="11"/>
        <rFont val="Calibri"/>
        <family val="2"/>
        <charset val="238"/>
        <scheme val="minor"/>
      </rPr>
      <t>PO4,PAO,AS,sat</t>
    </r>
    <r>
      <rPr>
        <sz val="11"/>
        <rFont val="Calibri"/>
        <family val="2"/>
        <scheme val="minor"/>
      </rPr>
      <t>)</t>
    </r>
  </si>
  <si>
    <r>
      <t>Logisticslope(K</t>
    </r>
    <r>
      <rPr>
        <vertAlign val="subscript"/>
        <sz val="11"/>
        <rFont val="Calibri"/>
        <family val="2"/>
        <charset val="238"/>
        <scheme val="minor"/>
      </rPr>
      <t>VFA,FERM</t>
    </r>
    <r>
      <rPr>
        <sz val="11"/>
        <rFont val="Calibri"/>
        <family val="2"/>
        <scheme val="minor"/>
      </rPr>
      <t>; Logrange</t>
    </r>
    <r>
      <rPr>
        <vertAlign val="subscript"/>
        <sz val="11"/>
        <rFont val="Calibri"/>
        <family val="2"/>
        <charset val="238"/>
        <scheme val="minor"/>
      </rPr>
      <t>VFA,FERM,AS</t>
    </r>
    <r>
      <rPr>
        <sz val="11"/>
        <rFont val="Calibri"/>
        <family val="2"/>
        <scheme val="minor"/>
      </rPr>
      <t>)</t>
    </r>
  </si>
  <si>
    <r>
      <t>Logisticslope(K</t>
    </r>
    <r>
      <rPr>
        <vertAlign val="subscript"/>
        <sz val="11"/>
        <rFont val="Calibri"/>
        <family val="2"/>
        <charset val="238"/>
        <scheme val="minor"/>
      </rPr>
      <t>CO2,AMX,pH,AS</t>
    </r>
    <r>
      <rPr>
        <sz val="11"/>
        <rFont val="Calibri"/>
        <family val="2"/>
        <scheme val="minor"/>
      </rPr>
      <t>; Logrange</t>
    </r>
    <r>
      <rPr>
        <vertAlign val="subscript"/>
        <sz val="11"/>
        <rFont val="Calibri"/>
        <family val="2"/>
        <charset val="238"/>
        <scheme val="minor"/>
      </rPr>
      <t>CO2,AMX,pH,AS</t>
    </r>
    <r>
      <rPr>
        <sz val="11"/>
        <rFont val="Calibri"/>
        <family val="2"/>
        <scheme val="minor"/>
      </rPr>
      <t>)</t>
    </r>
  </si>
  <si>
    <r>
      <t>Logisticslope(K</t>
    </r>
    <r>
      <rPr>
        <vertAlign val="subscript"/>
        <sz val="11"/>
        <rFont val="Calibri"/>
        <family val="2"/>
        <charset val="238"/>
        <scheme val="minor"/>
      </rPr>
      <t>CO2,AOB,pH,AS</t>
    </r>
    <r>
      <rPr>
        <sz val="11"/>
        <rFont val="Calibri"/>
        <family val="2"/>
        <scheme val="minor"/>
      </rPr>
      <t>; Logrange</t>
    </r>
    <r>
      <rPr>
        <vertAlign val="subscript"/>
        <sz val="11"/>
        <rFont val="Calibri"/>
        <family val="2"/>
        <charset val="238"/>
        <scheme val="minor"/>
      </rPr>
      <t>CO2,AOB,pH,AS</t>
    </r>
    <r>
      <rPr>
        <sz val="11"/>
        <rFont val="Calibri"/>
        <family val="2"/>
        <scheme val="minor"/>
      </rPr>
      <t>)</t>
    </r>
  </si>
  <si>
    <r>
      <t>Logisticslope(K</t>
    </r>
    <r>
      <rPr>
        <vertAlign val="subscript"/>
        <sz val="11"/>
        <rFont val="Calibri"/>
        <family val="2"/>
        <charset val="238"/>
        <scheme val="minor"/>
      </rPr>
      <t>CO2,AOB,pH,sidestream</t>
    </r>
    <r>
      <rPr>
        <sz val="11"/>
        <rFont val="Calibri"/>
        <family val="2"/>
        <scheme val="minor"/>
      </rPr>
      <t>; Logrange</t>
    </r>
    <r>
      <rPr>
        <vertAlign val="subscript"/>
        <sz val="11"/>
        <rFont val="Calibri"/>
        <family val="2"/>
        <charset val="238"/>
        <scheme val="minor"/>
      </rPr>
      <t>CO2,AOB,pH,sidestream</t>
    </r>
    <r>
      <rPr>
        <sz val="11"/>
        <rFont val="Calibri"/>
        <family val="2"/>
        <scheme val="minor"/>
      </rPr>
      <t>)</t>
    </r>
  </si>
  <si>
    <r>
      <t>Logisticslope(K</t>
    </r>
    <r>
      <rPr>
        <vertAlign val="subscript"/>
        <sz val="11"/>
        <rFont val="Calibri"/>
        <family val="2"/>
        <charset val="238"/>
        <scheme val="minor"/>
      </rPr>
      <t>CO2,NOB,pH,AS</t>
    </r>
    <r>
      <rPr>
        <sz val="11"/>
        <rFont val="Calibri"/>
        <family val="2"/>
        <scheme val="minor"/>
      </rPr>
      <t>; Logrange</t>
    </r>
    <r>
      <rPr>
        <vertAlign val="subscript"/>
        <sz val="11"/>
        <rFont val="Calibri"/>
        <family val="2"/>
        <charset val="238"/>
        <scheme val="minor"/>
      </rPr>
      <t>CO2,NOB,pH,AS</t>
    </r>
    <r>
      <rPr>
        <sz val="11"/>
        <rFont val="Calibri"/>
        <family val="2"/>
        <scheme val="minor"/>
      </rPr>
      <t>)</t>
    </r>
  </si>
  <si>
    <r>
      <rPr>
        <sz val="11"/>
        <color indexed="8"/>
        <rFont val="Calibri"/>
        <family val="2"/>
      </rPr>
      <t>ƞ</t>
    </r>
    <r>
      <rPr>
        <vertAlign val="subscript"/>
        <sz val="11"/>
        <color rgb="FF000000"/>
        <rFont val="Calibri"/>
        <family val="2"/>
        <scheme val="minor"/>
      </rPr>
      <t>AOB,NO,N2O</t>
    </r>
  </si>
  <si>
    <r>
      <t>ƞ</t>
    </r>
    <r>
      <rPr>
        <vertAlign val="subscript"/>
        <sz val="11"/>
        <color rgb="FF000000"/>
        <rFont val="Calibri"/>
        <family val="2"/>
        <scheme val="minor"/>
      </rPr>
      <t>AOB,NO2,N2O</t>
    </r>
  </si>
  <si>
    <t>(0.005 in Mampaey et al., 2019) (0.0015 d-1 in Pocquet et al., 2016)</t>
  </si>
  <si>
    <t>(0.065 d-1 in Mampaey et al., 2019) (0.25 d-1 in Pocquet et al., 2016)</t>
  </si>
  <si>
    <r>
      <t>µ</t>
    </r>
    <r>
      <rPr>
        <vertAlign val="subscript"/>
        <sz val="11"/>
        <rFont val="Calibri"/>
        <family val="2"/>
      </rPr>
      <t>AOB,T</t>
    </r>
    <r>
      <rPr>
        <sz val="11"/>
        <rFont val="Calibri"/>
        <family val="2"/>
      </rPr>
      <t>/Y</t>
    </r>
    <r>
      <rPr>
        <vertAlign val="subscript"/>
        <sz val="11"/>
        <rFont val="Calibri"/>
        <family val="2"/>
      </rPr>
      <t>AOB</t>
    </r>
    <r>
      <rPr>
        <sz val="11"/>
        <rFont val="Calibri"/>
        <family val="2"/>
      </rPr>
      <t>*ƞ</t>
    </r>
    <r>
      <rPr>
        <vertAlign val="subscript"/>
        <sz val="11"/>
        <rFont val="Calibri"/>
        <family val="2"/>
      </rPr>
      <t>AOB,NO,N2O</t>
    </r>
    <r>
      <rPr>
        <sz val="11"/>
        <rFont val="Calibri"/>
        <family val="2"/>
        <scheme val="minor"/>
      </rPr>
      <t>*X</t>
    </r>
    <r>
      <rPr>
        <vertAlign val="subscript"/>
        <sz val="11"/>
        <rFont val="Calibri"/>
        <family val="2"/>
        <scheme val="minor"/>
      </rPr>
      <t>AOB</t>
    </r>
    <r>
      <rPr>
        <sz val="11"/>
        <rFont val="Calibri"/>
        <family val="2"/>
        <scheme val="minor"/>
      </rPr>
      <t>*Msat</t>
    </r>
    <r>
      <rPr>
        <vertAlign val="subscript"/>
        <sz val="11"/>
        <rFont val="Calibri"/>
        <family val="2"/>
        <scheme val="minor"/>
      </rPr>
      <t>SNH2OH,KNH2OH,AOB</t>
    </r>
    <r>
      <rPr>
        <sz val="11"/>
        <rFont val="Calibri"/>
        <family val="2"/>
        <scheme val="minor"/>
      </rPr>
      <t>*Msat</t>
    </r>
    <r>
      <rPr>
        <vertAlign val="subscript"/>
        <sz val="11"/>
        <rFont val="Calibri"/>
        <family val="2"/>
        <scheme val="minor"/>
      </rPr>
      <t>SNO,KNO,N2O,AOB</t>
    </r>
  </si>
  <si>
    <r>
      <t>µ</t>
    </r>
    <r>
      <rPr>
        <vertAlign val="subscript"/>
        <sz val="11"/>
        <rFont val="Calibri"/>
        <family val="2"/>
      </rPr>
      <t>AOB,T</t>
    </r>
    <r>
      <rPr>
        <sz val="11"/>
        <rFont val="Calibri"/>
        <family val="2"/>
      </rPr>
      <t>/Y</t>
    </r>
    <r>
      <rPr>
        <vertAlign val="subscript"/>
        <sz val="11"/>
        <rFont val="Calibri"/>
        <family val="2"/>
      </rPr>
      <t>AOB</t>
    </r>
    <r>
      <rPr>
        <sz val="11"/>
        <rFont val="Calibri"/>
        <family val="2"/>
      </rPr>
      <t>*ƞ</t>
    </r>
    <r>
      <rPr>
        <vertAlign val="subscript"/>
        <sz val="11"/>
        <rFont val="Calibri"/>
        <family val="2"/>
      </rPr>
      <t>AOB,NO2,N2O</t>
    </r>
    <r>
      <rPr>
        <sz val="11"/>
        <rFont val="Calibri"/>
        <family val="2"/>
      </rPr>
      <t>*</t>
    </r>
    <r>
      <rPr>
        <sz val="11"/>
        <rFont val="Calibri"/>
        <family val="2"/>
        <scheme val="minor"/>
      </rPr>
      <t>X</t>
    </r>
    <r>
      <rPr>
        <vertAlign val="subscript"/>
        <sz val="11"/>
        <rFont val="Calibri"/>
        <family val="2"/>
        <scheme val="minor"/>
      </rPr>
      <t>AOB</t>
    </r>
    <r>
      <rPr>
        <sz val="11"/>
        <rFont val="Calibri"/>
        <family val="2"/>
        <scheme val="minor"/>
      </rPr>
      <t>*Msat</t>
    </r>
    <r>
      <rPr>
        <vertAlign val="subscript"/>
        <sz val="11"/>
        <rFont val="Calibri"/>
        <family val="2"/>
        <scheme val="minor"/>
      </rPr>
      <t>SNH2OH,KNH2OH,AOB</t>
    </r>
    <r>
      <rPr>
        <sz val="11"/>
        <rFont val="Calibri"/>
        <family val="2"/>
      </rPr>
      <t>*Msat</t>
    </r>
    <r>
      <rPr>
        <vertAlign val="subscript"/>
        <sz val="11"/>
        <rFont val="Calibri"/>
        <family val="2"/>
      </rPr>
      <t>SHNO2,KHNO2,AOB</t>
    </r>
    <r>
      <rPr>
        <sz val="11"/>
        <rFont val="Calibri"/>
        <family val="2"/>
      </rPr>
      <t>*Minh</t>
    </r>
    <r>
      <rPr>
        <vertAlign val="subscript"/>
        <sz val="11"/>
        <rFont val="Calibri"/>
        <family val="2"/>
      </rPr>
      <t>SO2,KiO2,AOB</t>
    </r>
  </si>
  <si>
    <t>Reduction factor for NO reduction to N2O by AOBs (NN pathway)</t>
  </si>
  <si>
    <t>Reduction factor for HNO2 reduction to N2O by AOBs (ND pathway)</t>
  </si>
  <si>
    <t>(0.125 g N.m-3 in Mampaey et al. 2019) (0.2 g N.m-3 in Pocquet et al., 2016; 0.7 g N.m-3 for SNHx in Sumo2)</t>
  </si>
  <si>
    <t>(0.002 g N/m3 in Mampaey et al., 2019) (0.0003 g N/m3 in Pocquet et al., 2016)</t>
  </si>
  <si>
    <t>(0.1 g O2/m3 in Mampaey et al., 2019) (0.8 g O2/m3 in Pocquet et al., 2016)</t>
  </si>
  <si>
    <r>
      <t>S</t>
    </r>
    <r>
      <rPr>
        <b/>
        <vertAlign val="subscript"/>
        <sz val="11"/>
        <rFont val="Calibri"/>
        <family val="2"/>
        <scheme val="minor"/>
      </rPr>
      <t>NO,AOB</t>
    </r>
  </si>
  <si>
    <r>
      <t>S</t>
    </r>
    <r>
      <rPr>
        <b/>
        <vertAlign val="subscript"/>
        <sz val="11"/>
        <rFont val="Calibri"/>
        <family val="2"/>
        <scheme val="minor"/>
      </rPr>
      <t>NO,OHO</t>
    </r>
  </si>
  <si>
    <t>Nitric oxide of AOB (NO)</t>
  </si>
  <si>
    <t>Nitric oxide of OHO (NO)</t>
  </si>
  <si>
    <r>
      <t>Hsat(S</t>
    </r>
    <r>
      <rPr>
        <vertAlign val="subscript"/>
        <sz val="11"/>
        <rFont val="Calibri"/>
        <family val="2"/>
      </rPr>
      <t>NO,OHO</t>
    </r>
    <r>
      <rPr>
        <sz val="11"/>
        <rFont val="Calibri"/>
        <family val="2"/>
      </rPr>
      <t>;K</t>
    </r>
    <r>
      <rPr>
        <vertAlign val="subscript"/>
        <sz val="11"/>
        <rFont val="Calibri"/>
        <family val="2"/>
      </rPr>
      <t>NO,OHO</t>
    </r>
    <r>
      <rPr>
        <sz val="11"/>
        <rFont val="Calibri"/>
        <family val="2"/>
      </rPr>
      <t>;Ki</t>
    </r>
    <r>
      <rPr>
        <vertAlign val="subscript"/>
        <sz val="11"/>
        <rFont val="Calibri"/>
        <family val="2"/>
      </rPr>
      <t>NO,OHO,NO,AS</t>
    </r>
    <r>
      <rPr>
        <sz val="11"/>
        <rFont val="Calibri"/>
        <family val="2"/>
      </rPr>
      <t>)</t>
    </r>
  </si>
  <si>
    <r>
      <t>Minh(S</t>
    </r>
    <r>
      <rPr>
        <vertAlign val="subscript"/>
        <sz val="11"/>
        <rFont val="Calibri"/>
        <family val="2"/>
        <scheme val="minor"/>
      </rPr>
      <t>NO,OHO</t>
    </r>
    <r>
      <rPr>
        <sz val="11"/>
        <rFont val="Calibri"/>
        <family val="2"/>
        <scheme val="minor"/>
      </rPr>
      <t>;Ki</t>
    </r>
    <r>
      <rPr>
        <vertAlign val="subscript"/>
        <sz val="11"/>
        <rFont val="Calibri"/>
        <family val="2"/>
        <scheme val="minor"/>
      </rPr>
      <t>NO,OHO,NO2</t>
    </r>
    <r>
      <rPr>
        <sz val="11"/>
        <rFont val="Calibri"/>
        <family val="2"/>
        <scheme val="minor"/>
      </rPr>
      <t>)</t>
    </r>
  </si>
  <si>
    <r>
      <t>Minh(S</t>
    </r>
    <r>
      <rPr>
        <vertAlign val="subscript"/>
        <sz val="11"/>
        <rFont val="Calibri"/>
        <family val="2"/>
        <scheme val="minor"/>
      </rPr>
      <t>NO,OHO</t>
    </r>
    <r>
      <rPr>
        <sz val="11"/>
        <rFont val="Calibri"/>
        <family val="2"/>
        <scheme val="minor"/>
      </rPr>
      <t>;Ki</t>
    </r>
    <r>
      <rPr>
        <vertAlign val="subscript"/>
        <sz val="11"/>
        <rFont val="Calibri"/>
        <family val="2"/>
        <scheme val="minor"/>
      </rPr>
      <t>NO,OHO,N2O</t>
    </r>
    <r>
      <rPr>
        <sz val="11"/>
        <rFont val="Calibri"/>
        <family val="2"/>
        <scheme val="minor"/>
      </rPr>
      <t>)</t>
    </r>
  </si>
  <si>
    <r>
      <t>Msat(S</t>
    </r>
    <r>
      <rPr>
        <vertAlign val="subscript"/>
        <sz val="11"/>
        <rFont val="Calibri"/>
        <family val="2"/>
        <scheme val="minor"/>
      </rPr>
      <t>NO,AOB</t>
    </r>
    <r>
      <rPr>
        <sz val="11"/>
        <rFont val="Calibri"/>
        <family val="2"/>
        <scheme val="minor"/>
      </rPr>
      <t>;K</t>
    </r>
    <r>
      <rPr>
        <vertAlign val="subscript"/>
        <sz val="11"/>
        <rFont val="Calibri"/>
        <family val="2"/>
      </rPr>
      <t>NO,NO2,AOB</t>
    </r>
    <r>
      <rPr>
        <sz val="11"/>
        <rFont val="Calibri"/>
        <family val="2"/>
        <scheme val="minor"/>
      </rPr>
      <t>)</t>
    </r>
  </si>
  <si>
    <r>
      <t>Msat(S</t>
    </r>
    <r>
      <rPr>
        <vertAlign val="subscript"/>
        <sz val="11"/>
        <rFont val="Calibri"/>
        <family val="2"/>
        <scheme val="minor"/>
      </rPr>
      <t>NO,AOB</t>
    </r>
    <r>
      <rPr>
        <sz val="11"/>
        <rFont val="Calibri"/>
        <family val="2"/>
        <scheme val="minor"/>
      </rPr>
      <t>;K</t>
    </r>
    <r>
      <rPr>
        <vertAlign val="subscript"/>
        <sz val="11"/>
        <rFont val="Calibri"/>
        <family val="2"/>
      </rPr>
      <t>NO,N2O,AOB</t>
    </r>
    <r>
      <rPr>
        <sz val="11"/>
        <rFont val="Calibri"/>
        <family val="2"/>
        <scheme val="minor"/>
      </rPr>
      <t>)</t>
    </r>
  </si>
  <si>
    <r>
      <t>S</t>
    </r>
    <r>
      <rPr>
        <vertAlign val="subscript"/>
        <sz val="11"/>
        <rFont val="Calibri"/>
        <family val="2"/>
        <charset val="238"/>
      </rPr>
      <t>NO,OHO</t>
    </r>
    <r>
      <rPr>
        <sz val="11"/>
        <rFont val="Calibri"/>
        <family val="2"/>
      </rPr>
      <t xml:space="preserve"> + S</t>
    </r>
    <r>
      <rPr>
        <vertAlign val="subscript"/>
        <sz val="11"/>
        <rFont val="Calibri"/>
        <family val="2"/>
      </rPr>
      <t>NO,AOB</t>
    </r>
  </si>
  <si>
    <r>
      <t>Nitric oxide (NO</t>
    </r>
    <r>
      <rPr>
        <sz val="11"/>
        <color rgb="FF000000"/>
        <rFont val="Calibri"/>
        <family val="2"/>
        <charset val="238"/>
        <scheme val="minor"/>
      </rPr>
      <t>)</t>
    </r>
  </si>
  <si>
    <r>
      <t>S</t>
    </r>
    <r>
      <rPr>
        <vertAlign val="subscript"/>
        <sz val="11"/>
        <rFont val="Calibri"/>
        <family val="2"/>
      </rPr>
      <t>NO</t>
    </r>
  </si>
  <si>
    <r>
      <t>Max(0;v4_S</t>
    </r>
    <r>
      <rPr>
        <vertAlign val="subscript"/>
        <sz val="11"/>
        <rFont val="Calibri"/>
        <family val="2"/>
        <scheme val="minor"/>
      </rPr>
      <t>N2O</t>
    </r>
    <r>
      <rPr>
        <sz val="11"/>
        <rFont val="Calibri"/>
        <family val="2"/>
        <scheme val="minor"/>
      </rPr>
      <t>*r4+v9_S</t>
    </r>
    <r>
      <rPr>
        <vertAlign val="subscript"/>
        <sz val="11"/>
        <rFont val="Calibri"/>
        <family val="2"/>
        <scheme val="minor"/>
      </rPr>
      <t>N2O</t>
    </r>
    <r>
      <rPr>
        <sz val="11"/>
        <rFont val="Calibri"/>
        <family val="2"/>
        <scheme val="minor"/>
      </rPr>
      <t>*r9+v5_S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t>
    </r>
  </si>
  <si>
    <t>N2OUR_denit</t>
  </si>
  <si>
    <t>N2O uptake rate in denitrification (N2OUR_denit)</t>
  </si>
  <si>
    <r>
      <t>Max(0;-(v4_S</t>
    </r>
    <r>
      <rPr>
        <vertAlign val="subscript"/>
        <sz val="11"/>
        <rFont val="Calibri"/>
        <family val="2"/>
        <scheme val="minor"/>
      </rPr>
      <t>N2O</t>
    </r>
    <r>
      <rPr>
        <sz val="11"/>
        <rFont val="Calibri"/>
        <family val="2"/>
        <scheme val="minor"/>
      </rPr>
      <t>*r4+v9_S</t>
    </r>
    <r>
      <rPr>
        <vertAlign val="subscript"/>
        <sz val="11"/>
        <rFont val="Calibri"/>
        <family val="2"/>
        <scheme val="minor"/>
      </rPr>
      <t>N2O</t>
    </r>
    <r>
      <rPr>
        <sz val="11"/>
        <rFont val="Calibri"/>
        <family val="2"/>
        <scheme val="minor"/>
      </rPr>
      <t>*r9+v5_S</t>
    </r>
    <r>
      <rPr>
        <vertAlign val="subscript"/>
        <sz val="11"/>
        <rFont val="Calibri"/>
        <family val="2"/>
        <scheme val="minor"/>
      </rPr>
      <t>N2O</t>
    </r>
    <r>
      <rPr>
        <sz val="11"/>
        <rFont val="Calibri"/>
        <family val="2"/>
        <scheme val="minor"/>
      </rPr>
      <t>*r5+v10_S</t>
    </r>
    <r>
      <rPr>
        <vertAlign val="subscript"/>
        <sz val="11"/>
        <rFont val="Calibri"/>
        <family val="2"/>
        <scheme val="minor"/>
      </rPr>
      <t>N2O</t>
    </r>
    <r>
      <rPr>
        <sz val="11"/>
        <rFont val="Calibri"/>
        <family val="2"/>
        <scheme val="minor"/>
      </rPr>
      <t>*r10))</t>
    </r>
  </si>
  <si>
    <r>
      <t>S</t>
    </r>
    <r>
      <rPr>
        <vertAlign val="subscript"/>
        <sz val="11"/>
        <rFont val="Calibri"/>
        <family val="2"/>
      </rPr>
      <t>NO,AOB</t>
    </r>
    <r>
      <rPr>
        <sz val="11"/>
        <rFont val="Calibri"/>
        <family val="2"/>
      </rPr>
      <t>/S</t>
    </r>
    <r>
      <rPr>
        <vertAlign val="subscript"/>
        <sz val="11"/>
        <rFont val="Calibri"/>
        <family val="2"/>
      </rPr>
      <t>NO</t>
    </r>
  </si>
  <si>
    <r>
      <t>S</t>
    </r>
    <r>
      <rPr>
        <vertAlign val="subscript"/>
        <sz val="11"/>
        <rFont val="Calibri"/>
        <family val="2"/>
      </rPr>
      <t>NO,OHO</t>
    </r>
    <r>
      <rPr>
        <sz val="11"/>
        <rFont val="Calibri"/>
        <family val="2"/>
      </rPr>
      <t>/S</t>
    </r>
    <r>
      <rPr>
        <vertAlign val="subscript"/>
        <sz val="11"/>
        <rFont val="Calibri"/>
        <family val="2"/>
      </rPr>
      <t>NO</t>
    </r>
  </si>
  <si>
    <r>
      <t>S</t>
    </r>
    <r>
      <rPr>
        <vertAlign val="subscript"/>
        <sz val="11"/>
        <rFont val="Calibri"/>
        <family val="2"/>
        <charset val="238"/>
      </rPr>
      <t>NO2</t>
    </r>
    <r>
      <rPr>
        <sz val="11"/>
        <rFont val="Calibri"/>
        <family val="2"/>
      </rPr>
      <t xml:space="preserve"> + S</t>
    </r>
    <r>
      <rPr>
        <vertAlign val="subscript"/>
        <sz val="11"/>
        <rFont val="Calibri"/>
        <family val="2"/>
        <charset val="238"/>
      </rPr>
      <t>NO3</t>
    </r>
  </si>
  <si>
    <r>
      <t>T</t>
    </r>
    <r>
      <rPr>
        <vertAlign val="subscript"/>
        <sz val="11"/>
        <rFont val="Calibri"/>
        <family val="2"/>
        <scheme val="minor"/>
      </rPr>
      <t>KN</t>
    </r>
    <r>
      <rPr>
        <sz val="11"/>
        <rFont val="Calibri"/>
        <family val="2"/>
        <scheme val="minor"/>
      </rPr>
      <t xml:space="preserve"> + S</t>
    </r>
    <r>
      <rPr>
        <vertAlign val="subscript"/>
        <sz val="11"/>
        <rFont val="Calibri"/>
        <family val="2"/>
        <scheme val="minor"/>
      </rPr>
      <t>NH2OH</t>
    </r>
    <r>
      <rPr>
        <sz val="11"/>
        <rFont val="Calibri"/>
        <family val="2"/>
        <scheme val="minor"/>
      </rPr>
      <t xml:space="preserve"> + S</t>
    </r>
    <r>
      <rPr>
        <vertAlign val="subscript"/>
        <sz val="11"/>
        <rFont val="Calibri"/>
        <family val="2"/>
        <scheme val="minor"/>
      </rPr>
      <t>NO</t>
    </r>
    <r>
      <rPr>
        <sz val="11"/>
        <rFont val="Calibri"/>
        <family val="2"/>
        <scheme val="minor"/>
      </rPr>
      <t xml:space="preserve"> + S</t>
    </r>
    <r>
      <rPr>
        <vertAlign val="subscript"/>
        <sz val="11"/>
        <rFont val="Calibri"/>
        <family val="2"/>
        <scheme val="minor"/>
      </rPr>
      <t>NOx</t>
    </r>
  </si>
  <si>
    <r>
      <t>T</t>
    </r>
    <r>
      <rPr>
        <vertAlign val="subscript"/>
        <sz val="11"/>
        <rFont val="Calibri"/>
        <family val="2"/>
        <charset val="238"/>
        <scheme val="minor"/>
      </rPr>
      <t>KN,B</t>
    </r>
  </si>
  <si>
    <t>Total organic Kjeldahl nitrogen</t>
  </si>
  <si>
    <r>
      <t>T</t>
    </r>
    <r>
      <rPr>
        <vertAlign val="subscript"/>
        <sz val="11"/>
        <rFont val="Calibri"/>
        <family val="2"/>
        <charset val="238"/>
      </rPr>
      <t>IN</t>
    </r>
  </si>
  <si>
    <t>Total inorganic nitrogen</t>
  </si>
  <si>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NOx</t>
    </r>
    <r>
      <rPr>
        <sz val="11"/>
        <rFont val="Calibri"/>
        <family val="2"/>
        <scheme val="minor"/>
      </rPr>
      <t>+ S</t>
    </r>
    <r>
      <rPr>
        <vertAlign val="subscript"/>
        <sz val="11"/>
        <rFont val="Calibri"/>
        <family val="2"/>
        <scheme val="minor"/>
      </rPr>
      <t>NH2OH</t>
    </r>
    <r>
      <rPr>
        <sz val="11"/>
        <rFont val="Calibri"/>
        <family val="2"/>
        <scheme val="minor"/>
      </rPr>
      <t xml:space="preserve"> + S</t>
    </r>
    <r>
      <rPr>
        <vertAlign val="subscript"/>
        <sz val="11"/>
        <rFont val="Calibri"/>
        <family val="2"/>
        <scheme val="minor"/>
      </rPr>
      <t>NO</t>
    </r>
  </si>
  <si>
    <r>
      <t>Ki</t>
    </r>
    <r>
      <rPr>
        <vertAlign val="subscript"/>
        <sz val="11"/>
        <rFont val="Calibri"/>
        <family val="2"/>
        <scheme val="minor"/>
      </rPr>
      <t>NH3,AMETO,pH,AS</t>
    </r>
  </si>
  <si>
    <r>
      <t>Half-inhibition of NH3</t>
    </r>
    <r>
      <rPr>
        <sz val="11"/>
        <color rgb="FF000000"/>
        <rFont val="Calibri"/>
        <family val="2"/>
        <charset val="238"/>
        <scheme val="minor"/>
      </rPr>
      <t xml:space="preserve"> for AMETOs (AS)</t>
    </r>
  </si>
  <si>
    <r>
      <t>Logrange</t>
    </r>
    <r>
      <rPr>
        <vertAlign val="subscript"/>
        <sz val="11"/>
        <rFont val="Calibri"/>
        <family val="2"/>
        <charset val="238"/>
        <scheme val="minor"/>
      </rPr>
      <t>NH3,AMETO</t>
    </r>
  </si>
  <si>
    <t>Effective range of NH3 logistic switch for AMETOs</t>
  </si>
  <si>
    <t>A_MP/M_MBSH</t>
  </si>
  <si>
    <r>
      <t>Ki</t>
    </r>
    <r>
      <rPr>
        <vertAlign val="subscript"/>
        <sz val="11"/>
        <rFont val="Calibri"/>
        <family val="2"/>
        <scheme val="minor"/>
      </rPr>
      <t>NH3,AMETO,pH</t>
    </r>
  </si>
  <si>
    <r>
      <t>Ki</t>
    </r>
    <r>
      <rPr>
        <vertAlign val="subscript"/>
        <sz val="11"/>
        <rFont val="Calibri"/>
        <family val="2"/>
        <scheme val="minor"/>
      </rPr>
      <t>NH3,AMETO,pH,AS</t>
    </r>
    <r>
      <rPr>
        <sz val="11"/>
        <rFont val="Calibri"/>
        <family val="2"/>
        <scheme val="minor"/>
      </rPr>
      <t>*f</t>
    </r>
    <r>
      <rPr>
        <vertAlign val="subscript"/>
        <sz val="11"/>
        <rFont val="Calibri"/>
        <family val="2"/>
        <scheme val="minor"/>
      </rPr>
      <t>KS</t>
    </r>
  </si>
  <si>
    <r>
      <t>Half-inhibition of NH</t>
    </r>
    <r>
      <rPr>
        <vertAlign val="subscript"/>
        <sz val="11"/>
        <rFont val="Calibri"/>
        <family val="2"/>
        <scheme val="minor"/>
      </rPr>
      <t>3</t>
    </r>
    <r>
      <rPr>
        <sz val="11"/>
        <color rgb="FF000000"/>
        <rFont val="Calibri"/>
        <family val="2"/>
        <charset val="238"/>
        <scheme val="minor"/>
      </rPr>
      <t xml:space="preserve"> for AMETOs (AS)</t>
    </r>
  </si>
  <si>
    <r>
      <t>Logslope</t>
    </r>
    <r>
      <rPr>
        <vertAlign val="subscript"/>
        <sz val="11"/>
        <rFont val="Calibri"/>
        <family val="2"/>
        <scheme val="minor"/>
      </rPr>
      <t>NH3,AMETO,pH</t>
    </r>
  </si>
  <si>
    <r>
      <t>Logistic slope of NH</t>
    </r>
    <r>
      <rPr>
        <vertAlign val="subscript"/>
        <sz val="11"/>
        <rFont val="Calibri"/>
        <family val="2"/>
        <scheme val="minor"/>
      </rPr>
      <t>3</t>
    </r>
    <r>
      <rPr>
        <sz val="11"/>
        <color rgb="FF000000"/>
        <rFont val="Calibri"/>
        <family val="2"/>
        <charset val="238"/>
        <scheme val="minor"/>
      </rPr>
      <t xml:space="preserve"> for AMETOs</t>
    </r>
  </si>
  <si>
    <r>
      <t>Logisticslope(Ki</t>
    </r>
    <r>
      <rPr>
        <vertAlign val="subscript"/>
        <sz val="11"/>
        <rFont val="Calibri"/>
        <family val="2"/>
        <charset val="238"/>
        <scheme val="minor"/>
      </rPr>
      <t>NH3,AMETO,pH;</t>
    </r>
    <r>
      <rPr>
        <sz val="11"/>
        <rFont val="Calibri"/>
        <family val="2"/>
        <scheme val="minor"/>
      </rPr>
      <t xml:space="preserve"> Logrange</t>
    </r>
    <r>
      <rPr>
        <vertAlign val="subscript"/>
        <sz val="11"/>
        <rFont val="Calibri"/>
        <family val="2"/>
        <charset val="238"/>
        <scheme val="minor"/>
      </rPr>
      <t>NH3,AMETO</t>
    </r>
    <r>
      <rPr>
        <sz val="11"/>
        <rFont val="Calibri"/>
        <family val="2"/>
        <scheme val="minor"/>
      </rPr>
      <t>)</t>
    </r>
  </si>
  <si>
    <r>
      <t>L.mol [NH</t>
    </r>
    <r>
      <rPr>
        <vertAlign val="subscript"/>
        <sz val="11"/>
        <rFont val="Calibri"/>
        <family val="2"/>
        <scheme val="minor"/>
      </rPr>
      <t>3</t>
    </r>
    <r>
      <rPr>
        <vertAlign val="superscript"/>
        <sz val="11"/>
        <rFont val="Calibri"/>
        <family val="2"/>
        <scheme val="minor"/>
      </rPr>
      <t>-</t>
    </r>
    <r>
      <rPr>
        <sz val="11"/>
        <rFont val="Calibri"/>
        <family val="2"/>
        <scheme val="minor"/>
      </rPr>
      <t>]</t>
    </r>
    <r>
      <rPr>
        <vertAlign val="superscript"/>
        <sz val="11"/>
        <rFont val="Calibri"/>
        <family val="2"/>
        <scheme val="minor"/>
      </rPr>
      <t>-1</t>
    </r>
  </si>
  <si>
    <r>
      <t>LoginhpH</t>
    </r>
    <r>
      <rPr>
        <vertAlign val="subscript"/>
        <sz val="11"/>
        <rFont val="Calibri"/>
        <family val="2"/>
        <scheme val="minor"/>
      </rPr>
      <t>NH3,AMETO</t>
    </r>
  </si>
  <si>
    <r>
      <t>Logistic inhibition term for NHx</t>
    </r>
    <r>
      <rPr>
        <sz val="11"/>
        <color rgb="FF000000"/>
        <rFont val="Calibri"/>
        <family val="2"/>
        <charset val="238"/>
        <scheme val="minor"/>
      </rPr>
      <t>/NH</t>
    </r>
    <r>
      <rPr>
        <vertAlign val="subscript"/>
        <sz val="11"/>
        <color rgb="FF000000"/>
        <rFont val="Calibri"/>
        <family val="2"/>
        <scheme val="minor"/>
      </rPr>
      <t>3</t>
    </r>
    <r>
      <rPr>
        <sz val="11"/>
        <color rgb="FF000000"/>
        <rFont val="Calibri"/>
        <family val="2"/>
        <charset val="238"/>
        <scheme val="minor"/>
      </rPr>
      <t xml:space="preserve"> (AMETO)</t>
    </r>
  </si>
  <si>
    <r>
      <t>Loginh([NH</t>
    </r>
    <r>
      <rPr>
        <vertAlign val="subscript"/>
        <sz val="11"/>
        <rFont val="Calibri"/>
        <family val="2"/>
        <scheme val="minor"/>
      </rPr>
      <t>3</t>
    </r>
    <r>
      <rPr>
        <sz val="11"/>
        <rFont val="Calibri"/>
        <family val="2"/>
        <scheme val="minor"/>
      </rPr>
      <t>]; Ki</t>
    </r>
    <r>
      <rPr>
        <vertAlign val="subscript"/>
        <sz val="11"/>
        <rFont val="Calibri"/>
        <family val="2"/>
        <scheme val="minor"/>
      </rPr>
      <t>NH3,AMETO,pH</t>
    </r>
    <r>
      <rPr>
        <sz val="11"/>
        <rFont val="Calibri"/>
        <family val="2"/>
        <scheme val="minor"/>
      </rPr>
      <t>; Logslope</t>
    </r>
    <r>
      <rPr>
        <vertAlign val="subscript"/>
        <sz val="11"/>
        <rFont val="Calibri"/>
        <family val="2"/>
        <charset val="238"/>
        <scheme val="minor"/>
      </rPr>
      <t>NH3,AMETO,pH</t>
    </r>
    <r>
      <rPr>
        <sz val="11"/>
        <rFont val="Calibri"/>
        <family val="2"/>
        <scheme val="minor"/>
      </rPr>
      <t>)</t>
    </r>
  </si>
  <si>
    <r>
      <t>µ</t>
    </r>
    <r>
      <rPr>
        <vertAlign val="subscript"/>
        <sz val="11"/>
        <rFont val="Calibri"/>
        <family val="2"/>
      </rPr>
      <t>AMETO,T</t>
    </r>
    <r>
      <rPr>
        <sz val="11"/>
        <rFont val="Calibri"/>
        <family val="2"/>
      </rPr>
      <t>*X</t>
    </r>
    <r>
      <rPr>
        <vertAlign val="subscript"/>
        <sz val="11"/>
        <rFont val="Calibri"/>
        <family val="2"/>
      </rPr>
      <t>AMETO</t>
    </r>
    <r>
      <rPr>
        <sz val="11"/>
        <rFont val="Calibri"/>
        <family val="2"/>
      </rPr>
      <t>*Hsat</t>
    </r>
    <r>
      <rPr>
        <vertAlign val="subscript"/>
        <sz val="11"/>
        <rFont val="Calibri"/>
        <family val="2"/>
      </rPr>
      <t>SVFA,AMETO</t>
    </r>
    <r>
      <rPr>
        <sz val="11"/>
        <rFont val="Calibri"/>
        <family val="2"/>
      </rPr>
      <t>*Minh</t>
    </r>
    <r>
      <rPr>
        <vertAlign val="subscript"/>
        <sz val="11"/>
        <rFont val="Calibri"/>
        <family val="2"/>
      </rPr>
      <t>SO2,KiO2,AMETO</t>
    </r>
    <r>
      <rPr>
        <sz val="11"/>
        <rFont val="Calibri"/>
        <family val="2"/>
      </rPr>
      <t>*Minh</t>
    </r>
    <r>
      <rPr>
        <vertAlign val="subscript"/>
        <sz val="11"/>
        <rFont val="Calibri"/>
        <family val="2"/>
      </rPr>
      <t>SNOx,KNO3,AMETO</t>
    </r>
    <r>
      <rPr>
        <sz val="11"/>
        <rFont val="Calibri"/>
        <family val="2"/>
      </rPr>
      <t>*LoginhpH</t>
    </r>
    <r>
      <rPr>
        <vertAlign val="subscript"/>
        <sz val="11"/>
        <rFont val="Calibri"/>
        <family val="2"/>
      </rPr>
      <t>NH3,AMETO</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pH,AMETO</t>
    </r>
  </si>
  <si>
    <t>Atmosphere composition</t>
  </si>
  <si>
    <r>
      <t>K</t>
    </r>
    <r>
      <rPr>
        <vertAlign val="subscript"/>
        <sz val="11"/>
        <rFont val="Calibri"/>
        <family val="2"/>
        <scheme val="minor"/>
      </rPr>
      <t>Prop,param</t>
    </r>
  </si>
  <si>
    <r>
      <t>D</t>
    </r>
    <r>
      <rPr>
        <vertAlign val="subscript"/>
        <sz val="11"/>
        <rFont val="Calibri"/>
        <family val="2"/>
        <charset val="238"/>
        <scheme val="minor"/>
      </rPr>
      <t>SALPHA</t>
    </r>
  </si>
  <si>
    <t>Diffusion coefficient of alpha indicator</t>
  </si>
  <si>
    <r>
      <t>D</t>
    </r>
    <r>
      <rPr>
        <vertAlign val="subscript"/>
        <sz val="11"/>
        <rFont val="Calibri"/>
        <family val="2"/>
        <charset val="238"/>
        <scheme val="minor"/>
      </rPr>
      <t>SNOx</t>
    </r>
  </si>
  <si>
    <t>Input</t>
  </si>
  <si>
    <t>SOTECorr_cdisc</t>
  </si>
  <si>
    <t>SOTECorr_mdisc</t>
  </si>
  <si>
    <t>SOTECorr_pdisc</t>
  </si>
  <si>
    <t>SOTECorr_cdome</t>
  </si>
  <si>
    <t>SOTECorr_mtube</t>
  </si>
  <si>
    <t>SOTEFixed_fine</t>
  </si>
  <si>
    <t>PondWaterColumn</t>
  </si>
  <si>
    <t>PondSediments</t>
  </si>
  <si>
    <t>Alpha improvement rate</t>
  </si>
  <si>
    <t>Half-saturation of dissolved oxygen for alpha rate</t>
  </si>
  <si>
    <t>Non-aerated zone alpha improvement rate increase</t>
  </si>
  <si>
    <t>Coefficient of alpha first order limitation-dampening term</t>
  </si>
  <si>
    <t>Power of alpha first order limitation-dampening term</t>
  </si>
  <si>
    <r>
      <t>sl</t>
    </r>
    <r>
      <rPr>
        <vertAlign val="subscript"/>
        <sz val="11"/>
        <color theme="1"/>
        <rFont val="Calibri"/>
        <family val="2"/>
        <scheme val="minor"/>
      </rPr>
      <t>h,diff,α</t>
    </r>
  </si>
  <si>
    <t>Slope of depth-related alpha factor correction term</t>
  </si>
  <si>
    <r>
      <t>m</t>
    </r>
    <r>
      <rPr>
        <vertAlign val="superscript"/>
        <sz val="11"/>
        <rFont val="Calibri"/>
        <family val="2"/>
        <scheme val="minor"/>
      </rPr>
      <t>-1</t>
    </r>
  </si>
  <si>
    <t>Slope of solids-related alpha factor correction term, default</t>
  </si>
  <si>
    <r>
      <t>m</t>
    </r>
    <r>
      <rPr>
        <vertAlign val="superscript"/>
        <sz val="11"/>
        <rFont val="Calibri"/>
        <family val="2"/>
        <charset val="238"/>
        <scheme val="minor"/>
      </rPr>
      <t>3</t>
    </r>
    <r>
      <rPr>
        <sz val="11"/>
        <rFont val="Calibri"/>
        <family val="2"/>
        <scheme val="minor"/>
      </rPr>
      <t>.kg TSS</t>
    </r>
    <r>
      <rPr>
        <vertAlign val="superscript"/>
        <sz val="11"/>
        <rFont val="Calibri"/>
        <family val="2"/>
        <scheme val="minor"/>
      </rPr>
      <t>-1</t>
    </r>
  </si>
  <si>
    <t>Slope of solids-related alpha factor correction term, coarse bubbles</t>
  </si>
  <si>
    <r>
      <t>m</t>
    </r>
    <r>
      <rPr>
        <vertAlign val="superscript"/>
        <sz val="11"/>
        <rFont val="Calibri"/>
        <family val="2"/>
        <charset val="238"/>
        <scheme val="minor"/>
      </rPr>
      <t>3</t>
    </r>
    <r>
      <rPr>
        <sz val="11"/>
        <rFont val="Calibri"/>
        <family val="2"/>
        <scheme val="minor"/>
      </rPr>
      <t>.kg TSS</t>
    </r>
    <r>
      <rPr>
        <vertAlign val="superscript"/>
        <sz val="11"/>
        <rFont val="Calibri"/>
        <family val="2"/>
        <charset val="238"/>
        <scheme val="minor"/>
      </rPr>
      <t>-1</t>
    </r>
  </si>
  <si>
    <t>Leading coefficient of solids-related alpha correction term, mechanical aeration</t>
  </si>
  <si>
    <r>
      <t>(kg TSS.m</t>
    </r>
    <r>
      <rPr>
        <vertAlign val="superscript"/>
        <sz val="11"/>
        <rFont val="Calibri"/>
        <family val="2"/>
        <charset val="238"/>
        <scheme val="minor"/>
      </rPr>
      <t>-3</t>
    </r>
    <r>
      <rPr>
        <sz val="11"/>
        <rFont val="Calibri"/>
        <family val="2"/>
        <scheme val="minor"/>
      </rPr>
      <t>)</t>
    </r>
    <r>
      <rPr>
        <vertAlign val="superscript"/>
        <sz val="11"/>
        <rFont val="Calibri"/>
        <family val="2"/>
        <charset val="238"/>
        <scheme val="minor"/>
      </rPr>
      <t>-2</t>
    </r>
  </si>
  <si>
    <t>Linear coefficient of solids-related alpha correction term, mechanical aeration</t>
  </si>
  <si>
    <t>Constant of solids-related alpha correction term, mechanical aeration</t>
  </si>
  <si>
    <t>Maximum alpha indicator</t>
  </si>
  <si>
    <r>
      <t>K</t>
    </r>
    <r>
      <rPr>
        <vertAlign val="subscript"/>
        <sz val="11"/>
        <rFont val="Calibri"/>
        <family val="2"/>
        <charset val="238"/>
        <scheme val="minor"/>
      </rPr>
      <t>O2,ALPHA</t>
    </r>
  </si>
  <si>
    <r>
      <t>f</t>
    </r>
    <r>
      <rPr>
        <vertAlign val="subscript"/>
        <sz val="11"/>
        <rFont val="Calibri"/>
        <family val="2"/>
        <charset val="238"/>
        <scheme val="minor"/>
      </rPr>
      <t>O2,max,ALPHA</t>
    </r>
  </si>
  <si>
    <r>
      <t>corr</t>
    </r>
    <r>
      <rPr>
        <vertAlign val="subscript"/>
        <sz val="11"/>
        <rFont val="Calibri"/>
        <family val="2"/>
        <charset val="238"/>
        <scheme val="minor"/>
      </rPr>
      <t>h,diff,</t>
    </r>
    <r>
      <rPr>
        <vertAlign val="subscript"/>
        <sz val="11"/>
        <rFont val="Calibri"/>
        <family val="2"/>
        <charset val="238"/>
      </rPr>
      <t>α</t>
    </r>
  </si>
  <si>
    <t>Depth-related alpha factor correction term</t>
  </si>
  <si>
    <r>
      <t>(S</t>
    </r>
    <r>
      <rPr>
        <vertAlign val="subscript"/>
        <sz val="11"/>
        <color theme="1"/>
        <rFont val="Calibri"/>
        <family val="2"/>
        <scheme val="minor"/>
      </rPr>
      <t>ALPHA</t>
    </r>
    <r>
      <rPr>
        <sz val="11"/>
        <color theme="1"/>
        <rFont val="Calibri"/>
        <family val="2"/>
        <scheme val="minor"/>
      </rPr>
      <t>-1</t>
    </r>
    <r>
      <rPr>
        <sz val="11"/>
        <color indexed="8"/>
        <rFont val="Calibri"/>
        <family val="2"/>
      </rPr>
      <t>)*Exp(sl</t>
    </r>
    <r>
      <rPr>
        <vertAlign val="subscript"/>
        <sz val="11"/>
        <color theme="1"/>
        <rFont val="Calibri"/>
        <family val="2"/>
        <scheme val="minor"/>
      </rPr>
      <t>h,diff,α</t>
    </r>
    <r>
      <rPr>
        <sz val="11"/>
        <color indexed="8"/>
        <rFont val="Calibri"/>
        <family val="2"/>
      </rPr>
      <t>*h</t>
    </r>
    <r>
      <rPr>
        <vertAlign val="subscript"/>
        <sz val="11"/>
        <color theme="1"/>
        <rFont val="Calibri"/>
        <family val="2"/>
        <scheme val="minor"/>
      </rPr>
      <t>diff</t>
    </r>
    <r>
      <rPr>
        <sz val="11"/>
        <color indexed="8"/>
        <rFont val="Calibri"/>
        <family val="2"/>
      </rPr>
      <t>)+1</t>
    </r>
  </si>
  <si>
    <t>Solids-related alpha factor correction term</t>
  </si>
  <si>
    <r>
      <t>S</t>
    </r>
    <r>
      <rPr>
        <vertAlign val="subscript"/>
        <sz val="11"/>
        <rFont val="Calibri"/>
        <family val="2"/>
        <charset val="238"/>
        <scheme val="minor"/>
      </rPr>
      <t>ALPHA</t>
    </r>
    <r>
      <rPr>
        <sz val="11"/>
        <rFont val="Calibri"/>
        <family val="2"/>
        <scheme val="minor"/>
      </rPr>
      <t>/corr</t>
    </r>
    <r>
      <rPr>
        <vertAlign val="subscript"/>
        <sz val="11"/>
        <rFont val="Calibri"/>
        <family val="2"/>
        <scheme val="minor"/>
      </rPr>
      <t>h,diff,α</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</si>
  <si>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r>
      <t>q</t>
    </r>
    <r>
      <rPr>
        <vertAlign val="subscript"/>
        <sz val="11"/>
        <rFont val="Calibri"/>
        <family val="2"/>
        <charset val="238"/>
        <scheme val="minor"/>
      </rPr>
      <t>ALPHA,O2</t>
    </r>
  </si>
  <si>
    <r>
      <t>h</t>
    </r>
    <r>
      <rPr>
        <vertAlign val="subscript"/>
        <sz val="11"/>
        <rFont val="Calibri"/>
        <family val="2"/>
      </rPr>
      <t>diff</t>
    </r>
  </si>
  <si>
    <t>Diffuser submergence</t>
  </si>
  <si>
    <t>m</t>
  </si>
  <si>
    <t>Alpha first order limitation-dampening term</t>
  </si>
  <si>
    <t>Alpha improvement rate (dissolved oxygen corrected)</t>
  </si>
  <si>
    <r>
      <t>q</t>
    </r>
    <r>
      <rPr>
        <vertAlign val="subscript"/>
        <sz val="11"/>
        <rFont val="Calibri"/>
        <family val="2"/>
        <charset val="238"/>
        <scheme val="minor"/>
      </rPr>
      <t>ALPHA</t>
    </r>
    <r>
      <rPr>
        <sz val="11"/>
        <rFont val="Calibri"/>
        <family val="2"/>
        <charset val="238"/>
        <scheme val="minor"/>
      </rPr>
      <t>*((1-f</t>
    </r>
    <r>
      <rPr>
        <vertAlign val="subscript"/>
        <sz val="11"/>
        <rFont val="Calibri"/>
        <family val="2"/>
        <charset val="238"/>
        <scheme val="minor"/>
      </rPr>
      <t>O2,max,ALPHA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/(K</t>
    </r>
    <r>
      <rPr>
        <vertAlign val="subscript"/>
        <sz val="11"/>
        <rFont val="Calibri"/>
        <family val="2"/>
        <charset val="238"/>
        <scheme val="minor"/>
      </rPr>
      <t>O2,ALPHA</t>
    </r>
    <r>
      <rPr>
        <sz val="11"/>
        <rFont val="Calibri"/>
        <family val="2"/>
        <charset val="238"/>
        <scheme val="minor"/>
      </rPr>
      <t>+S</t>
    </r>
    <r>
      <rPr>
        <vertAlign val="subscript"/>
        <sz val="11"/>
        <rFont val="Calibri"/>
        <family val="2"/>
        <charset val="238"/>
        <scheme val="minor"/>
      </rPr>
      <t>O2</t>
    </r>
    <r>
      <rPr>
        <sz val="11"/>
        <rFont val="Calibri"/>
        <family val="2"/>
        <charset val="238"/>
        <scheme val="minor"/>
      </rPr>
      <t>)+f</t>
    </r>
    <r>
      <rPr>
        <vertAlign val="subscript"/>
        <sz val="11"/>
        <rFont val="Calibri"/>
        <family val="2"/>
        <charset val="238"/>
        <scheme val="minor"/>
      </rPr>
      <t>O2,max,ALPHA</t>
    </r>
    <r>
      <rPr>
        <sz val="11"/>
        <rFont val="Calibri"/>
        <family val="2"/>
        <charset val="238"/>
        <scheme val="minor"/>
      </rPr>
      <t>)</t>
    </r>
  </si>
  <si>
    <r>
      <t>q</t>
    </r>
    <r>
      <rPr>
        <vertAlign val="subscript"/>
        <sz val="11"/>
        <rFont val="Calibri"/>
        <family val="2"/>
      </rPr>
      <t>ALPHA,O2</t>
    </r>
    <r>
      <rPr>
        <sz val="11"/>
        <rFont val="Calibri"/>
        <family val="2"/>
      </rPr>
      <t>*X</t>
    </r>
    <r>
      <rPr>
        <vertAlign val="subscript"/>
        <sz val="11"/>
        <rFont val="Calibri"/>
        <family val="2"/>
      </rPr>
      <t>VSS</t>
    </r>
    <r>
      <rPr>
        <sz val="11"/>
        <rFont val="Calibri"/>
        <family val="2"/>
      </rPr>
      <t>*damp</t>
    </r>
    <r>
      <rPr>
        <vertAlign val="subscript"/>
        <sz val="11"/>
        <rFont val="Calibri"/>
        <family val="2"/>
        <charset val="238"/>
      </rPr>
      <t>ALPHA</t>
    </r>
    <r>
      <rPr>
        <sz val="11"/>
        <rFont val="Calibri"/>
        <family val="2"/>
      </rPr>
      <t>*(S</t>
    </r>
    <r>
      <rPr>
        <vertAlign val="subscript"/>
        <sz val="11"/>
        <rFont val="Calibri"/>
        <family val="2"/>
      </rPr>
      <t>ALPHA,sat</t>
    </r>
    <r>
      <rPr>
        <sz val="11"/>
        <rFont val="Calibri"/>
        <family val="2"/>
      </rPr>
      <t>-S</t>
    </r>
    <r>
      <rPr>
        <vertAlign val="subscript"/>
        <sz val="11"/>
        <rFont val="Calibri"/>
        <family val="2"/>
      </rPr>
      <t>ALPHA</t>
    </r>
    <r>
      <rPr>
        <sz val="11"/>
        <rFont val="Calibri"/>
        <family val="2"/>
      </rPr>
      <t>)</t>
    </r>
  </si>
  <si>
    <r>
      <t>S</t>
    </r>
    <r>
      <rPr>
        <vertAlign val="subscript"/>
        <sz val="11"/>
        <rFont val="Calibri"/>
        <family val="2"/>
        <charset val="238"/>
        <scheme val="minor"/>
      </rPr>
      <t>ALPHA</t>
    </r>
    <r>
      <rPr>
        <sz val="11"/>
        <rFont val="Calibri"/>
        <family val="2"/>
        <scheme val="minor"/>
      </rPr>
      <t>*corr</t>
    </r>
    <r>
      <rPr>
        <vertAlign val="subscript"/>
        <sz val="11"/>
        <rFont val="Calibri"/>
        <family val="2"/>
        <charset val="238"/>
        <scheme val="minor"/>
      </rPr>
      <t>TSS,</t>
    </r>
    <r>
      <rPr>
        <vertAlign val="subscript"/>
        <sz val="11"/>
        <rFont val="Calibri"/>
        <family val="2"/>
        <charset val="238"/>
      </rPr>
      <t>α</t>
    </r>
  </si>
  <si>
    <t>Diffused</t>
  </si>
  <si>
    <t>Diffused; Non-SOTECorr_cap; Non-SOTEFixed_coarse</t>
  </si>
  <si>
    <r>
      <t>S</t>
    </r>
    <r>
      <rPr>
        <b/>
        <vertAlign val="subscript"/>
        <sz val="11"/>
        <rFont val="Calibri"/>
        <family val="2"/>
        <charset val="238"/>
        <scheme val="minor"/>
      </rPr>
      <t>ORPswitch</t>
    </r>
  </si>
  <si>
    <t>ORP driver for CASTO activity switches</t>
  </si>
  <si>
    <r>
      <t>S</t>
    </r>
    <r>
      <rPr>
        <b/>
        <vertAlign val="subscript"/>
        <sz val="12"/>
        <rFont val="Calibri"/>
        <family val="2"/>
        <charset val="238"/>
        <scheme val="minor"/>
      </rPr>
      <t>ORPswitch</t>
    </r>
  </si>
  <si>
    <t>ORP lag for CASTO activity switches</t>
  </si>
  <si>
    <r>
      <t>k</t>
    </r>
    <r>
      <rPr>
        <vertAlign val="subscript"/>
        <sz val="11"/>
        <rFont val="Calibri"/>
        <family val="2"/>
        <charset val="238"/>
      </rPr>
      <t>ORPswitch</t>
    </r>
    <r>
      <rPr>
        <sz val="11"/>
        <rFont val="Calibri"/>
        <family val="2"/>
      </rPr>
      <t>*(ORP + offset</t>
    </r>
    <r>
      <rPr>
        <vertAlign val="subscript"/>
        <sz val="11"/>
        <rFont val="Calibri"/>
        <family val="2"/>
        <charset val="238"/>
      </rPr>
      <t>ORPswitch</t>
    </r>
    <r>
      <rPr>
        <sz val="11"/>
        <rFont val="Calibri"/>
        <family val="2"/>
      </rPr>
      <t xml:space="preserve"> - S</t>
    </r>
    <r>
      <rPr>
        <vertAlign val="subscript"/>
        <sz val="11"/>
        <rFont val="Calibri"/>
        <family val="2"/>
        <charset val="238"/>
      </rPr>
      <t>ORPswitch</t>
    </r>
    <r>
      <rPr>
        <sz val="11"/>
        <rFont val="Calibri"/>
        <family val="2"/>
      </rPr>
      <t>)</t>
    </r>
  </si>
  <si>
    <r>
      <t>mV.d</t>
    </r>
    <r>
      <rPr>
        <vertAlign val="superscript"/>
        <sz val="11"/>
        <color indexed="8"/>
        <rFont val="Calibri"/>
        <family val="2"/>
        <charset val="238"/>
      </rPr>
      <t>-1</t>
    </r>
  </si>
  <si>
    <t>r109</t>
  </si>
  <si>
    <r>
      <t>Loginhswitch(S</t>
    </r>
    <r>
      <rPr>
        <vertAlign val="subscript"/>
        <sz val="11"/>
        <rFont val="Calibri"/>
        <family val="2"/>
        <charset val="238"/>
        <scheme val="minor"/>
      </rPr>
      <t>ORPswitch</t>
    </r>
    <r>
      <rPr>
        <sz val="11"/>
        <rFont val="Calibri"/>
        <family val="2"/>
        <charset val="238"/>
        <scheme val="minor"/>
      </rPr>
      <t xml:space="preserve"> - offset</t>
    </r>
    <r>
      <rPr>
        <vertAlign val="subscript"/>
        <sz val="11"/>
        <rFont val="Calibri"/>
        <family val="2"/>
        <charset val="238"/>
        <scheme val="minor"/>
      </rPr>
      <t>ORPswitch</t>
    </r>
    <r>
      <rPr>
        <sz val="11"/>
        <rFont val="Calibri"/>
        <family val="2"/>
        <scheme val="minor"/>
      </rPr>
      <t>; Logsat</t>
    </r>
    <r>
      <rPr>
        <vertAlign val="subscript"/>
        <sz val="11"/>
        <rFont val="Calibri"/>
        <family val="2"/>
      </rPr>
      <t>ORP,PAO,Half</t>
    </r>
    <r>
      <rPr>
        <sz val="11"/>
        <rFont val="Calibri"/>
        <family val="2"/>
      </rPr>
      <t>; Logsat</t>
    </r>
    <r>
      <rPr>
        <vertAlign val="subscript"/>
        <sz val="11"/>
        <rFont val="Calibri"/>
        <family val="2"/>
      </rPr>
      <t>ORP,PAO,Slope</t>
    </r>
    <r>
      <rPr>
        <sz val="11"/>
        <rFont val="Calibri"/>
        <family val="2"/>
      </rPr>
      <t>)</t>
    </r>
  </si>
  <si>
    <r>
      <t>Logsatswitch(S</t>
    </r>
    <r>
      <rPr>
        <vertAlign val="subscript"/>
        <sz val="11"/>
        <rFont val="Calibri"/>
        <family val="2"/>
        <charset val="238"/>
      </rPr>
      <t>ORPswitch</t>
    </r>
    <r>
      <rPr>
        <sz val="11"/>
        <rFont val="Calibri"/>
        <family val="2"/>
        <charset val="238"/>
      </rPr>
      <t xml:space="preserve"> - offset</t>
    </r>
    <r>
      <rPr>
        <vertAlign val="subscript"/>
        <sz val="11"/>
        <rFont val="Calibri"/>
        <family val="2"/>
        <charset val="238"/>
      </rPr>
      <t>ORPswitch</t>
    </r>
    <r>
      <rPr>
        <sz val="11"/>
        <rFont val="Calibri"/>
        <family val="2"/>
      </rPr>
      <t>; Logsat</t>
    </r>
    <r>
      <rPr>
        <vertAlign val="subscript"/>
        <sz val="11"/>
        <rFont val="Calibri"/>
        <family val="2"/>
      </rPr>
      <t>ORP,GAO,Half,T</t>
    </r>
    <r>
      <rPr>
        <sz val="11"/>
        <rFont val="Calibri"/>
        <family val="2"/>
      </rPr>
      <t>; Logsat</t>
    </r>
    <r>
      <rPr>
        <vertAlign val="subscript"/>
        <sz val="11"/>
        <rFont val="Calibri"/>
        <family val="2"/>
      </rPr>
      <t>ORP,GAO,Slope</t>
    </r>
    <r>
      <rPr>
        <sz val="11"/>
        <rFont val="Calibri"/>
        <family val="2"/>
      </rPr>
      <t>)</t>
    </r>
  </si>
  <si>
    <r>
      <t>k</t>
    </r>
    <r>
      <rPr>
        <vertAlign val="subscript"/>
        <sz val="11"/>
        <rFont val="Calibri"/>
        <family val="2"/>
        <charset val="238"/>
        <scheme val="minor"/>
      </rPr>
      <t>ORPswitch</t>
    </r>
  </si>
  <si>
    <t>sets inertia for the speed of CASTO activity switches' response to ORP changes</t>
  </si>
  <si>
    <r>
      <t>offset</t>
    </r>
    <r>
      <rPr>
        <vertAlign val="subscript"/>
        <sz val="11"/>
        <rFont val="Calibri"/>
        <family val="2"/>
        <charset val="238"/>
        <scheme val="minor"/>
      </rPr>
      <t>ORPswitch</t>
    </r>
  </si>
  <si>
    <t>used for keeping auxiliary ORP state variable in positive range - not recommended to alter</t>
  </si>
  <si>
    <r>
      <t>-(v41_S</t>
    </r>
    <r>
      <rPr>
        <vertAlign val="subscript"/>
        <sz val="11"/>
        <rFont val="Calibri"/>
        <family val="2"/>
        <scheme val="minor"/>
      </rPr>
      <t>O2</t>
    </r>
    <r>
      <rPr>
        <sz val="11"/>
        <rFont val="Calibri"/>
        <family val="2"/>
        <scheme val="minor"/>
      </rPr>
      <t>*r41+v42_S</t>
    </r>
    <r>
      <rPr>
        <vertAlign val="subscript"/>
        <sz val="11"/>
        <rFont val="Calibri"/>
        <family val="2"/>
        <scheme val="minor"/>
      </rPr>
      <t>O2</t>
    </r>
    <r>
      <rPr>
        <sz val="11"/>
        <rFont val="Calibri"/>
        <family val="2"/>
        <scheme val="minor"/>
      </rPr>
      <t>*r42+v43_S</t>
    </r>
    <r>
      <rPr>
        <vertAlign val="subscript"/>
        <sz val="11"/>
        <rFont val="Calibri"/>
        <family val="2"/>
        <scheme val="minor"/>
      </rPr>
      <t>O2</t>
    </r>
    <r>
      <rPr>
        <sz val="11"/>
        <rFont val="Calibri"/>
        <family val="2"/>
        <scheme val="minor"/>
      </rPr>
      <t>*r43+v48_S</t>
    </r>
    <r>
      <rPr>
        <vertAlign val="subscript"/>
        <sz val="11"/>
        <rFont val="Calibri"/>
        <family val="2"/>
        <scheme val="minor"/>
      </rPr>
      <t>O2</t>
    </r>
    <r>
      <rPr>
        <sz val="11"/>
        <rFont val="Calibri"/>
        <family val="2"/>
        <scheme val="minor"/>
      </rPr>
      <t>*r48)</t>
    </r>
  </si>
  <si>
    <r>
      <t>v45_S</t>
    </r>
    <r>
      <rPr>
        <vertAlign val="subscript"/>
        <sz val="11"/>
        <rFont val="Calibri"/>
        <family val="2"/>
        <scheme val="minor"/>
      </rPr>
      <t>N2O</t>
    </r>
    <r>
      <rPr>
        <sz val="11"/>
        <rFont val="Calibri"/>
        <family val="2"/>
        <scheme val="minor"/>
      </rPr>
      <t>*r45</t>
    </r>
  </si>
  <si>
    <t>loss at 105°C</t>
  </si>
  <si>
    <r>
      <t>X</t>
    </r>
    <r>
      <rPr>
        <vertAlign val="subscript"/>
        <sz val="11"/>
        <rFont val="Calibri"/>
        <family val="2"/>
        <scheme val="minor"/>
      </rPr>
      <t>HFO,ISS</t>
    </r>
  </si>
  <si>
    <t>Total HFOs in ISS unit</t>
  </si>
  <si>
    <r>
      <t>(1-f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 (X</t>
    </r>
    <r>
      <rPr>
        <vertAlign val="subscript"/>
        <sz val="11"/>
        <rFont val="Calibri"/>
        <family val="2"/>
        <scheme val="minor"/>
      </rPr>
      <t>HFO,L,P</t>
    </r>
    <r>
      <rPr>
        <sz val="11"/>
        <rFont val="Calibri"/>
        <family val="2"/>
        <scheme val="minor"/>
      </rPr>
      <t>+X</t>
    </r>
    <r>
      <rPr>
        <vertAlign val="subscript"/>
        <sz val="11"/>
        <rFont val="Calibri"/>
        <family val="2"/>
        <scheme val="minor"/>
      </rPr>
      <t>HFO,L,P,old</t>
    </r>
    <r>
      <rPr>
        <sz val="11"/>
        <rFont val="Calibri"/>
        <family val="2"/>
        <scheme val="minor"/>
      </rPr>
      <t>)*ASF</t>
    </r>
    <r>
      <rPr>
        <vertAlign val="subscript"/>
        <sz val="11"/>
        <rFont val="Calibri"/>
        <family val="2"/>
        <scheme val="minor"/>
      </rPr>
      <t>HFO,L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)+(X</t>
    </r>
    <r>
      <rPr>
        <vertAlign val="subscript"/>
        <sz val="11"/>
        <rFont val="Calibri"/>
        <family val="2"/>
        <scheme val="minor"/>
      </rPr>
      <t>HFO,H,P</t>
    </r>
    <r>
      <rPr>
        <sz val="11"/>
        <rFont val="Calibri"/>
        <family val="2"/>
        <scheme val="minor"/>
      </rPr>
      <t>+X</t>
    </r>
    <r>
      <rPr>
        <vertAlign val="subscript"/>
        <sz val="11"/>
        <rFont val="Calibri"/>
        <family val="2"/>
        <scheme val="minor"/>
      </rPr>
      <t>HFO,H,P,old</t>
    </r>
    <r>
      <rPr>
        <sz val="11"/>
        <rFont val="Calibri"/>
        <family val="2"/>
        <scheme val="minor"/>
      </rPr>
      <t>)*ASF</t>
    </r>
    <r>
      <rPr>
        <vertAlign val="subscript"/>
        <sz val="11"/>
        <rFont val="Calibri"/>
        <family val="2"/>
        <scheme val="minor"/>
      </rPr>
      <t>HFO,H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Fe</t>
    </r>
    <r>
      <rPr>
        <sz val="11"/>
        <rFont val="Calibri"/>
        <family val="2"/>
        <scheme val="minor"/>
      </rPr>
      <t>)</t>
    </r>
  </si>
  <si>
    <r>
      <t>X</t>
    </r>
    <r>
      <rPr>
        <vertAlign val="subscript"/>
        <sz val="11"/>
        <rFont val="Calibri"/>
        <family val="2"/>
        <scheme val="minor"/>
      </rPr>
      <t>HAO,ISS</t>
    </r>
  </si>
  <si>
    <t>Total HAOs in ISS unit</t>
  </si>
  <si>
    <r>
      <t>(1-f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HAO,L,P</t>
    </r>
    <r>
      <rPr>
        <sz val="11"/>
        <rFont val="Calibri"/>
        <family val="2"/>
        <scheme val="minor"/>
      </rPr>
      <t>+X</t>
    </r>
    <r>
      <rPr>
        <vertAlign val="subscript"/>
        <sz val="11"/>
        <rFont val="Calibri"/>
        <family val="2"/>
        <scheme val="minor"/>
      </rPr>
      <t>HAO,L,P,old</t>
    </r>
    <r>
      <rPr>
        <sz val="11"/>
        <rFont val="Calibri"/>
        <family val="2"/>
        <scheme val="minor"/>
      </rPr>
      <t>)*ASF</t>
    </r>
    <r>
      <rPr>
        <vertAlign val="subscript"/>
        <sz val="11"/>
        <rFont val="Calibri"/>
        <family val="2"/>
        <scheme val="minor"/>
      </rPr>
      <t>HAO,L</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 +(X</t>
    </r>
    <r>
      <rPr>
        <vertAlign val="subscript"/>
        <sz val="11"/>
        <rFont val="Calibri"/>
        <family val="2"/>
        <scheme val="minor"/>
      </rPr>
      <t>HAO,H,P</t>
    </r>
    <r>
      <rPr>
        <sz val="11"/>
        <rFont val="Calibri"/>
        <family val="2"/>
        <scheme val="minor"/>
      </rPr>
      <t>+X</t>
    </r>
    <r>
      <rPr>
        <vertAlign val="subscript"/>
        <sz val="11"/>
        <rFont val="Calibri"/>
        <family val="2"/>
        <scheme val="minor"/>
      </rPr>
      <t>HAO,H,P,old</t>
    </r>
    <r>
      <rPr>
        <sz val="11"/>
        <rFont val="Calibri"/>
        <family val="2"/>
        <scheme val="minor"/>
      </rPr>
      <t>)*ASF</t>
    </r>
    <r>
      <rPr>
        <vertAlign val="subscript"/>
        <sz val="11"/>
        <rFont val="Calibri"/>
        <family val="2"/>
        <scheme val="minor"/>
      </rPr>
      <t>HAO,H</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Al</t>
    </r>
    <r>
      <rPr>
        <sz val="11"/>
        <rFont val="Calibri"/>
        <family val="2"/>
        <scheme val="minor"/>
      </rPr>
      <t>)</t>
    </r>
  </si>
  <si>
    <r>
      <t>X</t>
    </r>
    <r>
      <rPr>
        <vertAlign val="subscript"/>
        <sz val="11"/>
        <rFont val="Calibri"/>
        <family val="2"/>
        <scheme val="minor"/>
      </rPr>
      <t>Me,ISS</t>
    </r>
  </si>
  <si>
    <t>Metal precipitates in ISS unit</t>
  </si>
  <si>
    <r>
      <t>X</t>
    </r>
    <r>
      <rPr>
        <vertAlign val="subscript"/>
        <sz val="11"/>
        <rFont val="Calibri"/>
        <family val="2"/>
        <scheme val="minor"/>
      </rPr>
      <t>HFO,ISS</t>
    </r>
    <r>
      <rPr>
        <sz val="11"/>
        <rFont val="Calibri"/>
        <family val="2"/>
        <scheme val="minor"/>
      </rPr>
      <t xml:space="preserve"> + X</t>
    </r>
    <r>
      <rPr>
        <vertAlign val="subscript"/>
        <sz val="11"/>
        <rFont val="Calibri"/>
        <family val="2"/>
        <scheme val="minor"/>
      </rPr>
      <t>HAO,ISS</t>
    </r>
  </si>
  <si>
    <r>
      <t>X</t>
    </r>
    <r>
      <rPr>
        <vertAlign val="subscript"/>
        <sz val="11"/>
        <rFont val="Calibri"/>
        <family val="2"/>
        <scheme val="minor"/>
      </rPr>
      <t>Me,H2O,VSS</t>
    </r>
  </si>
  <si>
    <t>Water associated with metals measured in VSS Test</t>
  </si>
  <si>
    <r>
      <t>X</t>
    </r>
    <r>
      <rPr>
        <vertAlign val="subscript"/>
        <sz val="11"/>
        <rFont val="Calibri"/>
        <family val="2"/>
        <scheme val="minor"/>
      </rPr>
      <t>Me,H2O,TSS</t>
    </r>
  </si>
  <si>
    <t>Water associated with metals measured in TSS Test</t>
  </si>
  <si>
    <r>
      <t>X</t>
    </r>
    <r>
      <rPr>
        <vertAlign val="subscript"/>
        <sz val="11"/>
        <rFont val="Calibri"/>
        <family val="2"/>
        <scheme val="minor"/>
      </rPr>
      <t>Me,ISS</t>
    </r>
    <r>
      <rPr>
        <sz val="11"/>
        <rFont val="Calibri"/>
        <family val="2"/>
        <scheme val="minor"/>
      </rPr>
      <t>+X</t>
    </r>
    <r>
      <rPr>
        <vertAlign val="subscript"/>
        <sz val="11"/>
        <rFont val="Calibri"/>
        <family val="2"/>
        <scheme val="minor"/>
      </rPr>
      <t>precip</t>
    </r>
    <r>
      <rPr>
        <sz val="11"/>
        <rFont val="Calibri"/>
        <family val="2"/>
        <scheme val="minor"/>
      </rPr>
      <t>+X</t>
    </r>
    <r>
      <rPr>
        <vertAlign val="subscript"/>
        <sz val="11"/>
        <rFont val="Calibri"/>
        <family val="2"/>
        <scheme val="minor"/>
      </rPr>
      <t>INORG</t>
    </r>
    <r>
      <rPr>
        <sz val="11"/>
        <rFont val="Calibri"/>
        <family val="2"/>
        <scheme val="minor"/>
      </rPr>
      <t>+i</t>
    </r>
    <r>
      <rPr>
        <vertAlign val="subscript"/>
        <sz val="11"/>
        <rFont val="Calibri"/>
        <family val="2"/>
        <scheme val="minor"/>
      </rPr>
      <t>TSS,PP</t>
    </r>
    <r>
      <rPr>
        <sz val="11"/>
        <rFont val="Calibri"/>
        <family val="2"/>
        <scheme val="minor"/>
      </rPr>
      <t>*X</t>
    </r>
    <r>
      <rPr>
        <vertAlign val="subscript"/>
        <sz val="11"/>
        <rFont val="Calibri"/>
        <family val="2"/>
        <scheme val="minor"/>
      </rPr>
      <t>PP</t>
    </r>
  </si>
  <si>
    <r>
      <t>X</t>
    </r>
    <r>
      <rPr>
        <vertAlign val="subscript"/>
        <sz val="11"/>
        <rFont val="Calibri"/>
        <family val="2"/>
        <scheme val="minor"/>
      </rPr>
      <t xml:space="preserve">VSS </t>
    </r>
    <r>
      <rPr>
        <sz val="11"/>
        <rFont val="Calibri"/>
        <family val="2"/>
        <scheme val="minor"/>
      </rPr>
      <t>+ X</t>
    </r>
    <r>
      <rPr>
        <vertAlign val="subscript"/>
        <sz val="11"/>
        <rFont val="Calibri"/>
        <family val="2"/>
        <scheme val="minor"/>
      </rPr>
      <t xml:space="preserve">ISS </t>
    </r>
    <r>
      <rPr>
        <sz val="11"/>
        <rFont val="Calibri"/>
        <family val="2"/>
        <scheme val="minor"/>
      </rPr>
      <t>- X</t>
    </r>
    <r>
      <rPr>
        <vertAlign val="subscript"/>
        <sz val="11"/>
        <rFont val="Calibri"/>
        <family val="2"/>
        <scheme val="minor"/>
      </rPr>
      <t>Me,H2O,TSS</t>
    </r>
  </si>
  <si>
    <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</si>
  <si>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(f</t>
    </r>
    <r>
      <rPr>
        <vertAlign val="subscript"/>
        <sz val="11"/>
        <rFont val="Calibri"/>
        <family val="2"/>
        <scheme val="minor"/>
      </rPr>
      <t>H2O,HFO,VSS</t>
    </r>
    <r>
      <rPr>
        <sz val="11"/>
        <rFont val="Calibri"/>
        <family val="2"/>
        <scheme val="minor"/>
      </rPr>
      <t>-f</t>
    </r>
    <r>
      <rPr>
        <vertAlign val="subscript"/>
        <sz val="11"/>
        <rFont val="Calibri"/>
        <family val="2"/>
        <scheme val="minor"/>
      </rPr>
      <t>H2O,HFO,TSS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-f</t>
    </r>
    <r>
      <rPr>
        <vertAlign val="subscript"/>
        <sz val="11"/>
        <rFont val="Calibri"/>
        <family val="2"/>
        <scheme val="minor"/>
      </rPr>
      <t>H2O,HAO,TSS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</si>
  <si>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t>Non-pH; Non-Digester; Non-Sidestream</t>
  </si>
  <si>
    <t>Non-pH; Sidestream</t>
  </si>
  <si>
    <t>NURAMX</t>
  </si>
  <si>
    <t>Ammonia and nitrite uptake rate by Anammox (NURAMX)</t>
  </si>
  <si>
    <r>
      <t>g COD.g COD</t>
    </r>
    <r>
      <rPr>
        <vertAlign val="superscript"/>
        <sz val="11"/>
        <rFont val="Calibri"/>
        <family val="2"/>
        <charset val="238"/>
        <scheme val="minor"/>
      </rPr>
      <t>-1</t>
    </r>
  </si>
  <si>
    <r>
      <t>g COD.g P</t>
    </r>
    <r>
      <rPr>
        <vertAlign val="superscript"/>
        <sz val="11"/>
        <rFont val="Calibri"/>
        <family val="2"/>
        <charset val="238"/>
        <scheme val="minor"/>
      </rPr>
      <t>-1</t>
    </r>
  </si>
  <si>
    <r>
      <t>g P.g COD</t>
    </r>
    <r>
      <rPr>
        <vertAlign val="superscript"/>
        <sz val="11"/>
        <rFont val="Calibri"/>
        <family val="2"/>
        <charset val="238"/>
        <scheme val="minor"/>
      </rPr>
      <t>-1</t>
    </r>
  </si>
  <si>
    <r>
      <t>g TSS.g P</t>
    </r>
    <r>
      <rPr>
        <vertAlign val="superscript"/>
        <sz val="11"/>
        <rFont val="Calibri"/>
        <family val="2"/>
        <charset val="238"/>
        <scheme val="minor"/>
      </rPr>
      <t>-1</t>
    </r>
  </si>
  <si>
    <r>
      <t>g COD.g N</t>
    </r>
    <r>
      <rPr>
        <vertAlign val="superscript"/>
        <sz val="11"/>
        <rFont val="Calibri"/>
        <family val="2"/>
        <scheme val="minor"/>
      </rPr>
      <t>-1</t>
    </r>
  </si>
  <si>
    <r>
      <t>mol NO</t>
    </r>
    <r>
      <rPr>
        <vertAlign val="subscript"/>
        <sz val="11"/>
        <rFont val="Calibri"/>
        <family val="2"/>
        <scheme val="minor"/>
      </rPr>
      <t>2</t>
    </r>
    <r>
      <rPr>
        <sz val="11"/>
        <rFont val="Calibri"/>
        <family val="2"/>
        <scheme val="minor"/>
      </rPr>
      <t>.mol NH</t>
    </r>
    <r>
      <rPr>
        <vertAlign val="subscript"/>
        <sz val="11"/>
        <rFont val="Calibri"/>
        <family val="2"/>
        <scheme val="minor"/>
      </rPr>
      <t>4</t>
    </r>
    <r>
      <rPr>
        <vertAlign val="superscript"/>
        <sz val="11"/>
        <rFont val="Calibri"/>
        <family val="2"/>
        <scheme val="minor"/>
      </rPr>
      <t>-1</t>
    </r>
  </si>
  <si>
    <r>
      <t>mol NO</t>
    </r>
    <r>
      <rPr>
        <vertAlign val="subscript"/>
        <sz val="11"/>
        <rFont val="Calibri"/>
        <family val="2"/>
        <scheme val="minor"/>
      </rPr>
      <t>3</t>
    </r>
    <r>
      <rPr>
        <sz val="11"/>
        <rFont val="Calibri"/>
        <family val="2"/>
        <scheme val="minor"/>
      </rPr>
      <t>.mol NH</t>
    </r>
    <r>
      <rPr>
        <vertAlign val="subscript"/>
        <sz val="11"/>
        <rFont val="Calibri"/>
        <family val="2"/>
        <scheme val="minor"/>
      </rPr>
      <t>4</t>
    </r>
    <r>
      <rPr>
        <vertAlign val="superscript"/>
        <sz val="11"/>
        <rFont val="Calibri"/>
        <family val="2"/>
        <scheme val="minor"/>
      </rPr>
      <t>-1</t>
    </r>
  </si>
  <si>
    <t>Primary effluent</t>
  </si>
  <si>
    <r>
      <t>q</t>
    </r>
    <r>
      <rPr>
        <vertAlign val="subscript"/>
        <sz val="11"/>
        <color indexed="8"/>
        <rFont val="Calibri"/>
        <family val="2"/>
        <scheme val="minor"/>
      </rPr>
      <t>XU</t>
    </r>
  </si>
  <si>
    <t>Rate of particulate unbiodegradable organics conversion</t>
  </si>
  <si>
    <r>
      <t>θ</t>
    </r>
    <r>
      <rPr>
        <vertAlign val="subscript"/>
        <sz val="11"/>
        <color indexed="8"/>
        <rFont val="Calibri"/>
        <family val="2"/>
        <scheme val="minor"/>
      </rPr>
      <t>q,XU</t>
    </r>
  </si>
  <si>
    <t>Arrhenius particulate unbiodegradable organics conversion</t>
  </si>
  <si>
    <t>r110</t>
  </si>
  <si>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</si>
  <si>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N,U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</si>
  <si>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</si>
  <si>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-X</t>
    </r>
    <r>
      <rPr>
        <vertAlign val="subscript"/>
        <sz val="11"/>
        <rFont val="Calibri"/>
        <family val="2"/>
      </rPr>
      <t>P,U</t>
    </r>
    <r>
      <rPr>
        <sz val="11"/>
        <rFont val="Calibri"/>
        <family val="2"/>
      </rPr>
      <t>/X</t>
    </r>
    <r>
      <rPr>
        <vertAlign val="subscript"/>
        <sz val="11"/>
        <rFont val="Calibri"/>
        <family val="2"/>
      </rPr>
      <t>U</t>
    </r>
  </si>
  <si>
    <r>
      <t>q</t>
    </r>
    <r>
      <rPr>
        <vertAlign val="subscript"/>
        <sz val="11"/>
        <color indexed="8"/>
        <rFont val="Calibri"/>
        <family val="2"/>
        <scheme val="minor"/>
      </rPr>
      <t>XU,T</t>
    </r>
  </si>
  <si>
    <t>Rate of particulate unbiodegradable organics conversion (temperature corrected)</t>
  </si>
  <si>
    <r>
      <t>q</t>
    </r>
    <r>
      <rPr>
        <vertAlign val="subscript"/>
        <sz val="11"/>
        <color indexed="8"/>
        <rFont val="Calibri"/>
        <family val="2"/>
        <scheme val="minor"/>
      </rPr>
      <t>XU</t>
    </r>
    <r>
      <rPr>
        <sz val="11"/>
        <color indexed="8"/>
        <rFont val="Calibri"/>
        <family val="2"/>
        <scheme val="minor"/>
      </rPr>
      <t>*Arrh(θ</t>
    </r>
    <r>
      <rPr>
        <vertAlign val="subscript"/>
        <sz val="11"/>
        <color indexed="8"/>
        <rFont val="Calibri"/>
        <family val="2"/>
        <scheme val="minor"/>
      </rPr>
      <t>q,XU</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</si>
  <si>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rFont val="Calibri"/>
        <family val="2"/>
      </rPr>
      <t>XU,T</t>
    </r>
    <r>
      <rPr>
        <sz val="11"/>
        <rFont val="Calibri"/>
        <family val="2"/>
      </rPr>
      <t>*X</t>
    </r>
    <r>
      <rPr>
        <vertAlign val="subscript"/>
        <sz val="11"/>
        <rFont val="Calibri"/>
        <family val="2"/>
      </rPr>
      <t>U</t>
    </r>
    <r>
      <rPr>
        <sz val="11"/>
        <rFont val="Calibri"/>
        <family val="2"/>
      </rPr>
      <t>*Msat</t>
    </r>
    <r>
      <rPr>
        <vertAlign val="subscript"/>
        <sz val="11"/>
        <rFont val="Calibri"/>
        <family val="2"/>
      </rPr>
      <t>XU,KXU</t>
    </r>
  </si>
  <si>
    <r>
      <t>K</t>
    </r>
    <r>
      <rPr>
        <vertAlign val="subscript"/>
        <sz val="11"/>
        <color indexed="8"/>
        <rFont val="Calibri"/>
        <family val="2"/>
        <scheme val="minor"/>
      </rPr>
      <t>XU</t>
    </r>
  </si>
  <si>
    <r>
      <t>Msat</t>
    </r>
    <r>
      <rPr>
        <vertAlign val="subscript"/>
        <sz val="11"/>
        <rFont val="Calibri"/>
        <family val="2"/>
      </rPr>
      <t>XU,KXU</t>
    </r>
  </si>
  <si>
    <t>Saturation term for XU</t>
  </si>
  <si>
    <r>
      <t>Msat(X</t>
    </r>
    <r>
      <rPr>
        <vertAlign val="subscript"/>
        <sz val="11"/>
        <rFont val="Calibri"/>
        <family val="2"/>
      </rPr>
      <t>U</t>
    </r>
    <r>
      <rPr>
        <sz val="11"/>
        <rFont val="Calibri"/>
        <family val="2"/>
      </rPr>
      <t>;K</t>
    </r>
    <r>
      <rPr>
        <vertAlign val="subscript"/>
        <sz val="11"/>
        <rFont val="Calibri"/>
        <family val="2"/>
      </rPr>
      <t>XU</t>
    </r>
    <r>
      <rPr>
        <sz val="11"/>
        <rFont val="Calibri"/>
        <family val="2"/>
      </rPr>
      <t>)</t>
    </r>
  </si>
  <si>
    <t>Aged P-bound hydrous ferric oxide, high surface (HFO,H,P,old)</t>
  </si>
  <si>
    <t>Aged P-bound hydrous ferric oxide, low surface (HFO,L,P,old)</t>
  </si>
  <si>
    <t>Conversion factor of TCOD into total organic carbon at effluent</t>
  </si>
  <si>
    <t>Conversion constant of TCOD into total organic carbon at effluent</t>
  </si>
  <si>
    <t>Saturation term for PHA storage (PAO)</t>
  </si>
  <si>
    <t>Inhibition term for PHA storage (PAO)</t>
  </si>
  <si>
    <t>Inhibition term for PP storage compound (PAO)</t>
  </si>
  <si>
    <t>Saturation term for PP storage (PAO)</t>
  </si>
  <si>
    <t>Kinetic rate of ORP lag for CASTO activity switches</t>
  </si>
  <si>
    <t>Offset of ORP lag for CASTO activity switches</t>
  </si>
  <si>
    <t>PAO activity of CASTOs</t>
  </si>
  <si>
    <t>GAO activity of CASTOs</t>
  </si>
  <si>
    <t>Saturation term for nitrous acid (AOB)</t>
  </si>
  <si>
    <r>
      <t>Saturation term for NO to NO2</t>
    </r>
    <r>
      <rPr>
        <sz val="11"/>
        <color rgb="FF000000"/>
        <rFont val="Calibri"/>
        <family val="2"/>
        <charset val="238"/>
        <scheme val="minor"/>
      </rPr>
      <t xml:space="preserve"> for AOBs</t>
    </r>
  </si>
  <si>
    <r>
      <t>Saturation term for NO to N2O</t>
    </r>
    <r>
      <rPr>
        <sz val="11"/>
        <color rgb="FF000000"/>
        <rFont val="Calibri"/>
        <family val="2"/>
        <charset val="238"/>
        <scheme val="minor"/>
      </rPr>
      <t xml:space="preserve"> for AOBs</t>
    </r>
  </si>
  <si>
    <t>Inhibition term for VFAs in fermentation</t>
  </si>
  <si>
    <t>Half-saturation of particulate unbiodegradable organics</t>
  </si>
  <si>
    <t>Photosynthetic organisms kinetics (ALGAE)</t>
  </si>
  <si>
    <r>
      <t>µ</t>
    </r>
    <r>
      <rPr>
        <vertAlign val="subscript"/>
        <sz val="11"/>
        <color rgb="FF000000"/>
        <rFont val="Calibri"/>
        <family val="2"/>
        <scheme val="minor"/>
      </rPr>
      <t>ALGAE</t>
    </r>
  </si>
  <si>
    <t>Maximum specific growth rate of ALGAE</t>
  </si>
  <si>
    <r>
      <t>b</t>
    </r>
    <r>
      <rPr>
        <vertAlign val="subscript"/>
        <sz val="11"/>
        <color indexed="8"/>
        <rFont val="Calibri"/>
        <family val="2"/>
        <scheme val="minor"/>
      </rPr>
      <t>ALGAE</t>
    </r>
  </si>
  <si>
    <t>Decay rate of ALGAE</t>
  </si>
  <si>
    <r>
      <t>K</t>
    </r>
    <r>
      <rPr>
        <vertAlign val="subscript"/>
        <sz val="11"/>
        <color rgb="FF000000"/>
        <rFont val="Calibri"/>
        <family val="2"/>
        <scheme val="minor"/>
      </rPr>
      <t>CO2,ALGAE</t>
    </r>
  </si>
  <si>
    <r>
      <t>Half-saturation of CO</t>
    </r>
    <r>
      <rPr>
        <vertAlign val="subscript"/>
        <sz val="11"/>
        <color rgb="FF000000"/>
        <rFont val="Calibri"/>
        <family val="2"/>
        <scheme val="minor"/>
      </rPr>
      <t>2</t>
    </r>
    <r>
      <rPr>
        <sz val="11"/>
        <color indexed="8"/>
        <rFont val="Calibri"/>
        <family val="2"/>
        <scheme val="minor"/>
      </rPr>
      <t xml:space="preserve"> for ALGAE</t>
    </r>
  </si>
  <si>
    <r>
      <t>K</t>
    </r>
    <r>
      <rPr>
        <vertAlign val="subscript"/>
        <sz val="11"/>
        <color rgb="FF000000"/>
        <rFont val="Calibri"/>
        <family val="2"/>
        <scheme val="minor"/>
      </rPr>
      <t>NOx,ALGAE</t>
    </r>
  </si>
  <si>
    <r>
      <t>Half-saturation of NO</t>
    </r>
    <r>
      <rPr>
        <vertAlign val="subscript"/>
        <sz val="11"/>
        <color rgb="FF000000"/>
        <rFont val="Calibri"/>
        <family val="2"/>
        <scheme val="minor"/>
      </rPr>
      <t>x</t>
    </r>
    <r>
      <rPr>
        <sz val="11"/>
        <color indexed="8"/>
        <rFont val="Calibri"/>
        <family val="2"/>
        <scheme val="minor"/>
      </rPr>
      <t xml:space="preserve"> for ALGAE</t>
    </r>
  </si>
  <si>
    <r>
      <t>K</t>
    </r>
    <r>
      <rPr>
        <vertAlign val="subscript"/>
        <sz val="11"/>
        <color rgb="FF000000"/>
        <rFont val="Calibri"/>
        <family val="2"/>
        <scheme val="minor"/>
      </rPr>
      <t>O2,ALGAE</t>
    </r>
  </si>
  <si>
    <r>
      <t>Half-saturation of O</t>
    </r>
    <r>
      <rPr>
        <vertAlign val="subscript"/>
        <sz val="11"/>
        <color rgb="FF000000"/>
        <rFont val="Calibri"/>
        <family val="2"/>
        <scheme val="minor"/>
      </rPr>
      <t>2</t>
    </r>
    <r>
      <rPr>
        <sz val="11"/>
        <color indexed="8"/>
        <rFont val="Calibri"/>
        <family val="2"/>
        <scheme val="minor"/>
      </rPr>
      <t xml:space="preserve"> for ALGAE</t>
    </r>
  </si>
  <si>
    <r>
      <t>K</t>
    </r>
    <r>
      <rPr>
        <vertAlign val="subscript"/>
        <sz val="11"/>
        <rFont val="Calibri"/>
        <family val="2"/>
        <scheme val="minor"/>
      </rPr>
      <t>NHx,ALGAE</t>
    </r>
  </si>
  <si>
    <r>
      <t>Half-saturation of NH</t>
    </r>
    <r>
      <rPr>
        <vertAlign val="subscript"/>
        <sz val="11"/>
        <color rgb="FF000000"/>
        <rFont val="Calibri"/>
        <family val="2"/>
        <scheme val="minor"/>
      </rPr>
      <t>x</t>
    </r>
    <r>
      <rPr>
        <sz val="11"/>
        <color rgb="FF000000"/>
        <rFont val="Calibri"/>
        <family val="2"/>
        <charset val="238"/>
        <scheme val="minor"/>
      </rPr>
      <t xml:space="preserve"> for ALGAE</t>
    </r>
  </si>
  <si>
    <r>
      <t>K</t>
    </r>
    <r>
      <rPr>
        <sz val="11"/>
        <color rgb="FF000000"/>
        <rFont val="Calibri"/>
        <family val="2"/>
        <scheme val="minor"/>
      </rPr>
      <t>i</t>
    </r>
    <r>
      <rPr>
        <vertAlign val="subscript"/>
        <sz val="11"/>
        <color rgb="FF000000"/>
        <rFont val="Calibri"/>
        <family val="2"/>
        <scheme val="minor"/>
      </rPr>
      <t>NHx,ALGAE</t>
    </r>
  </si>
  <si>
    <r>
      <t>Half-inhibition of NH</t>
    </r>
    <r>
      <rPr>
        <vertAlign val="subscript"/>
        <sz val="11"/>
        <color rgb="FF000000"/>
        <rFont val="Calibri"/>
        <family val="2"/>
        <scheme val="minor"/>
      </rPr>
      <t>x</t>
    </r>
    <r>
      <rPr>
        <sz val="11"/>
        <color indexed="8"/>
        <rFont val="Calibri"/>
        <family val="2"/>
        <scheme val="minor"/>
      </rPr>
      <t xml:space="preserve"> for ALGAE</t>
    </r>
  </si>
  <si>
    <r>
      <t>θ</t>
    </r>
    <r>
      <rPr>
        <vertAlign val="subscript"/>
        <sz val="11"/>
        <color indexed="8"/>
        <rFont val="Calibri"/>
        <family val="2"/>
        <scheme val="minor"/>
      </rPr>
      <t>µ,ALGAE</t>
    </r>
  </si>
  <si>
    <t>Arrhenius coefficient for ALGAE growth</t>
  </si>
  <si>
    <r>
      <t>θ</t>
    </r>
    <r>
      <rPr>
        <vertAlign val="subscript"/>
        <sz val="11"/>
        <color indexed="8"/>
        <rFont val="Calibri"/>
        <family val="2"/>
        <scheme val="minor"/>
      </rPr>
      <t>b,ALGAE</t>
    </r>
  </si>
  <si>
    <t>Arrhenius coefficient for ALGAE decay</t>
  </si>
  <si>
    <r>
      <t>i</t>
    </r>
    <r>
      <rPr>
        <vertAlign val="subscript"/>
        <sz val="11"/>
        <rFont val="Calibri"/>
        <family val="2"/>
        <scheme val="minor"/>
      </rPr>
      <t>N,ALGAE</t>
    </r>
  </si>
  <si>
    <t>N content of algae</t>
  </si>
  <si>
    <t>g N.g COD-1</t>
  </si>
  <si>
    <r>
      <t>i</t>
    </r>
    <r>
      <rPr>
        <vertAlign val="subscript"/>
        <sz val="11"/>
        <rFont val="Calibri"/>
        <family val="2"/>
        <scheme val="minor"/>
      </rPr>
      <t>P,ALGAE</t>
    </r>
  </si>
  <si>
    <t>P content of algae</t>
  </si>
  <si>
    <t>g P.g COD-1</t>
  </si>
  <si>
    <r>
      <t>i</t>
    </r>
    <r>
      <rPr>
        <vertAlign val="subscript"/>
        <sz val="11"/>
        <rFont val="Calibri"/>
        <family val="2"/>
        <scheme val="minor"/>
      </rPr>
      <t>CIT,ALGAE</t>
    </r>
  </si>
  <si>
    <t>Inorganic carbon content of algae</t>
  </si>
  <si>
    <t>g TIC.g COD-1</t>
  </si>
  <si>
    <t>C5H7O2N: 32 g COD/mol C</t>
  </si>
  <si>
    <r>
      <t>k</t>
    </r>
    <r>
      <rPr>
        <vertAlign val="subscript"/>
        <sz val="11"/>
        <rFont val="Calibri"/>
        <family val="2"/>
      </rPr>
      <t>L,GO2,PondSurface</t>
    </r>
  </si>
  <si>
    <r>
      <t>Liquid-side mass transfer coefficient of O</t>
    </r>
    <r>
      <rPr>
        <vertAlign val="subscript"/>
        <sz val="11"/>
        <color rgb="FF000000"/>
        <rFont val="Calibri"/>
        <family val="2"/>
        <scheme val="minor"/>
      </rPr>
      <t>2</t>
    </r>
    <r>
      <rPr>
        <sz val="11"/>
        <rFont val="Calibri"/>
        <family val="2"/>
        <scheme val="minor"/>
      </rPr>
      <t xml:space="preserve"> at liquid surface of a pond</t>
    </r>
  </si>
  <si>
    <t>ALGAE growth on Nitrate</t>
  </si>
  <si>
    <r>
      <t>-i</t>
    </r>
    <r>
      <rPr>
        <vertAlign val="subscript"/>
        <sz val="11"/>
        <color indexed="8"/>
        <rFont val="Calibri"/>
        <family val="2"/>
      </rPr>
      <t>N,ALGAE</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</si>
  <si>
    <r>
      <t>-i</t>
    </r>
    <r>
      <rPr>
        <vertAlign val="subscript"/>
        <sz val="11"/>
        <color indexed="8"/>
        <rFont val="Calibri"/>
        <family val="2"/>
      </rPr>
      <t>N,ALGAE</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</si>
  <si>
    <r>
      <t>-i</t>
    </r>
    <r>
      <rPr>
        <vertAlign val="subscript"/>
        <sz val="11"/>
        <color indexed="8"/>
        <rFont val="Calibri"/>
        <family val="2"/>
      </rPr>
      <t>P,ALGAE</t>
    </r>
  </si>
  <si>
    <r>
      <t>1 + i</t>
    </r>
    <r>
      <rPr>
        <vertAlign val="subscript"/>
        <sz val="11"/>
        <color rgb="FF000000"/>
        <rFont val="Calibri"/>
        <family val="2"/>
      </rPr>
      <t>N,ALGAE</t>
    </r>
    <r>
      <rPr>
        <sz val="11"/>
        <color indexed="8"/>
        <rFont val="Calibri"/>
        <family val="2"/>
      </rPr>
      <t>*(EEQ</t>
    </r>
    <r>
      <rPr>
        <vertAlign val="subscript"/>
        <sz val="11"/>
        <color rgb="FF000000"/>
        <rFont val="Calibri"/>
        <family val="2"/>
      </rPr>
      <t>NO3</t>
    </r>
    <r>
      <rPr>
        <sz val="11"/>
        <color indexed="8"/>
        <rFont val="Calibri"/>
        <family val="2"/>
      </rPr>
      <t>*S</t>
    </r>
    <r>
      <rPr>
        <vertAlign val="subscript"/>
        <sz val="11"/>
        <color rgb="FF000000"/>
        <rFont val="Calibri"/>
        <family val="2"/>
      </rPr>
      <t>NO3</t>
    </r>
    <r>
      <rPr>
        <sz val="11"/>
        <color indexed="8"/>
        <rFont val="Calibri"/>
        <family val="2"/>
      </rPr>
      <t>/S</t>
    </r>
    <r>
      <rPr>
        <vertAlign val="subscript"/>
        <sz val="11"/>
        <color rgb="FF000000"/>
        <rFont val="Calibri"/>
        <family val="2"/>
      </rPr>
      <t>NOx</t>
    </r>
    <r>
      <rPr>
        <sz val="11"/>
        <color indexed="8"/>
        <rFont val="Calibri"/>
        <family val="2"/>
      </rPr>
      <t>+EEQ</t>
    </r>
    <r>
      <rPr>
        <vertAlign val="subscript"/>
        <sz val="11"/>
        <color rgb="FF000000"/>
        <rFont val="Calibri"/>
        <family val="2"/>
      </rPr>
      <t>NO2</t>
    </r>
    <r>
      <rPr>
        <sz val="11"/>
        <color indexed="8"/>
        <rFont val="Calibri"/>
        <family val="2"/>
      </rPr>
      <t>*S</t>
    </r>
    <r>
      <rPr>
        <vertAlign val="subscript"/>
        <sz val="11"/>
        <color rgb="FF000000"/>
        <rFont val="Calibri"/>
        <family val="2"/>
      </rPr>
      <t>NO2</t>
    </r>
    <r>
      <rPr>
        <sz val="11"/>
        <color indexed="8"/>
        <rFont val="Calibri"/>
        <family val="2"/>
      </rPr>
      <t>/S</t>
    </r>
    <r>
      <rPr>
        <vertAlign val="subscript"/>
        <sz val="11"/>
        <color rgb="FF000000"/>
        <rFont val="Calibri"/>
        <family val="2"/>
      </rPr>
      <t>NOx</t>
    </r>
    <r>
      <rPr>
        <sz val="11"/>
        <color indexed="8"/>
        <rFont val="Calibri"/>
        <family val="2"/>
      </rPr>
      <t>)</t>
    </r>
  </si>
  <si>
    <r>
      <t>-i</t>
    </r>
    <r>
      <rPr>
        <vertAlign val="subscript"/>
        <sz val="11"/>
        <rFont val="Calibri"/>
        <family val="2"/>
        <scheme val="minor"/>
      </rPr>
      <t>CIT,ALGAE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</si>
  <si>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 Msat</t>
    </r>
    <r>
      <rPr>
        <vertAlign val="subscript"/>
        <sz val="11"/>
        <rFont val="Calibri"/>
        <family val="2"/>
      </rPr>
      <t>SNOx,KNOx,ALGAE</t>
    </r>
    <r>
      <rPr>
        <sz val="11"/>
        <rFont val="Calibri"/>
        <family val="2"/>
      </rPr>
      <t xml:space="preserve">  * Minh</t>
    </r>
    <r>
      <rPr>
        <vertAlign val="subscript"/>
        <sz val="11"/>
        <rFont val="Calibri"/>
        <family val="2"/>
      </rPr>
      <t>SNHx,KiNHx,ALGAE</t>
    </r>
  </si>
  <si>
    <t>GenThreePondModel</t>
  </si>
  <si>
    <t>ALGAE growth on Ammonia</t>
  </si>
  <si>
    <r>
      <t>-i</t>
    </r>
    <r>
      <rPr>
        <vertAlign val="subscript"/>
        <sz val="11"/>
        <color indexed="8"/>
        <rFont val="Calibri"/>
        <family val="2"/>
      </rPr>
      <t>N,ALGAE</t>
    </r>
  </si>
  <si>
    <r>
      <t>µ</t>
    </r>
    <r>
      <rPr>
        <vertAlign val="subscript"/>
        <sz val="11"/>
        <rFont val="Calibri"/>
        <family val="2"/>
      </rPr>
      <t>ALGAE,T</t>
    </r>
    <r>
      <rPr>
        <sz val="11"/>
        <rFont val="Calibri"/>
        <family val="2"/>
      </rPr>
      <t xml:space="preserve"> * X</t>
    </r>
    <r>
      <rPr>
        <vertAlign val="subscript"/>
        <sz val="11"/>
        <rFont val="Calibri"/>
        <family val="2"/>
      </rPr>
      <t>ALGAE</t>
    </r>
    <r>
      <rPr>
        <sz val="11"/>
        <rFont val="Calibri"/>
        <family val="2"/>
      </rPr>
      <t xml:space="preserve"> *Msat</t>
    </r>
    <r>
      <rPr>
        <vertAlign val="subscript"/>
        <sz val="11"/>
        <rFont val="Calibri"/>
        <family val="2"/>
      </rPr>
      <t>SNHx,KNHx,ALGAE</t>
    </r>
    <r>
      <rPr>
        <sz val="11"/>
        <rFont val="Calibri"/>
        <family val="2"/>
      </rPr>
      <t>* Msat</t>
    </r>
    <r>
      <rPr>
        <vertAlign val="subscript"/>
        <sz val="11"/>
        <rFont val="Calibri"/>
        <family val="2"/>
      </rPr>
      <t xml:space="preserve">SPO4,KPO4,BIO </t>
    </r>
    <r>
      <rPr>
        <sz val="11"/>
        <rFont val="Calibri"/>
        <family val="2"/>
      </rPr>
      <t>* Msat</t>
    </r>
    <r>
      <rPr>
        <vertAlign val="subscript"/>
        <sz val="11"/>
        <rFont val="Calibri"/>
        <family val="2"/>
      </rPr>
      <t>SCO2,KCO2,ALGAE</t>
    </r>
    <r>
      <rPr>
        <sz val="11"/>
        <rFont val="Calibri"/>
        <family val="2"/>
      </rPr>
      <t xml:space="preserve"> * LightSwitch </t>
    </r>
  </si>
  <si>
    <t>ALGAE respiration</t>
  </si>
  <si>
    <r>
      <t>i</t>
    </r>
    <r>
      <rPr>
        <vertAlign val="subscript"/>
        <sz val="11"/>
        <color indexed="8"/>
        <rFont val="Calibri"/>
        <family val="2"/>
      </rPr>
      <t>N,ALGAE</t>
    </r>
  </si>
  <si>
    <r>
      <t>i</t>
    </r>
    <r>
      <rPr>
        <vertAlign val="subscript"/>
        <sz val="11"/>
        <color indexed="8"/>
        <rFont val="Calibri"/>
        <family val="2"/>
      </rPr>
      <t>P,ALGAE</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</si>
  <si>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Msat</t>
    </r>
    <r>
      <rPr>
        <vertAlign val="subscript"/>
        <sz val="11"/>
        <color rgb="FF000000"/>
        <rFont val="Calibri"/>
        <family val="2"/>
      </rPr>
      <t>SO2,KO2,ALGAE</t>
    </r>
  </si>
  <si>
    <t>ALGAE decay</t>
  </si>
  <si>
    <r>
      <t>i</t>
    </r>
    <r>
      <rPr>
        <vertAlign val="subscript"/>
        <sz val="11"/>
        <color indexed="8"/>
        <rFont val="Calibri"/>
        <family val="2"/>
      </rPr>
      <t>P,ALGAE</t>
    </r>
    <r>
      <rPr>
        <sz val="11"/>
        <color rgb="FF000000"/>
        <rFont val="Calibri"/>
        <family val="2"/>
      </rPr>
      <t>-i</t>
    </r>
    <r>
      <rPr>
        <vertAlign val="subscript"/>
        <sz val="11"/>
        <color indexed="8"/>
        <rFont val="Calibri"/>
        <family val="2"/>
      </rPr>
      <t>P,BIO</t>
    </r>
  </si>
  <si>
    <r>
      <t>b</t>
    </r>
    <r>
      <rPr>
        <vertAlign val="subscript"/>
        <sz val="11"/>
        <color rgb="FF000000"/>
        <rFont val="Calibri"/>
        <family val="2"/>
      </rPr>
      <t xml:space="preserve">ALGAE,T </t>
    </r>
    <r>
      <rPr>
        <sz val="11"/>
        <color indexed="8"/>
        <rFont val="Calibri"/>
        <family val="2"/>
      </rPr>
      <t>* X</t>
    </r>
    <r>
      <rPr>
        <vertAlign val="subscript"/>
        <sz val="11"/>
        <color rgb="FF000000"/>
        <rFont val="Calibri"/>
        <family val="2"/>
      </rPr>
      <t>ALGAE</t>
    </r>
    <r>
      <rPr>
        <sz val="11"/>
        <color indexed="8"/>
        <rFont val="Calibri"/>
        <family val="2"/>
      </rPr>
      <t xml:space="preserve"> * Minh</t>
    </r>
    <r>
      <rPr>
        <vertAlign val="subscript"/>
        <sz val="11"/>
        <color rgb="FF000000"/>
        <rFont val="Calibri"/>
        <family val="2"/>
      </rPr>
      <t>SO2,KO2,ALGAE</t>
    </r>
  </si>
  <si>
    <t>r111</t>
  </si>
  <si>
    <t>r112</t>
  </si>
  <si>
    <t>r113</t>
  </si>
  <si>
    <t>r114</t>
  </si>
  <si>
    <r>
      <t>X</t>
    </r>
    <r>
      <rPr>
        <b/>
        <vertAlign val="subscript"/>
        <sz val="11"/>
        <rFont val="Calibri"/>
        <family val="2"/>
        <scheme val="minor"/>
      </rPr>
      <t>ALGAE</t>
    </r>
  </si>
  <si>
    <r>
      <t>i</t>
    </r>
    <r>
      <rPr>
        <vertAlign val="subscript"/>
        <sz val="11"/>
        <rFont val="Calibri"/>
        <family val="2"/>
      </rPr>
      <t>N,ALGAE</t>
    </r>
  </si>
  <si>
    <r>
      <t>i</t>
    </r>
    <r>
      <rPr>
        <vertAlign val="subscript"/>
        <sz val="11"/>
        <rFont val="Calibri"/>
        <family val="2"/>
      </rPr>
      <t>P,ALGAE</t>
    </r>
  </si>
  <si>
    <r>
      <t>X</t>
    </r>
    <r>
      <rPr>
        <b/>
        <vertAlign val="subscript"/>
        <sz val="11"/>
        <rFont val="Calibri"/>
        <family val="2"/>
        <charset val="238"/>
        <scheme val="minor"/>
      </rPr>
      <t>ALGAE</t>
    </r>
  </si>
  <si>
    <t>Photosynthetic organisms (ALGAE)</t>
  </si>
  <si>
    <r>
      <t>X</t>
    </r>
    <r>
      <rPr>
        <vertAlign val="subscript"/>
        <sz val="11"/>
        <rFont val="Calibri"/>
        <family val="2"/>
        <scheme val="minor"/>
      </rPr>
      <t>OHO</t>
    </r>
    <r>
      <rPr>
        <sz val="11"/>
        <rFont val="Calibri"/>
        <family val="2"/>
        <scheme val="minor"/>
      </rPr>
      <t>+X</t>
    </r>
    <r>
      <rPr>
        <vertAlign val="subscript"/>
        <sz val="11"/>
        <rFont val="Calibri"/>
        <family val="2"/>
        <scheme val="minor"/>
      </rPr>
      <t>CASTO</t>
    </r>
    <r>
      <rPr>
        <sz val="11"/>
        <rFont val="Calibri"/>
        <family val="2"/>
        <scheme val="minor"/>
      </rPr>
      <t>+X</t>
    </r>
    <r>
      <rPr>
        <vertAlign val="subscript"/>
        <sz val="11"/>
        <rFont val="Calibri"/>
        <family val="2"/>
        <scheme val="minor"/>
      </rPr>
      <t>MEOLO</t>
    </r>
    <r>
      <rPr>
        <sz val="11"/>
        <rFont val="Calibri"/>
        <family val="2"/>
        <scheme val="minor"/>
      </rPr>
      <t>+X</t>
    </r>
    <r>
      <rPr>
        <vertAlign val="subscript"/>
        <sz val="11"/>
        <rFont val="Calibri"/>
        <family val="2"/>
        <scheme val="minor"/>
      </rPr>
      <t>AOB</t>
    </r>
    <r>
      <rPr>
        <sz val="11"/>
        <rFont val="Calibri"/>
        <family val="2"/>
        <scheme val="minor"/>
      </rPr>
      <t>+X</t>
    </r>
    <r>
      <rPr>
        <vertAlign val="subscript"/>
        <sz val="11"/>
        <rFont val="Calibri"/>
        <family val="2"/>
        <scheme val="minor"/>
      </rPr>
      <t>NOB</t>
    </r>
    <r>
      <rPr>
        <sz val="11"/>
        <rFont val="Calibri"/>
        <family val="2"/>
        <scheme val="minor"/>
      </rPr>
      <t>+X</t>
    </r>
    <r>
      <rPr>
        <vertAlign val="subscript"/>
        <sz val="11"/>
        <rFont val="Calibri"/>
        <family val="2"/>
        <scheme val="minor"/>
      </rPr>
      <t>AMX</t>
    </r>
    <r>
      <rPr>
        <sz val="11"/>
        <rFont val="Calibri"/>
        <family val="2"/>
        <scheme val="minor"/>
      </rPr>
      <t>+X</t>
    </r>
    <r>
      <rPr>
        <vertAlign val="subscript"/>
        <sz val="11"/>
        <rFont val="Calibri"/>
        <family val="2"/>
        <scheme val="minor"/>
      </rPr>
      <t>AMETO</t>
    </r>
    <r>
      <rPr>
        <sz val="11"/>
        <rFont val="Calibri"/>
        <family val="2"/>
        <scheme val="minor"/>
      </rPr>
      <t>+X</t>
    </r>
    <r>
      <rPr>
        <vertAlign val="subscript"/>
        <sz val="11"/>
        <rFont val="Calibri"/>
        <family val="2"/>
        <scheme val="minor"/>
      </rPr>
      <t>HMETO</t>
    </r>
    <r>
      <rPr>
        <sz val="11"/>
        <rFont val="Calibri"/>
        <family val="2"/>
        <scheme val="minor"/>
      </rPr>
      <t>+X</t>
    </r>
    <r>
      <rPr>
        <vertAlign val="subscript"/>
        <sz val="11"/>
        <rFont val="Calibri"/>
        <family val="2"/>
        <scheme val="minor"/>
      </rPr>
      <t>ALGAE</t>
    </r>
  </si>
  <si>
    <t>Pond calculated variables</t>
  </si>
  <si>
    <t>LightSwitch</t>
  </si>
  <si>
    <t>Light switch to account for solar irradiation and TSS shading</t>
  </si>
  <si>
    <r>
      <t>d</t>
    </r>
    <r>
      <rPr>
        <vertAlign val="superscript"/>
        <sz val="11"/>
        <color indexed="8"/>
        <rFont val="Calibri"/>
        <family val="2"/>
      </rPr>
      <t>-1</t>
    </r>
  </si>
  <si>
    <r>
      <t>Msat</t>
    </r>
    <r>
      <rPr>
        <vertAlign val="subscript"/>
        <sz val="11"/>
        <rFont val="Calibri"/>
        <family val="2"/>
        <scheme val="minor"/>
      </rPr>
      <t>SCO2,KCO2,ALGAE</t>
    </r>
  </si>
  <si>
    <t>Saturation term for CO2 (ALGAE)</t>
  </si>
  <si>
    <r>
      <t>Msat(S</t>
    </r>
    <r>
      <rPr>
        <vertAlign val="subscript"/>
        <sz val="11"/>
        <rFont val="Calibri"/>
        <family val="2"/>
        <scheme val="minor"/>
      </rPr>
      <t>CO2</t>
    </r>
    <r>
      <rPr>
        <sz val="11"/>
        <rFont val="Calibri"/>
        <family val="2"/>
        <scheme val="minor"/>
      </rPr>
      <t>;K</t>
    </r>
    <r>
      <rPr>
        <vertAlign val="subscript"/>
        <sz val="11"/>
        <rFont val="Calibri"/>
        <family val="2"/>
        <scheme val="minor"/>
      </rPr>
      <t>CO2,ALGAE</t>
    </r>
    <r>
      <rPr>
        <sz val="11"/>
        <rFont val="Calibri"/>
        <family val="2"/>
        <scheme val="minor"/>
      </rPr>
      <t>)</t>
    </r>
  </si>
  <si>
    <r>
      <t>Msat</t>
    </r>
    <r>
      <rPr>
        <vertAlign val="subscript"/>
        <sz val="11"/>
        <rFont val="Calibri"/>
        <family val="2"/>
        <scheme val="minor"/>
      </rPr>
      <t>SNOx,KNOx,ALGAE</t>
    </r>
  </si>
  <si>
    <r>
      <t>Msat(S</t>
    </r>
    <r>
      <rPr>
        <vertAlign val="subscript"/>
        <sz val="11"/>
        <rFont val="Calibri"/>
        <family val="2"/>
        <scheme val="minor"/>
      </rPr>
      <t>NOx</t>
    </r>
    <r>
      <rPr>
        <sz val="11"/>
        <rFont val="Calibri"/>
        <family val="2"/>
        <scheme val="minor"/>
      </rPr>
      <t>;K</t>
    </r>
    <r>
      <rPr>
        <vertAlign val="subscript"/>
        <sz val="11"/>
        <rFont val="Calibri"/>
        <family val="2"/>
        <scheme val="minor"/>
      </rPr>
      <t>NOx,ALGAE</t>
    </r>
    <r>
      <rPr>
        <sz val="11"/>
        <rFont val="Calibri"/>
        <family val="2"/>
        <scheme val="minor"/>
      </rPr>
      <t>)</t>
    </r>
  </si>
  <si>
    <r>
      <t>Msat</t>
    </r>
    <r>
      <rPr>
        <vertAlign val="subscript"/>
        <sz val="11"/>
        <rFont val="Calibri"/>
        <family val="2"/>
        <scheme val="minor"/>
      </rPr>
      <t>SNHx,KNHx,ALGAE</t>
    </r>
  </si>
  <si>
    <r>
      <t>Msat(S</t>
    </r>
    <r>
      <rPr>
        <vertAlign val="subscript"/>
        <sz val="11"/>
        <rFont val="Calibri"/>
        <family val="2"/>
        <scheme val="minor"/>
      </rPr>
      <t>NHx</t>
    </r>
    <r>
      <rPr>
        <sz val="11"/>
        <rFont val="Calibri"/>
        <family val="2"/>
        <scheme val="minor"/>
      </rPr>
      <t>;K</t>
    </r>
    <r>
      <rPr>
        <vertAlign val="subscript"/>
        <sz val="11"/>
        <rFont val="Calibri"/>
        <family val="2"/>
        <scheme val="minor"/>
      </rPr>
      <t>NHx,ALGAE</t>
    </r>
    <r>
      <rPr>
        <sz val="11"/>
        <rFont val="Calibri"/>
        <family val="2"/>
        <scheme val="minor"/>
      </rPr>
      <t>)</t>
    </r>
  </si>
  <si>
    <r>
      <t>Msat</t>
    </r>
    <r>
      <rPr>
        <vertAlign val="subscript"/>
        <sz val="11"/>
        <rFont val="Calibri"/>
        <family val="2"/>
        <scheme val="minor"/>
      </rPr>
      <t>SO2,KO2,ALGAE</t>
    </r>
  </si>
  <si>
    <t>Saturation term for O2 (ALGAE)</t>
  </si>
  <si>
    <r>
      <t>Msat(S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</si>
  <si>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SO2,KO2,ALGAE</t>
    </r>
  </si>
  <si>
    <t>Inhibition term for O2 (ALGAE)</t>
  </si>
  <si>
    <r>
      <t>Minh(S</t>
    </r>
    <r>
      <rPr>
        <vertAlign val="subscript"/>
        <sz val="11"/>
        <rFont val="Calibri"/>
        <family val="2"/>
        <scheme val="minor"/>
      </rPr>
      <t>O2</t>
    </r>
    <r>
      <rPr>
        <sz val="11"/>
        <rFont val="Calibri"/>
        <family val="2"/>
        <scheme val="minor"/>
      </rPr>
      <t>;K</t>
    </r>
    <r>
      <rPr>
        <vertAlign val="subscript"/>
        <sz val="11"/>
        <rFont val="Calibri"/>
        <family val="2"/>
        <scheme val="minor"/>
      </rPr>
      <t>O2,ALGAE</t>
    </r>
    <r>
      <rPr>
        <sz val="11"/>
        <rFont val="Calibri"/>
        <family val="2"/>
        <scheme val="minor"/>
      </rPr>
      <t>)</t>
    </r>
  </si>
  <si>
    <r>
      <t>Minh</t>
    </r>
    <r>
      <rPr>
        <vertAlign val="subscript"/>
        <sz val="11"/>
        <rFont val="Calibri"/>
        <family val="2"/>
        <scheme val="minor"/>
      </rPr>
      <t>SNHx,KiNHx,ALGAE</t>
    </r>
  </si>
  <si>
    <t>Inhibition term for NHx (ALGAE)</t>
  </si>
  <si>
    <r>
      <t>Minh(S</t>
    </r>
    <r>
      <rPr>
        <vertAlign val="subscript"/>
        <sz val="11"/>
        <rFont val="Calibri"/>
        <family val="2"/>
        <scheme val="minor"/>
      </rPr>
      <t>NHx</t>
    </r>
    <r>
      <rPr>
        <sz val="11"/>
        <rFont val="Calibri"/>
        <family val="2"/>
        <scheme val="minor"/>
      </rPr>
      <t>;Ki</t>
    </r>
    <r>
      <rPr>
        <vertAlign val="subscript"/>
        <sz val="11"/>
        <rFont val="Calibri"/>
        <family val="2"/>
        <scheme val="minor"/>
      </rPr>
      <t>NHx,ALGAE</t>
    </r>
    <r>
      <rPr>
        <sz val="11"/>
        <rFont val="Calibri"/>
        <family val="2"/>
        <scheme val="minor"/>
      </rPr>
      <t>)</t>
    </r>
  </si>
  <si>
    <r>
      <t>µ</t>
    </r>
    <r>
      <rPr>
        <vertAlign val="subscript"/>
        <sz val="11"/>
        <color indexed="8"/>
        <rFont val="Calibri"/>
        <family val="2"/>
      </rPr>
      <t>ALGAE,T</t>
    </r>
  </si>
  <si>
    <t>Maximum specific growth rate of ALGAE (temperature corrected)</t>
  </si>
  <si>
    <r>
      <t>µ</t>
    </r>
    <r>
      <rPr>
        <vertAlign val="subscript"/>
        <sz val="11"/>
        <color indexed="8"/>
        <rFont val="Calibri"/>
        <family val="2"/>
      </rPr>
      <t>ALGAE</t>
    </r>
    <r>
      <rPr>
        <sz val="11"/>
        <color indexed="8"/>
        <rFont val="Calibri"/>
        <family val="2"/>
      </rPr>
      <t>*Arrh(θ</t>
    </r>
    <r>
      <rPr>
        <vertAlign val="subscript"/>
        <sz val="11"/>
        <color indexed="8"/>
        <rFont val="Calibri"/>
        <family val="2"/>
      </rPr>
      <t>µ,ALGAE</t>
    </r>
    <r>
      <rPr>
        <sz val="11"/>
        <color indexed="8"/>
        <rFont val="Calibri"/>
        <family val="2"/>
      </rPr>
      <t>; T; T</t>
    </r>
    <r>
      <rPr>
        <vertAlign val="subscript"/>
        <sz val="11"/>
        <color indexed="8"/>
        <rFont val="Calibri"/>
        <family val="2"/>
      </rPr>
      <t>base</t>
    </r>
    <r>
      <rPr>
        <sz val="11"/>
        <color indexed="8"/>
        <rFont val="Calibri"/>
        <family val="2"/>
      </rPr>
      <t>)</t>
    </r>
  </si>
  <si>
    <r>
      <t>b</t>
    </r>
    <r>
      <rPr>
        <vertAlign val="subscript"/>
        <sz val="11"/>
        <color indexed="8"/>
        <rFont val="Calibri"/>
        <family val="2"/>
      </rPr>
      <t>ALGAE,T</t>
    </r>
  </si>
  <si>
    <t>Respiration rate of ALGAE (temperature corrected)</t>
  </si>
  <si>
    <r>
      <t>b</t>
    </r>
    <r>
      <rPr>
        <vertAlign val="subscript"/>
        <sz val="11"/>
        <color indexed="8"/>
        <rFont val="Calibri"/>
        <family val="2"/>
      </rPr>
      <t>ALGAE</t>
    </r>
    <r>
      <rPr>
        <sz val="11"/>
        <color indexed="8"/>
        <rFont val="Calibri"/>
        <family val="2"/>
      </rPr>
      <t>*Arrh(θ</t>
    </r>
    <r>
      <rPr>
        <vertAlign val="subscript"/>
        <sz val="11"/>
        <color indexed="8"/>
        <rFont val="Calibri"/>
        <family val="2"/>
      </rPr>
      <t>b,ALGAE</t>
    </r>
    <r>
      <rPr>
        <sz val="11"/>
        <color indexed="8"/>
        <rFont val="Calibri"/>
        <family val="2"/>
      </rPr>
      <t>;T;T</t>
    </r>
    <r>
      <rPr>
        <vertAlign val="subscript"/>
        <sz val="11"/>
        <color indexed="8"/>
        <rFont val="Calibri"/>
        <family val="2"/>
      </rPr>
      <t>base</t>
    </r>
    <r>
      <rPr>
        <sz val="11"/>
        <color indexed="8"/>
        <rFont val="Calibri"/>
        <family val="2"/>
      </rPr>
      <t>)</t>
    </r>
  </si>
  <si>
    <t>Max(var - Sumo__MSatMin; 0) / (k + var)</t>
  </si>
  <si>
    <t>Parameters from solver settings</t>
  </si>
  <si>
    <t>Sumo__MSatMin</t>
  </si>
  <si>
    <t>Msat cut off value</t>
  </si>
  <si>
    <t xml:space="preserve"> </t>
  </si>
  <si>
    <t>Environmental Variables</t>
  </si>
  <si>
    <t>Solar Irradiation</t>
  </si>
  <si>
    <t>W.m-2</t>
  </si>
  <si>
    <t>Optimal irradiation for photosynthesis</t>
  </si>
  <si>
    <t>TSS concentration for calculating light extinction switching factor</t>
  </si>
  <si>
    <t>g.m-3</t>
  </si>
  <si>
    <t>Saturation term for NOx (ALGAE)</t>
  </si>
  <si>
    <t>Saturation term for NHx (ALGAE)</t>
  </si>
  <si>
    <r>
      <t>X</t>
    </r>
    <r>
      <rPr>
        <vertAlign val="subscript"/>
        <sz val="11"/>
        <rFont val="Calibri"/>
        <family val="2"/>
        <scheme val="minor"/>
      </rPr>
      <t>HET</t>
    </r>
  </si>
  <si>
    <t>COD of heterotrophs</t>
  </si>
  <si>
    <r>
      <t>MRsat</t>
    </r>
    <r>
      <rPr>
        <vertAlign val="subscript"/>
        <sz val="11"/>
        <rFont val="Calibri"/>
        <family val="2"/>
        <scheme val="minor"/>
      </rPr>
      <t>XB,XHET,KHYD</t>
    </r>
  </si>
  <si>
    <r>
      <rPr>
        <sz val="11"/>
        <rFont val="Calibri"/>
        <family val="2"/>
        <scheme val="minor"/>
      </rPr>
      <t>MRsat</t>
    </r>
    <r>
      <rPr>
        <vertAlign val="subscript"/>
        <sz val="11"/>
        <rFont val="Calibri"/>
        <family val="2"/>
        <scheme val="minor"/>
      </rPr>
      <t>XEana,XHET,KHYD</t>
    </r>
  </si>
  <si>
    <r>
      <t>MRsat(X</t>
    </r>
    <r>
      <rPr>
        <vertAlign val="subscript"/>
        <sz val="11"/>
        <rFont val="Calibri"/>
        <family val="2"/>
        <scheme val="minor"/>
      </rPr>
      <t>B</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</si>
  <si>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MRsat(X</t>
    </r>
    <r>
      <rPr>
        <vertAlign val="subscript"/>
        <sz val="11"/>
        <rFont val="Calibri"/>
        <family val="2"/>
        <scheme val="minor"/>
      </rPr>
      <t>E,ana</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</si>
  <si>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q</t>
    </r>
    <r>
      <rPr>
        <vertAlign val="subscript"/>
        <sz val="11"/>
        <rFont val="Calibri"/>
        <family val="2"/>
      </rPr>
      <t>AMMON,T</t>
    </r>
    <r>
      <rPr>
        <sz val="11"/>
        <rFont val="Calibri"/>
        <family val="2"/>
      </rPr>
      <t>*S</t>
    </r>
    <r>
      <rPr>
        <vertAlign val="subscript"/>
        <sz val="11"/>
        <rFont val="Calibri"/>
        <family val="2"/>
      </rPr>
      <t>N,B</t>
    </r>
    <r>
      <rPr>
        <sz val="11"/>
        <rFont val="Calibri"/>
        <family val="2"/>
      </rPr>
      <t>*X</t>
    </r>
    <r>
      <rPr>
        <vertAlign val="subscript"/>
        <sz val="11"/>
        <rFont val="Calibri"/>
        <family val="2"/>
      </rPr>
      <t>HET</t>
    </r>
  </si>
  <si>
    <r>
      <t>q</t>
    </r>
    <r>
      <rPr>
        <vertAlign val="subscript"/>
        <sz val="11"/>
        <rFont val="Calibri"/>
        <family val="2"/>
      </rPr>
      <t>SPB,T</t>
    </r>
    <r>
      <rPr>
        <sz val="11"/>
        <rFont val="Calibri"/>
        <family val="2"/>
      </rPr>
      <t>*S</t>
    </r>
    <r>
      <rPr>
        <vertAlign val="subscript"/>
        <sz val="11"/>
        <rFont val="Calibri"/>
        <family val="2"/>
      </rPr>
      <t>P,B</t>
    </r>
    <r>
      <rPr>
        <sz val="11"/>
        <rFont val="Calibri"/>
        <family val="2"/>
      </rPr>
      <t>*X</t>
    </r>
    <r>
      <rPr>
        <vertAlign val="subscript"/>
        <sz val="11"/>
        <rFont val="Calibri"/>
        <family val="2"/>
      </rPr>
      <t>HET</t>
    </r>
  </si>
  <si>
    <r>
      <t>X</t>
    </r>
    <r>
      <rPr>
        <vertAlign val="subscript"/>
        <sz val="11"/>
        <rFont val="Calibri"/>
        <family val="2"/>
        <scheme val="minor"/>
      </rPr>
      <t>OHO</t>
    </r>
    <r>
      <rPr>
        <sz val="11"/>
        <rFont val="Calibri"/>
        <family val="2"/>
        <scheme val="minor"/>
      </rPr>
      <t xml:space="preserve"> + X</t>
    </r>
    <r>
      <rPr>
        <vertAlign val="subscript"/>
        <sz val="11"/>
        <rFont val="Calibri"/>
        <family val="2"/>
        <scheme val="minor"/>
      </rPr>
      <t>CASTO</t>
    </r>
    <r>
      <rPr>
        <sz val="11"/>
        <rFont val="Calibri"/>
        <family val="2"/>
        <scheme val="minor"/>
      </rPr>
      <t xml:space="preserve"> + X</t>
    </r>
    <r>
      <rPr>
        <vertAlign val="subscript"/>
        <sz val="11"/>
        <rFont val="Calibri"/>
        <family val="2"/>
        <scheme val="minor"/>
      </rPr>
      <t>AMETO</t>
    </r>
  </si>
  <si>
    <r>
      <t>-EEQ</t>
    </r>
    <r>
      <rPr>
        <vertAlign val="subscript"/>
        <sz val="11"/>
        <rFont val="Calibri"/>
        <family val="2"/>
      </rPr>
      <t>NO2</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</si>
  <si>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</si>
  <si>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</si>
  <si>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</si>
  <si>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</si>
  <si>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</si>
  <si>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</si>
  <si>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</si>
  <si>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</si>
  <si>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</si>
  <si>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OHO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</si>
  <si>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CASTO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</si>
  <si>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MEOLO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</si>
  <si>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</si>
  <si>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NOB</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</si>
  <si>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AMX</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</si>
  <si>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</si>
  <si>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HMETO</t>
    </r>
    <r>
      <rPr>
        <sz val="11"/>
        <rFont val="Calibri"/>
        <family val="2"/>
      </rPr>
      <t>/X</t>
    </r>
    <r>
      <rPr>
        <vertAlign val="subscript"/>
        <sz val="11"/>
        <rFont val="Calibri"/>
        <family val="2"/>
      </rPr>
      <t>BIO</t>
    </r>
  </si>
  <si>
    <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</si>
  <si>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1+(i</t>
    </r>
    <r>
      <rPr>
        <vertAlign val="subscript"/>
        <sz val="11"/>
        <rFont val="Calibri"/>
        <family val="2"/>
      </rPr>
      <t>N,BIO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N,ALGAE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</si>
  <si>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</si>
  <si>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P,BIO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P,ALGAE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</si>
  <si>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NO2</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NO2</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</si>
  <si>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(i</t>
    </r>
    <r>
      <rPr>
        <vertAlign val="subscript"/>
        <sz val="11"/>
        <rFont val="Calibri"/>
        <family val="2"/>
      </rPr>
      <t>CIT,BIO</t>
    </r>
    <r>
      <rPr>
        <sz val="11"/>
        <rFont val="Calibri"/>
        <family val="2"/>
      </rPr>
      <t>*EEQ</t>
    </r>
    <r>
      <rPr>
        <vertAlign val="subscript"/>
        <sz val="11"/>
        <rFont val="Calibri"/>
        <family val="2"/>
      </rPr>
      <t>NO3</t>
    </r>
    <r>
      <rPr>
        <sz val="11"/>
        <rFont val="Calibri"/>
        <family val="2"/>
      </rPr>
      <t>*(X</t>
    </r>
    <r>
      <rPr>
        <vertAlign val="subscript"/>
        <sz val="11"/>
        <rFont val="Calibri"/>
        <family val="2"/>
      </rPr>
      <t>BIO</t>
    </r>
    <r>
      <rPr>
        <sz val="11"/>
        <rFont val="Calibri"/>
        <family val="2"/>
      </rPr>
      <t>-X</t>
    </r>
    <r>
      <rPr>
        <vertAlign val="subscript"/>
        <sz val="11"/>
        <rFont val="Calibri"/>
        <family val="2"/>
      </rPr>
      <t>ALGAE</t>
    </r>
    <r>
      <rPr>
        <sz val="11"/>
        <rFont val="Calibri"/>
        <family val="2"/>
      </rPr>
      <t>)+i</t>
    </r>
    <r>
      <rPr>
        <vertAlign val="subscript"/>
        <sz val="11"/>
        <rFont val="Calibri"/>
        <family val="2"/>
      </rPr>
      <t>CIT,ALGAE</t>
    </r>
    <r>
      <rPr>
        <sz val="11"/>
        <rFont val="Calibri"/>
        <family val="2"/>
      </rPr>
      <t>*EEQ</t>
    </r>
    <r>
      <rPr>
        <vertAlign val="subscript"/>
        <sz val="11"/>
        <rFont val="Calibri"/>
        <family val="2"/>
      </rPr>
      <t>NO3</t>
    </r>
    <r>
      <rPr>
        <sz val="11"/>
        <rFont val="Calibri"/>
        <family val="2"/>
      </rPr>
      <t>*X</t>
    </r>
    <r>
      <rPr>
        <vertAlign val="subscript"/>
        <sz val="11"/>
        <rFont val="Calibri"/>
        <family val="2"/>
      </rPr>
      <t>ALGAE</t>
    </r>
    <r>
      <rPr>
        <sz val="11"/>
        <rFont val="Calibri"/>
        <family val="2"/>
      </rPr>
      <t>)/X</t>
    </r>
    <r>
      <rPr>
        <vertAlign val="subscript"/>
        <sz val="11"/>
        <rFont val="Calibri"/>
        <family val="2"/>
      </rPr>
      <t>BIO</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</si>
  <si>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SNO2,KNO2,ASSIM</t>
    </r>
    <r>
      <rPr>
        <sz val="11"/>
        <rFont val="Calibri"/>
        <family val="2"/>
      </rPr>
      <t>*Minh</t>
    </r>
    <r>
      <rPr>
        <vertAlign val="subscript"/>
        <sz val="11"/>
        <rFont val="Calibri"/>
        <family val="2"/>
      </rPr>
      <t>SNHx,KiNHx,ASSIM</t>
    </r>
  </si>
  <si>
    <r>
      <t>q</t>
    </r>
    <r>
      <rPr>
        <vertAlign val="subscript"/>
        <sz val="11"/>
        <rFont val="Calibri"/>
        <family val="2"/>
      </rPr>
      <t>ASSIM,T</t>
    </r>
    <r>
      <rPr>
        <sz val="11"/>
        <rFont val="Calibri"/>
        <family val="2"/>
      </rPr>
      <t>*X</t>
    </r>
    <r>
      <rPr>
        <vertAlign val="subscript"/>
        <sz val="11"/>
        <rFont val="Calibri"/>
        <family val="2"/>
      </rPr>
      <t>BIO</t>
    </r>
    <r>
      <rPr>
        <sz val="11"/>
        <rFont val="Calibri"/>
        <family val="2"/>
      </rPr>
      <t>*Msat</t>
    </r>
    <r>
      <rPr>
        <vertAlign val="subscript"/>
        <sz val="11"/>
        <rFont val="Calibri"/>
        <family val="2"/>
      </rPr>
      <t>SNO3,KNO3,ASSIM</t>
    </r>
    <r>
      <rPr>
        <sz val="11"/>
        <rFont val="Calibri"/>
        <family val="2"/>
      </rPr>
      <t>*Minh</t>
    </r>
    <r>
      <rPr>
        <vertAlign val="subscript"/>
        <sz val="11"/>
        <rFont val="Calibri"/>
        <family val="2"/>
      </rPr>
      <t>SNO2,KNO2,ASSIM</t>
    </r>
    <r>
      <rPr>
        <sz val="11"/>
        <rFont val="Calibri"/>
        <family val="2"/>
      </rPr>
      <t>*Minh</t>
    </r>
    <r>
      <rPr>
        <vertAlign val="subscript"/>
        <sz val="11"/>
        <rFont val="Calibri"/>
        <family val="2"/>
      </rPr>
      <t>SNHx,KiNHx,ASSIM</t>
    </r>
  </si>
  <si>
    <r>
      <t>J</t>
    </r>
    <r>
      <rPr>
        <vertAlign val="subscript"/>
        <sz val="11"/>
        <rFont val="Calibri"/>
        <family val="2"/>
        <scheme val="minor"/>
      </rPr>
      <t>photosynt,solar</t>
    </r>
  </si>
  <si>
    <r>
      <t>J</t>
    </r>
    <r>
      <rPr>
        <vertAlign val="subscript"/>
        <sz val="11"/>
        <rFont val="Calibri"/>
        <family val="2"/>
        <scheme val="minor"/>
      </rPr>
      <t>photosynt,solar,opt</t>
    </r>
  </si>
  <si>
    <r>
      <t>K</t>
    </r>
    <r>
      <rPr>
        <vertAlign val="subscript"/>
        <sz val="11"/>
        <rFont val="Calibri"/>
        <family val="2"/>
        <scheme val="minor"/>
      </rPr>
      <t>XTSS,lightextinction</t>
    </r>
  </si>
  <si>
    <r>
      <t>Loginhswitch(X</t>
    </r>
    <r>
      <rPr>
        <vertAlign val="subscript"/>
        <sz val="11"/>
        <color rgb="FF000000"/>
        <rFont val="Calibri"/>
        <family val="2"/>
      </rPr>
      <t>TSS</t>
    </r>
    <r>
      <rPr>
        <sz val="11"/>
        <color indexed="8"/>
        <rFont val="Calibri"/>
        <family val="2"/>
      </rPr>
      <t>/K</t>
    </r>
    <r>
      <rPr>
        <vertAlign val="subscript"/>
        <sz val="11"/>
        <color rgb="FF000000"/>
        <rFont val="Calibri"/>
        <family val="2"/>
      </rPr>
      <t>XTSS,lightextinction</t>
    </r>
    <r>
      <rPr>
        <sz val="11"/>
        <color indexed="8"/>
        <rFont val="Calibri"/>
        <family val="2"/>
      </rPr>
      <t>; 1; 100) * Logsatswitch(J</t>
    </r>
    <r>
      <rPr>
        <vertAlign val="subscript"/>
        <sz val="11"/>
        <color rgb="FF000000"/>
        <rFont val="Calibri"/>
        <family val="2"/>
      </rPr>
      <t>photosynt,solar</t>
    </r>
    <r>
      <rPr>
        <sz val="11"/>
        <color indexed="8"/>
        <rFont val="Calibri"/>
        <family val="2"/>
      </rPr>
      <t>/J</t>
    </r>
    <r>
      <rPr>
        <vertAlign val="subscript"/>
        <sz val="11"/>
        <color rgb="FF000000"/>
        <rFont val="Calibri"/>
        <family val="2"/>
      </rPr>
      <t>photosynt,solar,opt</t>
    </r>
    <r>
      <rPr>
        <sz val="11"/>
        <color indexed="8"/>
        <rFont val="Calibri"/>
        <family val="2"/>
      </rPr>
      <t>;1;100)</t>
    </r>
  </si>
  <si>
    <r>
      <t>Ki</t>
    </r>
    <r>
      <rPr>
        <vertAlign val="subscript"/>
        <sz val="11"/>
        <rFont val="Calibri"/>
        <family val="2"/>
        <scheme val="minor"/>
      </rPr>
      <t>P,HFO,DESORP</t>
    </r>
  </si>
  <si>
    <r>
      <t>K</t>
    </r>
    <r>
      <rPr>
        <vertAlign val="subscript"/>
        <sz val="11"/>
        <rFont val="Calibri"/>
        <family val="2"/>
        <scheme val="minor"/>
      </rPr>
      <t>P,HFO,BIND</t>
    </r>
  </si>
  <si>
    <r>
      <t>q</t>
    </r>
    <r>
      <rPr>
        <vertAlign val="subscript"/>
        <sz val="11"/>
        <rFont val="Calibri"/>
        <family val="2"/>
        <scheme val="minor"/>
      </rPr>
      <t>P,HFO,COPREC</t>
    </r>
  </si>
  <si>
    <r>
      <t>q</t>
    </r>
    <r>
      <rPr>
        <vertAlign val="subscript"/>
        <sz val="11"/>
        <rFont val="Calibri"/>
        <family val="2"/>
        <scheme val="minor"/>
      </rPr>
      <t>P,HFO,BIND</t>
    </r>
  </si>
  <si>
    <r>
      <t>Minh(S</t>
    </r>
    <r>
      <rPr>
        <vertAlign val="subscript"/>
        <sz val="11"/>
        <rFont val="Calibri"/>
        <family val="2"/>
        <scheme val="minor"/>
      </rPr>
      <t>PO4</t>
    </r>
    <r>
      <rPr>
        <sz val="11"/>
        <rFont val="Calibri"/>
        <family val="2"/>
        <scheme val="minor"/>
      </rPr>
      <t>;Ki</t>
    </r>
    <r>
      <rPr>
        <vertAlign val="subscript"/>
        <sz val="11"/>
        <rFont val="Calibri"/>
        <family val="2"/>
        <scheme val="minor"/>
      </rPr>
      <t>P,HFO,DESORP</t>
    </r>
    <r>
      <rPr>
        <sz val="11"/>
        <rFont val="Calibri"/>
        <family val="2"/>
        <scheme val="minor"/>
      </rPr>
      <t>)</t>
    </r>
  </si>
  <si>
    <r>
      <t>Msat(S</t>
    </r>
    <r>
      <rPr>
        <vertAlign val="subscript"/>
        <sz val="11"/>
        <rFont val="Calibri"/>
        <family val="2"/>
        <scheme val="minor"/>
      </rPr>
      <t>PO4</t>
    </r>
    <r>
      <rPr>
        <sz val="11"/>
        <rFont val="Calibri"/>
        <family val="2"/>
        <scheme val="minor"/>
      </rPr>
      <t>;K</t>
    </r>
    <r>
      <rPr>
        <vertAlign val="subscript"/>
        <sz val="11"/>
        <rFont val="Calibri"/>
        <family val="2"/>
        <scheme val="minor"/>
      </rPr>
      <t>P,HFO,BIND</t>
    </r>
    <r>
      <rPr>
        <sz val="11"/>
        <rFont val="Calibri"/>
        <family val="2"/>
        <scheme val="minor"/>
      </rPr>
      <t>)</t>
    </r>
  </si>
  <si>
    <r>
      <t>q</t>
    </r>
    <r>
      <rPr>
        <vertAlign val="subscript"/>
        <sz val="11"/>
        <rFont val="Calibri"/>
        <family val="2"/>
      </rPr>
      <t>HFOH,DESORP</t>
    </r>
    <r>
      <rPr>
        <sz val="11"/>
        <rFont val="Calibri"/>
        <family val="2"/>
      </rPr>
      <t>*X</t>
    </r>
    <r>
      <rPr>
        <vertAlign val="subscript"/>
        <sz val="11"/>
        <rFont val="Calibri"/>
        <family val="2"/>
      </rPr>
      <t>HFO,H,P</t>
    </r>
    <r>
      <rPr>
        <sz val="11"/>
        <rFont val="Calibri"/>
        <family val="2"/>
      </rPr>
      <t>*Minh</t>
    </r>
    <r>
      <rPr>
        <vertAlign val="subscript"/>
        <sz val="11"/>
        <rFont val="Calibri"/>
        <family val="2"/>
      </rPr>
      <t>SPO4,KiP,HFO,DESORP</t>
    </r>
  </si>
  <si>
    <r>
      <t>q</t>
    </r>
    <r>
      <rPr>
        <vertAlign val="subscript"/>
        <sz val="11"/>
        <rFont val="Calibri"/>
        <family val="2"/>
      </rPr>
      <t>HFOL,DESORP</t>
    </r>
    <r>
      <rPr>
        <sz val="11"/>
        <rFont val="Calibri"/>
        <family val="2"/>
      </rPr>
      <t>*X</t>
    </r>
    <r>
      <rPr>
        <vertAlign val="subscript"/>
        <sz val="11"/>
        <rFont val="Calibri"/>
        <family val="2"/>
      </rPr>
      <t>HFO,L,P</t>
    </r>
    <r>
      <rPr>
        <sz val="11"/>
        <rFont val="Calibri"/>
        <family val="2"/>
      </rPr>
      <t>*Minh</t>
    </r>
    <r>
      <rPr>
        <vertAlign val="subscript"/>
        <sz val="11"/>
        <rFont val="Calibri"/>
        <family val="2"/>
      </rPr>
      <t>SPO4,KiP,HFO,DESORP</t>
    </r>
  </si>
  <si>
    <r>
      <t>q</t>
    </r>
    <r>
      <rPr>
        <vertAlign val="subscript"/>
        <sz val="11"/>
        <rFont val="Calibri"/>
        <family val="2"/>
      </rPr>
      <t>P,HFO,BIND</t>
    </r>
    <r>
      <rPr>
        <sz val="11"/>
        <rFont val="Calibri"/>
        <family val="2"/>
      </rPr>
      <t>*X</t>
    </r>
    <r>
      <rPr>
        <vertAlign val="subscript"/>
        <sz val="11"/>
        <rFont val="Calibri"/>
        <family val="2"/>
      </rPr>
      <t>HFO,L</t>
    </r>
    <r>
      <rPr>
        <sz val="11"/>
        <rFont val="Calibri"/>
        <family val="2"/>
      </rPr>
      <t>*Msat</t>
    </r>
    <r>
      <rPr>
        <vertAlign val="subscript"/>
        <sz val="11"/>
        <rFont val="Calibri"/>
        <family val="2"/>
      </rPr>
      <t>SPO4,KP,HFO,BIND</t>
    </r>
  </si>
  <si>
    <r>
      <t>q</t>
    </r>
    <r>
      <rPr>
        <vertAlign val="subscript"/>
        <sz val="11"/>
        <rFont val="Calibri"/>
        <family val="2"/>
      </rPr>
      <t>P,HFO,COPREC</t>
    </r>
    <r>
      <rPr>
        <sz val="11"/>
        <rFont val="Calibri"/>
        <family val="2"/>
      </rPr>
      <t>*X</t>
    </r>
    <r>
      <rPr>
        <vertAlign val="subscript"/>
        <sz val="11"/>
        <rFont val="Calibri"/>
        <family val="2"/>
      </rPr>
      <t>HFO,H</t>
    </r>
    <r>
      <rPr>
        <sz val="11"/>
        <rFont val="Calibri"/>
        <family val="2"/>
      </rPr>
      <t>*Msat</t>
    </r>
    <r>
      <rPr>
        <vertAlign val="subscript"/>
        <sz val="11"/>
        <rFont val="Calibri"/>
        <family val="2"/>
      </rPr>
      <t>SPO4,KP,HFO,BIND</t>
    </r>
  </si>
  <si>
    <r>
      <t>Minh</t>
    </r>
    <r>
      <rPr>
        <vertAlign val="subscript"/>
        <sz val="11"/>
        <rFont val="Calibri"/>
        <family val="2"/>
        <scheme val="minor"/>
      </rPr>
      <t>SPO4,KiP,HFO,DESORP</t>
    </r>
  </si>
  <si>
    <r>
      <t>Msat</t>
    </r>
    <r>
      <rPr>
        <vertAlign val="subscript"/>
        <sz val="11"/>
        <rFont val="Calibri"/>
        <family val="2"/>
        <scheme val="minor"/>
      </rPr>
      <t>SPO4,KP,HFO,BIND</t>
    </r>
  </si>
  <si>
    <t>MABR offgas</t>
  </si>
  <si>
    <r>
      <t>pH</t>
    </r>
    <r>
      <rPr>
        <vertAlign val="subscript"/>
        <sz val="11"/>
        <rFont val="Calibri"/>
        <family val="2"/>
        <scheme val="minor"/>
      </rPr>
      <t>low,AOB</t>
    </r>
  </si>
  <si>
    <t>pH inhibition low value for AOBs</t>
  </si>
  <si>
    <r>
      <t>pH</t>
    </r>
    <r>
      <rPr>
        <vertAlign val="subscript"/>
        <sz val="11"/>
        <rFont val="Calibri"/>
        <family val="2"/>
        <scheme val="minor"/>
      </rPr>
      <t>high,AOB</t>
    </r>
  </si>
  <si>
    <t>pH inhibition high value for AOBs</t>
  </si>
  <si>
    <r>
      <t>pH</t>
    </r>
    <r>
      <rPr>
        <vertAlign val="subscript"/>
        <sz val="11"/>
        <rFont val="Calibri"/>
        <family val="2"/>
        <scheme val="minor"/>
      </rPr>
      <t>low,NOB</t>
    </r>
  </si>
  <si>
    <t>pH inhibition low value for NOBs</t>
  </si>
  <si>
    <r>
      <t>pH</t>
    </r>
    <r>
      <rPr>
        <vertAlign val="subscript"/>
        <sz val="11"/>
        <rFont val="Calibri"/>
        <family val="2"/>
        <scheme val="minor"/>
      </rPr>
      <t>high,NOB</t>
    </r>
  </si>
  <si>
    <t>pH inhibition high value for NOBs</t>
  </si>
  <si>
    <r>
      <t>Bellinh</t>
    </r>
    <r>
      <rPr>
        <vertAlign val="subscript"/>
        <sz val="11"/>
        <rFont val="Calibri"/>
        <family val="2"/>
        <scheme val="minor"/>
      </rPr>
      <t>pH,AOB</t>
    </r>
  </si>
  <si>
    <t>pH inhibition (Bell shaped) (AOB)</t>
  </si>
  <si>
    <r>
      <t>Bellinh(pH;pH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</si>
  <si>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t>
    </r>
    <r>
      <rPr>
        <vertAlign val="subscript"/>
        <sz val="11"/>
        <rFont val="Calibri"/>
        <family val="2"/>
        <scheme val="minor"/>
      </rPr>
      <t>pH,NOB</t>
    </r>
  </si>
  <si>
    <t>pH inhibition (Bell shaped) (NOB)</t>
  </si>
  <si>
    <r>
      <t>Bellinh(pH;pH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</si>
  <si>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µ</t>
    </r>
    <r>
      <rPr>
        <vertAlign val="subscript"/>
        <sz val="11"/>
        <rFont val="Calibri"/>
        <family val="2"/>
      </rPr>
      <t>AOB,T</t>
    </r>
    <r>
      <rPr>
        <sz val="11"/>
        <rFont val="Calibri"/>
        <family val="2"/>
      </rPr>
      <t>*X</t>
    </r>
    <r>
      <rPr>
        <vertAlign val="subscript"/>
        <sz val="11"/>
        <rFont val="Calibri"/>
        <family val="2"/>
      </rPr>
      <t>AOB</t>
    </r>
    <r>
      <rPr>
        <sz val="11"/>
        <rFont val="Calibri"/>
        <family val="2"/>
      </rPr>
      <t>*Msat</t>
    </r>
    <r>
      <rPr>
        <vertAlign val="subscript"/>
        <sz val="11"/>
        <rFont val="Calibri"/>
        <family val="2"/>
      </rPr>
      <t>SNH2OH,KNH2OH,AOB</t>
    </r>
    <r>
      <rPr>
        <sz val="11"/>
        <rFont val="Calibri"/>
        <family val="2"/>
      </rPr>
      <t>*Msat</t>
    </r>
    <r>
      <rPr>
        <vertAlign val="subscript"/>
        <sz val="11"/>
        <rFont val="Calibri"/>
        <family val="2"/>
      </rPr>
      <t>SO2,KO2,NH2OH,AOB</t>
    </r>
    <r>
      <rPr>
        <sz val="11"/>
        <rFont val="Calibri"/>
        <family val="2"/>
      </rPr>
      <t>*Msat</t>
    </r>
    <r>
      <rPr>
        <vertAlign val="subscript"/>
        <sz val="11"/>
        <rFont val="Calibri"/>
        <family val="2"/>
      </rPr>
      <t>SNHx,KNHx,AOB</t>
    </r>
    <r>
      <rPr>
        <sz val="11"/>
        <rFont val="Calibri"/>
        <family val="2"/>
      </rPr>
      <t>*LogsatpH</t>
    </r>
    <r>
      <rPr>
        <vertAlign val="subscript"/>
        <sz val="11"/>
        <rFont val="Calibri"/>
        <family val="2"/>
      </rPr>
      <t>CO2,AOB</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*Bellinh</t>
    </r>
    <r>
      <rPr>
        <vertAlign val="subscript"/>
        <sz val="11"/>
        <rFont val="Calibri"/>
        <family val="2"/>
      </rPr>
      <t>pH,AOB</t>
    </r>
  </si>
  <si>
    <r>
      <t>Half-inhibition of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 xml:space="preserve"> for NOBs (AS)</t>
    </r>
  </si>
  <si>
    <r>
      <t>Ki</t>
    </r>
    <r>
      <rPr>
        <vertAlign val="subscript"/>
        <sz val="11"/>
        <color indexed="8"/>
        <rFont val="Calibri"/>
        <family val="2"/>
        <scheme val="minor"/>
      </rPr>
      <t>NH2OH,NOB,AS</t>
    </r>
  </si>
  <si>
    <t>[0.2-20 mg N/L] Soler-Jofra et al, 2021</t>
  </si>
  <si>
    <t>Abiotic N2O emission</t>
  </si>
  <si>
    <r>
      <t>q</t>
    </r>
    <r>
      <rPr>
        <vertAlign val="subscript"/>
        <sz val="11"/>
        <color indexed="8"/>
        <rFont val="Calibri"/>
        <family val="2"/>
        <scheme val="minor"/>
      </rPr>
      <t>NH2OH,NO2</t>
    </r>
  </si>
  <si>
    <r>
      <t>a</t>
    </r>
    <r>
      <rPr>
        <vertAlign val="subscript"/>
        <sz val="11"/>
        <color indexed="8"/>
        <rFont val="Calibri"/>
        <family val="2"/>
        <scheme val="minor"/>
      </rPr>
      <t>NH2OH,NO2,pH</t>
    </r>
  </si>
  <si>
    <r>
      <t>m</t>
    </r>
    <r>
      <rPr>
        <vertAlign val="superscript"/>
        <sz val="11"/>
        <rFont val="Calibri"/>
        <family val="2"/>
        <scheme val="minor"/>
      </rPr>
      <t>3</t>
    </r>
    <r>
      <rPr>
        <sz val="11"/>
        <rFont val="Calibri"/>
        <family val="2"/>
        <scheme val="minor"/>
      </rPr>
      <t>.g</t>
    </r>
    <r>
      <rPr>
        <vertAlign val="superscript"/>
        <sz val="11"/>
        <rFont val="Calibri"/>
        <family val="2"/>
        <scheme val="minor"/>
      </rPr>
      <t>-1</t>
    </r>
    <r>
      <rPr>
        <sz val="11"/>
        <rFont val="Calibri"/>
        <family val="2"/>
        <scheme val="minor"/>
      </rPr>
      <t>.d</t>
    </r>
    <r>
      <rPr>
        <vertAlign val="superscript"/>
        <sz val="11"/>
        <rFont val="Calibri"/>
        <family val="2"/>
        <scheme val="minor"/>
      </rPr>
      <t>-1</t>
    </r>
  </si>
  <si>
    <r>
      <t>Ki</t>
    </r>
    <r>
      <rPr>
        <vertAlign val="subscript"/>
        <sz val="11"/>
        <rFont val="Calibri"/>
        <family val="2"/>
        <scheme val="minor"/>
      </rPr>
      <t>NH2OH,NOB</t>
    </r>
  </si>
  <si>
    <t>Half-inhibition of NH2OH for NOBs (AS)</t>
  </si>
  <si>
    <r>
      <t>Ki</t>
    </r>
    <r>
      <rPr>
        <vertAlign val="subscript"/>
        <sz val="11"/>
        <rFont val="Calibri"/>
        <family val="2"/>
      </rPr>
      <t>NH2OH,NOB,AS</t>
    </r>
  </si>
  <si>
    <r>
      <t>Ki</t>
    </r>
    <r>
      <rPr>
        <vertAlign val="subscript"/>
        <sz val="11"/>
        <rFont val="Calibri"/>
        <family val="2"/>
      </rPr>
      <t>NH2OH,NOB,AS</t>
    </r>
    <r>
      <rPr>
        <sz val="11"/>
        <rFont val="Calibri"/>
        <family val="2"/>
      </rPr>
      <t>*f</t>
    </r>
    <r>
      <rPr>
        <vertAlign val="subscript"/>
        <sz val="11"/>
        <rFont val="Calibri"/>
        <family val="2"/>
      </rPr>
      <t>KS</t>
    </r>
  </si>
  <si>
    <r>
      <t>Minh</t>
    </r>
    <r>
      <rPr>
        <vertAlign val="subscript"/>
        <sz val="11"/>
        <rFont val="Calibri"/>
        <family val="2"/>
      </rPr>
      <t>SNH2OH,KNH2OH,NOB</t>
    </r>
  </si>
  <si>
    <r>
      <t>Inhibition term for NH</t>
    </r>
    <r>
      <rPr>
        <vertAlign val="subscript"/>
        <sz val="11"/>
        <color rgb="FF000000"/>
        <rFont val="Calibri"/>
        <family val="2"/>
        <scheme val="minor"/>
      </rPr>
      <t>2</t>
    </r>
    <r>
      <rPr>
        <sz val="11"/>
        <color rgb="FF000000"/>
        <rFont val="Calibri"/>
        <family val="2"/>
        <scheme val="minor"/>
      </rPr>
      <t>OH</t>
    </r>
    <r>
      <rPr>
        <sz val="11"/>
        <color rgb="FF000000"/>
        <rFont val="Calibri"/>
        <family val="2"/>
        <charset val="238"/>
        <scheme val="minor"/>
      </rPr>
      <t xml:space="preserve"> (NOB)</t>
    </r>
  </si>
  <si>
    <t>r115</t>
  </si>
  <si>
    <t>Rate of hydroxylamine oxidation with nitrite</t>
  </si>
  <si>
    <t>Coefficient for pH dependence of hydroxylamine oxidation with nitrite</t>
  </si>
  <si>
    <t>Abiotic hydroxylamine oxidation with nitrite</t>
  </si>
  <si>
    <r>
      <t>Minh(S</t>
    </r>
    <r>
      <rPr>
        <vertAlign val="subscript"/>
        <sz val="11"/>
        <rFont val="Calibri"/>
        <family val="2"/>
      </rPr>
      <t>NH2OH</t>
    </r>
    <r>
      <rPr>
        <sz val="11"/>
        <rFont val="Calibri"/>
        <family val="2"/>
      </rPr>
      <t>;Ki</t>
    </r>
    <r>
      <rPr>
        <vertAlign val="subscript"/>
        <sz val="11"/>
        <rFont val="Calibri"/>
        <family val="2"/>
      </rPr>
      <t>NH2OH,NOB</t>
    </r>
    <r>
      <rPr>
        <sz val="11"/>
        <rFont val="Calibri"/>
        <family val="2"/>
      </rPr>
      <t>)</t>
    </r>
  </si>
  <si>
    <t>N2OPR_AR</t>
  </si>
  <si>
    <t>N2O production rate abiotic reactions (N2OPR_AR)</t>
  </si>
  <si>
    <t xml:space="preserve">N2OPR_NN + N2OPR_ND </t>
  </si>
  <si>
    <t>N2OPR_denit + N2OPR_nit + N2OPR_AR</t>
  </si>
  <si>
    <r>
      <t>q</t>
    </r>
    <r>
      <rPr>
        <vertAlign val="subscript"/>
        <sz val="11"/>
        <color indexed="8"/>
        <rFont val="Calibri"/>
        <family val="2"/>
        <scheme val="minor"/>
      </rPr>
      <t>NH2OH,O2</t>
    </r>
  </si>
  <si>
    <t>Rate of hydroxylamine oxidation with oxygen</t>
  </si>
  <si>
    <r>
      <t>q</t>
    </r>
    <r>
      <rPr>
        <vertAlign val="subscript"/>
        <sz val="11"/>
        <color indexed="8"/>
        <rFont val="Calibri"/>
        <family val="2"/>
        <scheme val="minor"/>
      </rPr>
      <t>NH2OH</t>
    </r>
  </si>
  <si>
    <t>Rate of hydroxylamine disproportionation</t>
  </si>
  <si>
    <t>r116</t>
  </si>
  <si>
    <t>r117</t>
  </si>
  <si>
    <t>Abiotic hydroxylamine oxidation with oxygen</t>
  </si>
  <si>
    <t>Abiotic hydroxylamine disproportionation</t>
  </si>
  <si>
    <r>
      <t>q</t>
    </r>
    <r>
      <rPr>
        <vertAlign val="subscript"/>
        <sz val="11"/>
        <rFont val="Calibri"/>
        <family val="2"/>
        <scheme val="minor"/>
      </rPr>
      <t>NH2OH,NO2</t>
    </r>
    <r>
      <rPr>
        <sz val="11"/>
        <rFont val="Calibri"/>
        <family val="2"/>
        <scheme val="minor"/>
      </rPr>
      <t>*Exp(a</t>
    </r>
    <r>
      <rPr>
        <vertAlign val="subscript"/>
        <sz val="11"/>
        <rFont val="Calibri"/>
        <family val="2"/>
        <scheme val="minor"/>
      </rPr>
      <t>NH2OH,NO2,pH</t>
    </r>
    <r>
      <rPr>
        <sz val="11"/>
        <rFont val="Calibri"/>
        <family val="2"/>
        <scheme val="minor"/>
      </rPr>
      <t>*pH)</t>
    </r>
  </si>
  <si>
    <r>
      <t>EEQ</t>
    </r>
    <r>
      <rPr>
        <vertAlign val="subscript"/>
        <sz val="11"/>
        <rFont val="Calibri"/>
        <family val="2"/>
      </rPr>
      <t>NH2OH</t>
    </r>
    <r>
      <rPr>
        <sz val="11"/>
        <rFont val="Calibri"/>
        <family val="2"/>
      </rPr>
      <t>-EEQ</t>
    </r>
    <r>
      <rPr>
        <vertAlign val="subscript"/>
        <sz val="11"/>
        <rFont val="Calibri"/>
        <family val="2"/>
      </rPr>
      <t>N2O</t>
    </r>
  </si>
  <si>
    <r>
      <t>m</t>
    </r>
    <r>
      <rPr>
        <vertAlign val="superscript"/>
        <sz val="11"/>
        <rFont val="Calibri"/>
        <family val="2"/>
        <scheme val="minor"/>
      </rPr>
      <t>9</t>
    </r>
    <r>
      <rPr>
        <sz val="11"/>
        <rFont val="Calibri"/>
        <family val="2"/>
        <scheme val="minor"/>
      </rPr>
      <t>.g</t>
    </r>
    <r>
      <rPr>
        <vertAlign val="superscript"/>
        <sz val="11"/>
        <rFont val="Calibri"/>
        <family val="2"/>
        <scheme val="minor"/>
      </rPr>
      <t>-3</t>
    </r>
    <r>
      <rPr>
        <sz val="11"/>
        <rFont val="Calibri"/>
        <family val="2"/>
        <scheme val="minor"/>
      </rPr>
      <t>.d</t>
    </r>
    <r>
      <rPr>
        <vertAlign val="superscript"/>
        <sz val="11"/>
        <rFont val="Calibri"/>
        <family val="2"/>
        <scheme val="minor"/>
      </rPr>
      <t>-1</t>
    </r>
  </si>
  <si>
    <r>
      <t>S</t>
    </r>
    <r>
      <rPr>
        <b/>
        <vertAlign val="subscript"/>
        <sz val="11"/>
        <rFont val="Calibri"/>
        <family val="2"/>
        <charset val="238"/>
        <scheme val="minor"/>
      </rPr>
      <t>H</t>
    </r>
  </si>
  <si>
    <r>
      <t>S</t>
    </r>
    <r>
      <rPr>
        <b/>
        <vertAlign val="subscript"/>
        <sz val="12"/>
        <rFont val="Calibri"/>
        <family val="2"/>
        <charset val="238"/>
        <scheme val="minor"/>
      </rPr>
      <t>H</t>
    </r>
  </si>
  <si>
    <r>
      <t>(S</t>
    </r>
    <r>
      <rPr>
        <vertAlign val="subscript"/>
        <sz val="11"/>
        <rFont val="Calibri"/>
        <family val="2"/>
        <charset val="238"/>
        <scheme val="minor"/>
      </rPr>
      <t>H</t>
    </r>
    <r>
      <rPr>
        <sz val="11"/>
        <rFont val="Calibri"/>
        <family val="2"/>
        <scheme val="minor"/>
      </rPr>
      <t>-H</t>
    </r>
    <r>
      <rPr>
        <vertAlign val="subscript"/>
        <sz val="11"/>
        <rFont val="Calibri"/>
        <family val="2"/>
        <scheme val="minor"/>
      </rPr>
      <t>STP</t>
    </r>
    <r>
      <rPr>
        <sz val="11"/>
        <rFont val="Calibri"/>
        <family val="2"/>
        <scheme val="minor"/>
      </rPr>
      <t>)/c</t>
    </r>
    <r>
      <rPr>
        <vertAlign val="subscript"/>
        <sz val="11"/>
        <rFont val="Calibri"/>
        <family val="2"/>
        <scheme val="minor"/>
      </rPr>
      <t>p,water</t>
    </r>
  </si>
  <si>
    <t>Non-Input; pHSet; IS</t>
  </si>
  <si>
    <r>
      <t>v51_S</t>
    </r>
    <r>
      <rPr>
        <vertAlign val="subscript"/>
        <sz val="11"/>
        <rFont val="Calibri"/>
        <family val="2"/>
        <scheme val="minor"/>
      </rPr>
      <t>N2O</t>
    </r>
    <r>
      <rPr>
        <sz val="11"/>
        <rFont val="Calibri"/>
        <family val="2"/>
        <scheme val="minor"/>
      </rPr>
      <t>*r51+v52_SN2O*r52+v53_SN2O*r53</t>
    </r>
  </si>
  <si>
    <r>
      <t>- (v54_S</t>
    </r>
    <r>
      <rPr>
        <vertAlign val="subscript"/>
        <sz val="11"/>
        <rFont val="Calibri"/>
        <family val="2"/>
        <scheme val="minor"/>
      </rPr>
      <t>NHx</t>
    </r>
    <r>
      <rPr>
        <sz val="11"/>
        <rFont val="Calibri"/>
        <family val="2"/>
        <scheme val="minor"/>
      </rPr>
      <t xml:space="preserve"> * r54+ v54_S</t>
    </r>
    <r>
      <rPr>
        <vertAlign val="subscript"/>
        <sz val="11"/>
        <rFont val="Calibri"/>
        <family val="2"/>
        <scheme val="minor"/>
      </rPr>
      <t>NO2</t>
    </r>
    <r>
      <rPr>
        <sz val="11"/>
        <rFont val="Calibri"/>
        <family val="2"/>
        <scheme val="minor"/>
      </rPr>
      <t xml:space="preserve"> * r54)</t>
    </r>
  </si>
  <si>
    <r>
      <t>i</t>
    </r>
    <r>
      <rPr>
        <vertAlign val="subscript"/>
        <sz val="11"/>
        <rFont val="Calibri"/>
        <family val="2"/>
        <scheme val="minor"/>
      </rPr>
      <t>P,BIO</t>
    </r>
    <r>
      <rPr>
        <sz val="11"/>
        <rFont val="Calibri"/>
        <family val="2"/>
        <scheme val="minor"/>
      </rPr>
      <t>*(r1+r2+r3+r4+r5+r6+r7+r8+r9+r10+r11+r12+r13+r16+r17+r20+r21+r22+r36+r37+r42+r48+r54+r57+r60)-(v23_S</t>
    </r>
    <r>
      <rPr>
        <vertAlign val="subscript"/>
        <sz val="11"/>
        <rFont val="Calibri"/>
        <family val="2"/>
        <scheme val="minor"/>
      </rPr>
      <t>PO4</t>
    </r>
    <r>
      <rPr>
        <sz val="11"/>
        <rFont val="Calibri"/>
        <family val="2"/>
        <scheme val="minor"/>
      </rPr>
      <t>*r23+v24_S</t>
    </r>
    <r>
      <rPr>
        <vertAlign val="subscript"/>
        <sz val="11"/>
        <rFont val="Calibri"/>
        <family val="2"/>
        <scheme val="minor"/>
      </rPr>
      <t>PO4</t>
    </r>
    <r>
      <rPr>
        <sz val="11"/>
        <rFont val="Calibri"/>
        <family val="2"/>
        <scheme val="minor"/>
      </rPr>
      <t>*r24+v25_S</t>
    </r>
    <r>
      <rPr>
        <vertAlign val="subscript"/>
        <sz val="11"/>
        <rFont val="Calibri"/>
        <family val="2"/>
        <scheme val="minor"/>
      </rPr>
      <t>PO4</t>
    </r>
    <r>
      <rPr>
        <sz val="11"/>
        <rFont val="Calibri"/>
        <family val="2"/>
        <scheme val="minor"/>
      </rPr>
      <t>*r25)</t>
    </r>
  </si>
  <si>
    <t>The other abiotic reactions are not implemented yet as their contribution seems to have less importance</t>
  </si>
  <si>
    <r>
      <t>q</t>
    </r>
    <r>
      <rPr>
        <vertAlign val="subscript"/>
        <sz val="11"/>
        <rFont val="Calibri"/>
        <family val="2"/>
        <scheme val="minor"/>
      </rPr>
      <t>NH2OH,NO2</t>
    </r>
    <r>
      <rPr>
        <sz val="11"/>
        <rFont val="Calibri"/>
        <family val="2"/>
        <scheme val="minor"/>
      </rPr>
      <t>*Exp(a</t>
    </r>
    <r>
      <rPr>
        <vertAlign val="subscript"/>
        <sz val="11"/>
        <rFont val="Calibri"/>
        <family val="2"/>
        <scheme val="minor"/>
      </rPr>
      <t>NH2OH,NO2,pH</t>
    </r>
    <r>
      <rPr>
        <sz val="11"/>
        <rFont val="Calibri"/>
        <family val="2"/>
        <scheme val="minor"/>
      </rPr>
      <t>*pH</t>
    </r>
    <r>
      <rPr>
        <vertAlign val="subscript"/>
        <sz val="11"/>
        <rFont val="Calibri"/>
        <family val="2"/>
        <scheme val="minor"/>
      </rPr>
      <t>field</t>
    </r>
    <r>
      <rPr>
        <sz val="11"/>
        <rFont val="Calibri"/>
        <family val="2"/>
        <scheme val="minor"/>
      </rPr>
      <t>)</t>
    </r>
  </si>
  <si>
    <t>Abiotical N2O production rate with nitrite</t>
  </si>
  <si>
    <r>
      <t>q</t>
    </r>
    <r>
      <rPr>
        <vertAlign val="subscript"/>
        <sz val="11"/>
        <rFont val="Calibri"/>
        <family val="2"/>
      </rPr>
      <t>NH2OH,NO2,pH</t>
    </r>
    <r>
      <rPr>
        <sz val="11"/>
        <rFont val="Calibri"/>
        <family val="2"/>
      </rPr>
      <t>*S</t>
    </r>
    <r>
      <rPr>
        <vertAlign val="subscript"/>
        <sz val="11"/>
        <rFont val="Calibri"/>
        <family val="2"/>
      </rPr>
      <t>NH2OH</t>
    </r>
    <r>
      <rPr>
        <sz val="11"/>
        <rFont val="Calibri"/>
        <family val="2"/>
      </rPr>
      <t>*S</t>
    </r>
    <r>
      <rPr>
        <vertAlign val="subscript"/>
        <sz val="11"/>
        <rFont val="Calibri"/>
        <family val="2"/>
      </rPr>
      <t>HNO2</t>
    </r>
  </si>
  <si>
    <r>
      <t>q</t>
    </r>
    <r>
      <rPr>
        <vertAlign val="subscript"/>
        <sz val="11"/>
        <rFont val="Calibri"/>
        <family val="2"/>
        <scheme val="minor"/>
      </rPr>
      <t>NH2OH,NO2,pH</t>
    </r>
  </si>
  <si>
    <t>Energy</t>
  </si>
  <si>
    <r>
      <t>X</t>
    </r>
    <r>
      <rPr>
        <vertAlign val="subscript"/>
        <sz val="11"/>
        <rFont val="Calibri"/>
        <family val="2"/>
        <scheme val="minor"/>
      </rPr>
      <t>VSS</t>
    </r>
    <r>
      <rPr>
        <sz val="11"/>
        <rFont val="Calibri"/>
        <family val="2"/>
        <scheme val="minor"/>
      </rPr>
      <t xml:space="preserve"> + S</t>
    </r>
    <r>
      <rPr>
        <vertAlign val="subscript"/>
        <sz val="11"/>
        <rFont val="Calibri"/>
        <family val="2"/>
        <scheme val="minor"/>
      </rPr>
      <t>U</t>
    </r>
    <r>
      <rPr>
        <sz val="11"/>
        <rFont val="Calibri"/>
        <family val="2"/>
        <scheme val="minor"/>
      </rPr>
      <t>/i</t>
    </r>
    <r>
      <rPr>
        <vertAlign val="subscript"/>
        <sz val="11"/>
        <rFont val="Calibri"/>
        <family val="2"/>
        <scheme val="minor"/>
      </rPr>
      <t>CV,SU</t>
    </r>
    <r>
      <rPr>
        <sz val="11"/>
        <rFont val="Calibri"/>
        <family val="2"/>
        <scheme val="minor"/>
      </rPr>
      <t xml:space="preserve"> + S</t>
    </r>
    <r>
      <rPr>
        <vertAlign val="subscript"/>
        <sz val="11"/>
        <rFont val="Calibri"/>
        <family val="2"/>
        <scheme val="minor"/>
      </rPr>
      <t>B</t>
    </r>
    <r>
      <rPr>
        <sz val="11"/>
        <rFont val="Calibri"/>
        <family val="2"/>
        <scheme val="minor"/>
      </rPr>
      <t>/i</t>
    </r>
    <r>
      <rPr>
        <vertAlign val="subscript"/>
        <sz val="11"/>
        <rFont val="Calibri"/>
        <family val="2"/>
        <scheme val="minor"/>
      </rPr>
      <t>CV,SB</t>
    </r>
    <r>
      <rPr>
        <sz val="11"/>
        <rFont val="Calibri"/>
        <family val="2"/>
        <scheme val="minor"/>
      </rPr>
      <t xml:space="preserve"> +  f</t>
    </r>
    <r>
      <rPr>
        <vertAlign val="subscript"/>
        <sz val="11"/>
        <rFont val="Calibri"/>
        <family val="2"/>
        <scheme val="minor"/>
      </rPr>
      <t>VFA,DM</t>
    </r>
    <r>
      <rPr>
        <sz val="11"/>
        <rFont val="Calibri"/>
        <family val="2"/>
        <scheme val="minor"/>
      </rPr>
      <t>*S</t>
    </r>
    <r>
      <rPr>
        <vertAlign val="subscript"/>
        <sz val="11"/>
        <rFont val="Calibri"/>
        <family val="2"/>
        <scheme val="minor"/>
      </rPr>
      <t>VFA</t>
    </r>
    <r>
      <rPr>
        <sz val="11"/>
        <rFont val="Calibri"/>
        <family val="2"/>
        <scheme val="minor"/>
      </rPr>
      <t>/i</t>
    </r>
    <r>
      <rPr>
        <vertAlign val="subscript"/>
        <sz val="11"/>
        <rFont val="Calibri"/>
        <family val="2"/>
        <scheme val="minor"/>
      </rPr>
      <t>CV,VFA</t>
    </r>
    <r>
      <rPr>
        <sz val="11"/>
        <rFont val="Calibri"/>
        <family val="2"/>
        <scheme val="minor"/>
      </rPr>
      <t xml:space="preserve"> + C</t>
    </r>
    <r>
      <rPr>
        <vertAlign val="subscript"/>
        <sz val="11"/>
        <rFont val="Calibri"/>
        <family val="2"/>
        <scheme val="minor"/>
      </rPr>
      <t>B</t>
    </r>
    <r>
      <rPr>
        <sz val="11"/>
        <rFont val="Calibri"/>
        <family val="2"/>
        <scheme val="minor"/>
      </rPr>
      <t>/i</t>
    </r>
    <r>
      <rPr>
        <vertAlign val="subscript"/>
        <sz val="11"/>
        <rFont val="Calibri"/>
        <family val="2"/>
        <scheme val="minor"/>
      </rPr>
      <t>CV,CB</t>
    </r>
    <r>
      <rPr>
        <sz val="11"/>
        <rFont val="Calibri"/>
        <family val="2"/>
        <scheme val="minor"/>
      </rPr>
      <t xml:space="preserve"> + C</t>
    </r>
    <r>
      <rPr>
        <vertAlign val="subscript"/>
        <sz val="11"/>
        <rFont val="Calibri"/>
        <family val="2"/>
        <scheme val="minor"/>
      </rPr>
      <t>U</t>
    </r>
    <r>
      <rPr>
        <sz val="11"/>
        <rFont val="Calibri"/>
        <family val="2"/>
        <scheme val="minor"/>
      </rPr>
      <t>/i</t>
    </r>
    <r>
      <rPr>
        <vertAlign val="subscript"/>
        <sz val="11"/>
        <rFont val="Calibri"/>
        <family val="2"/>
        <scheme val="minor"/>
      </rPr>
      <t>CV,CU</t>
    </r>
  </si>
  <si>
    <t>Particulate total nitrogen</t>
  </si>
  <si>
    <r>
      <t>T</t>
    </r>
    <r>
      <rPr>
        <vertAlign val="subscript"/>
        <sz val="11"/>
        <rFont val="Calibri"/>
        <family val="2"/>
        <scheme val="minor"/>
      </rPr>
      <t>KN</t>
    </r>
    <r>
      <rPr>
        <sz val="11"/>
        <rFont val="Calibri"/>
        <family val="2"/>
        <scheme val="minor"/>
      </rPr>
      <t>-S</t>
    </r>
    <r>
      <rPr>
        <vertAlign val="subscript"/>
        <sz val="11"/>
        <rFont val="Calibri"/>
        <family val="2"/>
        <scheme val="minor"/>
      </rPr>
      <t>KN</t>
    </r>
  </si>
  <si>
    <r>
      <t>X</t>
    </r>
    <r>
      <rPr>
        <vertAlign val="subscript"/>
        <sz val="11"/>
        <rFont val="Calibri"/>
        <family val="2"/>
        <scheme val="minor"/>
      </rPr>
      <t>P</t>
    </r>
  </si>
  <si>
    <t>Particulate phosphorus</t>
  </si>
  <si>
    <r>
      <t>T</t>
    </r>
    <r>
      <rPr>
        <vertAlign val="subscript"/>
        <sz val="11"/>
        <rFont val="Calibri"/>
        <family val="2"/>
        <scheme val="minor"/>
      </rPr>
      <t>P</t>
    </r>
    <r>
      <rPr>
        <sz val="11"/>
        <rFont val="Calibri"/>
        <family val="2"/>
        <scheme val="minor"/>
      </rPr>
      <t>-S</t>
    </r>
    <r>
      <rPr>
        <vertAlign val="subscript"/>
        <sz val="11"/>
        <rFont val="Calibri"/>
        <family val="2"/>
        <scheme val="minor"/>
      </rPr>
      <t>P</t>
    </r>
  </si>
  <si>
    <r>
      <t>X</t>
    </r>
    <r>
      <rPr>
        <vertAlign val="subscript"/>
        <sz val="11"/>
        <rFont val="Calibri"/>
        <family val="2"/>
        <scheme val="minor"/>
      </rPr>
      <t>KN</t>
    </r>
  </si>
  <si>
    <t>define range in percentage of XBIO limit</t>
  </si>
  <si>
    <r>
      <t>X</t>
    </r>
    <r>
      <rPr>
        <vertAlign val="subscript"/>
        <sz val="11"/>
        <color rgb="FF000000"/>
        <rFont val="Calibri"/>
        <family val="2"/>
        <scheme val="minor"/>
      </rPr>
      <t>HET,HYD,lim</t>
    </r>
  </si>
  <si>
    <r>
      <t>X</t>
    </r>
    <r>
      <rPr>
        <vertAlign val="subscript"/>
        <sz val="11"/>
        <color rgb="FF000000"/>
        <rFont val="Calibri"/>
        <family val="2"/>
        <scheme val="minor"/>
      </rPr>
      <t>HET</t>
    </r>
    <r>
      <rPr>
        <sz val="11"/>
        <color indexed="8"/>
        <rFont val="Calibri"/>
        <family val="2"/>
        <scheme val="minor"/>
      </rPr>
      <t xml:space="preserve"> limit concentration for hydrolysis</t>
    </r>
  </si>
  <si>
    <r>
      <t>Logrange</t>
    </r>
    <r>
      <rPr>
        <vertAlign val="subscript"/>
        <sz val="11"/>
        <rFont val="Calibri"/>
        <family val="2"/>
        <charset val="238"/>
        <scheme val="minor"/>
      </rPr>
      <t>XHET,HYD,lim</t>
    </r>
  </si>
  <si>
    <t>Effective range of logistic switch for XHET limit</t>
  </si>
  <si>
    <r>
      <t>K</t>
    </r>
    <r>
      <rPr>
        <vertAlign val="subscript"/>
        <sz val="11"/>
        <color indexed="8"/>
        <rFont val="Calibri"/>
        <family val="2"/>
        <scheme val="minor"/>
      </rPr>
      <t>CB,FLOC</t>
    </r>
  </si>
  <si>
    <t>Half-saturation of biodegradable colloids in low biomass condition flocculation</t>
  </si>
  <si>
    <r>
      <t>K</t>
    </r>
    <r>
      <rPr>
        <vertAlign val="subscript"/>
        <sz val="11"/>
        <color indexed="8"/>
        <rFont val="Calibri"/>
        <family val="2"/>
        <scheme val="minor"/>
      </rPr>
      <t>CU,FLOC</t>
    </r>
  </si>
  <si>
    <r>
      <t>K</t>
    </r>
    <r>
      <rPr>
        <vertAlign val="subscript"/>
        <sz val="11"/>
        <color indexed="8"/>
        <rFont val="Calibri"/>
        <family val="2"/>
        <scheme val="minor"/>
      </rPr>
      <t>XB,HYD</t>
    </r>
  </si>
  <si>
    <t>Half-saturation of slowly biodegradable substrate in low biomass condition hydrolysis</t>
  </si>
  <si>
    <t>Goel et al, 1998</t>
  </si>
  <si>
    <r>
      <t>K</t>
    </r>
    <r>
      <rPr>
        <vertAlign val="subscript"/>
        <sz val="11"/>
        <color indexed="8"/>
        <rFont val="Calibri"/>
        <family val="2"/>
        <scheme val="minor"/>
      </rPr>
      <t>XEana,HYD</t>
    </r>
  </si>
  <si>
    <t>Half-saturation of anaerobic endogenous decay products in low biomass condition hydrolysis</t>
  </si>
  <si>
    <t xml:space="preserve">pH and IS parameters </t>
  </si>
  <si>
    <t>set pH when not calculated</t>
  </si>
  <si>
    <t>set IS when not calculated</t>
  </si>
  <si>
    <r>
      <t>Msat</t>
    </r>
    <r>
      <rPr>
        <vertAlign val="subscript"/>
        <sz val="11"/>
        <rFont val="Calibri"/>
        <family val="2"/>
        <scheme val="minor"/>
      </rPr>
      <t>CB,KCB,FLOC</t>
    </r>
  </si>
  <si>
    <t>Saturation term for colloidal biodegradable substrate in low biomass condition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</si>
  <si>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t>
    </r>
    <r>
      <rPr>
        <sz val="11"/>
        <rFont val="Calibri"/>
        <family val="2"/>
        <scheme val="minor"/>
      </rPr>
      <t>)</t>
    </r>
  </si>
  <si>
    <r>
      <t>Msat</t>
    </r>
    <r>
      <rPr>
        <vertAlign val="subscript"/>
        <sz val="11"/>
        <rFont val="Calibri"/>
        <family val="2"/>
        <scheme val="minor"/>
      </rPr>
      <t>CU,KCU,FLOC</t>
    </r>
  </si>
  <si>
    <t>Saturation term for colloidal unbiodegradable organics in low biomass condition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</si>
  <si>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t>
    </r>
    <r>
      <rPr>
        <sz val="11"/>
        <rFont val="Calibri"/>
        <family val="2"/>
        <scheme val="minor"/>
      </rPr>
      <t>)</t>
    </r>
  </si>
  <si>
    <r>
      <t>Msat</t>
    </r>
    <r>
      <rPr>
        <vertAlign val="subscript"/>
        <sz val="11"/>
        <rFont val="Calibri"/>
        <family val="2"/>
        <scheme val="minor"/>
      </rPr>
      <t>XB,KXB,HYD</t>
    </r>
  </si>
  <si>
    <t>Saturation term for slowly biodegradable substrate in low biomass condition (hydrolysis)</t>
  </si>
  <si>
    <r>
      <t>Msat(X</t>
    </r>
    <r>
      <rPr>
        <vertAlign val="subscript"/>
        <sz val="11"/>
        <rFont val="Calibri"/>
        <family val="2"/>
        <scheme val="minor"/>
      </rPr>
      <t>B</t>
    </r>
    <r>
      <rPr>
        <sz val="11"/>
        <rFont val="Calibri"/>
        <family val="2"/>
        <scheme val="minor"/>
      </rPr>
      <t>;K</t>
    </r>
    <r>
      <rPr>
        <vertAlign val="subscript"/>
        <sz val="11"/>
        <rFont val="Calibri"/>
        <family val="2"/>
        <scheme val="minor"/>
      </rPr>
      <t>XB,HYD</t>
    </r>
    <r>
      <rPr>
        <sz val="11"/>
        <rFont val="Calibri"/>
        <family val="2"/>
        <scheme val="minor"/>
      </rPr>
      <t>)</t>
    </r>
  </si>
  <si>
    <r>
      <t>Msat</t>
    </r>
    <r>
      <rPr>
        <vertAlign val="subscript"/>
        <sz val="11"/>
        <rFont val="Calibri"/>
        <family val="2"/>
        <scheme val="minor"/>
      </rPr>
      <t>XEana,KXEana,HYD</t>
    </r>
  </si>
  <si>
    <t>Saturation term for anaerobic endogenous decay products in low biomass condition (hydrolysis)</t>
  </si>
  <si>
    <r>
      <t>Msat(X</t>
    </r>
    <r>
      <rPr>
        <vertAlign val="subscript"/>
        <sz val="11"/>
        <rFont val="Calibri"/>
        <family val="2"/>
        <scheme val="minor"/>
      </rPr>
      <t>E,ana</t>
    </r>
    <r>
      <rPr>
        <sz val="11"/>
        <rFont val="Calibri"/>
        <family val="2"/>
        <scheme val="minor"/>
      </rPr>
      <t>;K</t>
    </r>
    <r>
      <rPr>
        <vertAlign val="subscript"/>
        <sz val="11"/>
        <rFont val="Calibri"/>
        <family val="2"/>
        <scheme val="minor"/>
      </rPr>
      <t>XEana,HYD</t>
    </r>
    <r>
      <rPr>
        <sz val="11"/>
        <rFont val="Calibri"/>
        <family val="2"/>
        <scheme val="minor"/>
      </rPr>
      <t>)</t>
    </r>
  </si>
  <si>
    <r>
      <t>Logslope</t>
    </r>
    <r>
      <rPr>
        <vertAlign val="subscript"/>
        <sz val="11"/>
        <rFont val="Calibri"/>
        <family val="2"/>
        <charset val="238"/>
        <scheme val="minor"/>
      </rPr>
      <t>XHET,HYD,lim</t>
    </r>
  </si>
  <si>
    <r>
      <t>Logisticslope(X</t>
    </r>
    <r>
      <rPr>
        <vertAlign val="subscript"/>
        <sz val="11"/>
        <rFont val="Calibri"/>
        <family val="2"/>
        <scheme val="minor"/>
      </rPr>
      <t>HET,HYD,lim</t>
    </r>
    <r>
      <rPr>
        <sz val="11"/>
        <rFont val="Calibri"/>
        <family val="2"/>
        <scheme val="minor"/>
      </rPr>
      <t>; Logrange</t>
    </r>
    <r>
      <rPr>
        <vertAlign val="subscript"/>
        <sz val="11"/>
        <rFont val="Calibri"/>
        <family val="2"/>
        <charset val="238"/>
        <scheme val="minor"/>
      </rPr>
      <t>XHET,HYD,lim</t>
    </r>
    <r>
      <rPr>
        <sz val="11"/>
        <rFont val="Calibri"/>
        <family val="2"/>
        <scheme val="minor"/>
      </rPr>
      <t>)</t>
    </r>
  </si>
  <si>
    <r>
      <t>Logsat</t>
    </r>
    <r>
      <rPr>
        <vertAlign val="subscript"/>
        <sz val="11"/>
        <rFont val="Calibri"/>
        <family val="2"/>
        <scheme val="minor"/>
      </rPr>
      <t>XHET,HYD,lim</t>
    </r>
  </si>
  <si>
    <t>Logistic saturation term for XHET in hydrolysis process</t>
  </si>
  <si>
    <r>
      <t>Logsat(X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</si>
  <si>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r>
      <t>Loginh</t>
    </r>
    <r>
      <rPr>
        <vertAlign val="subscript"/>
        <sz val="11"/>
        <rFont val="Calibri"/>
        <family val="2"/>
        <scheme val="minor"/>
      </rPr>
      <t>XHET,HYD,lim</t>
    </r>
  </si>
  <si>
    <t>Logistic inhibition term for XHET in hydrolysis process</t>
  </si>
  <si>
    <r>
      <t>Loginh(X</t>
    </r>
    <r>
      <rPr>
        <vertAlign val="subscript"/>
        <sz val="11"/>
        <rFont val="Calibri"/>
        <family val="2"/>
        <scheme val="minor"/>
      </rPr>
      <t>HET</t>
    </r>
    <r>
      <rPr>
        <sz val="11"/>
        <rFont val="Calibri"/>
        <family val="2"/>
        <scheme val="minor"/>
      </rPr>
      <t>;X</t>
    </r>
    <r>
      <rPr>
        <vertAlign val="subscript"/>
        <sz val="11"/>
        <rFont val="Calibri"/>
        <family val="2"/>
        <scheme val="minor"/>
      </rPr>
      <t>HET,HYD,lim</t>
    </r>
    <r>
      <rPr>
        <sz val="11"/>
        <rFont val="Calibri"/>
        <family val="2"/>
        <scheme val="minor"/>
      </rPr>
      <t>;Logslope</t>
    </r>
    <r>
      <rPr>
        <vertAlign val="subscript"/>
        <sz val="11"/>
        <rFont val="Calibri"/>
        <family val="2"/>
        <charset val="238"/>
        <scheme val="minor"/>
      </rPr>
      <t>XHET,HYD,lim</t>
    </r>
    <r>
      <rPr>
        <sz val="11"/>
        <rFont val="Calibri"/>
        <family val="2"/>
        <scheme val="minor"/>
      </rPr>
      <t>)</t>
    </r>
  </si>
  <si>
    <t>Logistic slope of logistic term for XHET limit</t>
  </si>
  <si>
    <t>Unitless</t>
  </si>
  <si>
    <r>
      <t>f</t>
    </r>
    <r>
      <rPr>
        <vertAlign val="subscript"/>
        <sz val="11"/>
        <rFont val="Calibri"/>
        <family val="2"/>
        <scheme val="minor"/>
      </rPr>
      <t>tri,field</t>
    </r>
  </si>
  <si>
    <r>
      <t>10^(-A</t>
    </r>
    <r>
      <rPr>
        <vertAlign val="subscript"/>
        <sz val="11"/>
        <rFont val="Calibri"/>
        <family val="2"/>
        <scheme val="minor"/>
      </rPr>
      <t>Davies</t>
    </r>
    <r>
      <rPr>
        <sz val="11"/>
        <rFont val="Calibri"/>
        <family val="2"/>
        <scheme val="minor"/>
      </rPr>
      <t>*3^(2)*(IS</t>
    </r>
    <r>
      <rPr>
        <vertAlign val="subscript"/>
        <sz val="11"/>
        <rFont val="Calibri"/>
        <family val="2"/>
        <scheme val="minor"/>
      </rPr>
      <t>field</t>
    </r>
    <r>
      <rPr>
        <sz val="11"/>
        <rFont val="Calibri"/>
        <family val="2"/>
        <scheme val="minor"/>
      </rPr>
      <t>^(0.5)/(1+1.5*IS</t>
    </r>
    <r>
      <rPr>
        <vertAlign val="subscript"/>
        <sz val="11"/>
        <rFont val="Calibri"/>
        <family val="2"/>
        <scheme val="minor"/>
      </rPr>
      <t>field</t>
    </r>
    <r>
      <rPr>
        <sz val="11"/>
        <rFont val="Calibri"/>
        <family val="2"/>
        <scheme val="minor"/>
      </rPr>
      <t>^(0.5))-0.3*IS</t>
    </r>
    <r>
      <rPr>
        <vertAlign val="subscript"/>
        <sz val="11"/>
        <rFont val="Calibri"/>
        <family val="2"/>
        <scheme val="minor"/>
      </rPr>
      <t>field</t>
    </r>
    <r>
      <rPr>
        <sz val="11"/>
        <rFont val="Calibri"/>
        <family val="2"/>
        <scheme val="minor"/>
      </rPr>
      <t>))</t>
    </r>
  </si>
  <si>
    <r>
      <t>K</t>
    </r>
    <r>
      <rPr>
        <vertAlign val="subscript"/>
        <sz val="11"/>
        <rFont val="Calibri"/>
        <family val="2"/>
        <scheme val="minor"/>
      </rPr>
      <t>W,T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</si>
  <si>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P1,T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</si>
  <si>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P2,T</t>
    </r>
    <r>
      <rPr>
        <sz val="11"/>
        <rFont val="Calibri"/>
        <family val="2"/>
        <scheme val="minor"/>
      </rPr>
      <t>/f</t>
    </r>
    <r>
      <rPr>
        <vertAlign val="subscript"/>
        <sz val="11"/>
        <rFont val="Calibri"/>
        <family val="2"/>
        <scheme val="minor"/>
      </rPr>
      <t>di,field</t>
    </r>
  </si>
  <si>
    <r>
      <t>K</t>
    </r>
    <r>
      <rPr>
        <vertAlign val="subscript"/>
        <sz val="11"/>
        <rFont val="Calibri"/>
        <family val="2"/>
        <scheme val="minor"/>
      </rPr>
      <t>P3,T</t>
    </r>
    <r>
      <rPr>
        <sz val="11"/>
        <rFont val="Calibri"/>
        <family val="2"/>
        <scheme val="minor"/>
      </rPr>
      <t>/(f</t>
    </r>
    <r>
      <rPr>
        <vertAlign val="subscript"/>
        <sz val="11"/>
        <rFont val="Calibri"/>
        <family val="2"/>
        <scheme val="minor"/>
      </rPr>
      <t>mono,field</t>
    </r>
    <r>
      <rPr>
        <sz val="11"/>
        <rFont val="Calibri"/>
        <family val="2"/>
        <scheme val="minor"/>
      </rPr>
      <t>*f</t>
    </r>
    <r>
      <rPr>
        <vertAlign val="subscript"/>
        <sz val="11"/>
        <rFont val="Calibri"/>
        <family val="2"/>
        <scheme val="minor"/>
      </rPr>
      <t>tri,field</t>
    </r>
    <r>
      <rPr>
        <sz val="11"/>
        <rFont val="Calibri"/>
        <family val="2"/>
        <scheme val="minor"/>
      </rPr>
      <t>)*f</t>
    </r>
    <r>
      <rPr>
        <vertAlign val="subscript"/>
        <sz val="11"/>
        <rFont val="Calibri"/>
        <family val="2"/>
        <scheme val="minor"/>
      </rPr>
      <t>di,field</t>
    </r>
  </si>
  <si>
    <r>
      <t>K</t>
    </r>
    <r>
      <rPr>
        <vertAlign val="subscript"/>
        <sz val="11"/>
        <rFont val="Calibri"/>
        <family val="2"/>
        <scheme val="minor"/>
      </rPr>
      <t>Ac,T</t>
    </r>
    <r>
      <rPr>
        <sz val="11"/>
        <rFont val="Calibri"/>
        <family val="2"/>
        <scheme val="minor"/>
      </rPr>
      <t>/f</t>
    </r>
    <r>
      <rPr>
        <vertAlign val="subscript"/>
        <sz val="11"/>
        <rFont val="Calibri"/>
        <family val="2"/>
        <scheme val="minor"/>
      </rPr>
      <t>mono,field</t>
    </r>
    <r>
      <rPr>
        <sz val="11"/>
        <rFont val="Calibri"/>
        <family val="2"/>
        <scheme val="minor"/>
      </rPr>
      <t>^2</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</si>
  <si>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di,field</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</si>
  <si>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mono,field</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tri,field</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</si>
  <si>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</si>
  <si>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di,field</t>
    </r>
    <r>
      <rPr>
        <vertAlign val="superscript"/>
        <sz val="11"/>
        <rFont val="Calibri"/>
        <family val="2"/>
        <scheme val="minor"/>
      </rPr>
      <t>^(3/5)</t>
    </r>
    <r>
      <rPr>
        <sz val="11"/>
        <rFont val="Calibri"/>
        <family val="2"/>
        <scheme val="minor"/>
      </rPr>
      <t>*f</t>
    </r>
    <r>
      <rPr>
        <vertAlign val="subscript"/>
        <sz val="11"/>
        <rFont val="Calibri"/>
        <family val="2"/>
        <scheme val="minor"/>
      </rPr>
      <t>tri,field</t>
    </r>
    <r>
      <rPr>
        <vertAlign val="superscript"/>
        <sz val="11"/>
        <rFont val="Calibri"/>
        <family val="2"/>
        <scheme val="minor"/>
      </rPr>
      <t>^(2/5)</t>
    </r>
    <r>
      <rPr>
        <sz val="11"/>
        <rFont val="Calibri"/>
        <family val="2"/>
        <scheme val="minor"/>
      </rPr>
      <t>)</t>
    </r>
  </si>
  <si>
    <r>
      <t>K</t>
    </r>
    <r>
      <rPr>
        <vertAlign val="subscript"/>
        <sz val="11"/>
        <rFont val="Calibri"/>
        <family val="2"/>
        <scheme val="minor"/>
      </rPr>
      <t>sp,BSH,param</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*f</t>
    </r>
    <r>
      <rPr>
        <vertAlign val="subscript"/>
        <sz val="11"/>
        <rFont val="Calibri"/>
        <family val="2"/>
        <scheme val="minor"/>
      </rPr>
      <t>di,field</t>
    </r>
    <r>
      <rPr>
        <vertAlign val="superscript"/>
        <sz val="11"/>
        <rFont val="Calibri"/>
        <family val="2"/>
        <scheme val="minor"/>
      </rPr>
      <t>^(1/2)</t>
    </r>
    <r>
      <rPr>
        <sz val="11"/>
        <rFont val="Calibri"/>
        <family val="2"/>
        <scheme val="minor"/>
      </rPr>
      <t>)</t>
    </r>
  </si>
  <si>
    <r>
      <t>[H</t>
    </r>
    <r>
      <rPr>
        <vertAlign val="superscript"/>
        <sz val="11"/>
        <rFont val="Calibri"/>
        <family val="2"/>
      </rPr>
      <t>+</t>
    </r>
    <r>
      <rPr>
        <sz val="11"/>
        <rFont val="Calibri"/>
        <family val="2"/>
      </rPr>
      <t>]</t>
    </r>
  </si>
  <si>
    <r>
      <t>10^(-pH</t>
    </r>
    <r>
      <rPr>
        <vertAlign val="subscript"/>
        <sz val="11"/>
        <rFont val="Calibri"/>
        <family val="2"/>
        <scheme val="minor"/>
      </rPr>
      <t>field</t>
    </r>
    <r>
      <rPr>
        <sz val="11"/>
        <rFont val="Calibri"/>
        <family val="2"/>
        <scheme val="minor"/>
      </rPr>
      <t>)</t>
    </r>
  </si>
  <si>
    <r>
      <t>[H</t>
    </r>
    <r>
      <rPr>
        <b/>
        <vertAlign val="superscript"/>
        <sz val="11"/>
        <rFont val="Calibri"/>
        <family val="2"/>
      </rPr>
      <t>+</t>
    </r>
    <r>
      <rPr>
        <b/>
        <sz val="11"/>
        <rFont val="Calibri"/>
        <family val="2"/>
      </rPr>
      <t>]</t>
    </r>
    <r>
      <rPr>
        <b/>
        <vertAlign val="subscript"/>
        <sz val="11"/>
        <rFont val="Calibri"/>
        <family val="2"/>
      </rPr>
      <t>field</t>
    </r>
  </si>
  <si>
    <r>
      <t>[OH</t>
    </r>
    <r>
      <rPr>
        <vertAlign val="superscript"/>
        <sz val="11"/>
        <rFont val="Calibri"/>
        <family val="2"/>
      </rPr>
      <t>-</t>
    </r>
    <r>
      <rPr>
        <sz val="11"/>
        <rFont val="Calibri"/>
        <family val="2"/>
      </rPr>
      <t>]</t>
    </r>
  </si>
  <si>
    <t>KW/[H+]</t>
  </si>
  <si>
    <r>
      <t>[OH</t>
    </r>
    <r>
      <rPr>
        <b/>
        <vertAlign val="superscript"/>
        <sz val="11"/>
        <rFont val="Calibri"/>
        <family val="2"/>
      </rPr>
      <t>-</t>
    </r>
    <r>
      <rPr>
        <b/>
        <sz val="11"/>
        <rFont val="Calibri"/>
        <family val="2"/>
      </rPr>
      <t>]</t>
    </r>
    <r>
      <rPr>
        <b/>
        <vertAlign val="subscript"/>
        <sz val="11"/>
        <rFont val="Calibri"/>
        <family val="2"/>
      </rPr>
      <t>field</t>
    </r>
  </si>
  <si>
    <r>
      <t>[NH</t>
    </r>
    <r>
      <rPr>
        <vertAlign val="subscript"/>
        <sz val="11"/>
        <rFont val="Calibri"/>
        <family val="2"/>
      </rPr>
      <t>3</t>
    </r>
    <r>
      <rPr>
        <sz val="11"/>
        <rFont val="Calibri"/>
        <family val="2"/>
      </rPr>
      <t>]</t>
    </r>
  </si>
  <si>
    <r>
      <t>(S</t>
    </r>
    <r>
      <rPr>
        <vertAlign val="subscript"/>
        <sz val="11"/>
        <rFont val="Calibri"/>
        <family val="2"/>
      </rPr>
      <t>NHx</t>
    </r>
    <r>
      <rPr>
        <sz val="11"/>
        <rFont val="Calibri"/>
        <family val="2"/>
      </rPr>
      <t>/(AM</t>
    </r>
    <r>
      <rPr>
        <vertAlign val="subscript"/>
        <sz val="11"/>
        <rFont val="Calibri"/>
        <family val="2"/>
      </rPr>
      <t>N</t>
    </r>
    <r>
      <rPr>
        <sz val="11"/>
        <rFont val="Calibri"/>
        <family val="2"/>
      </rPr>
      <t>*1000))*K</t>
    </r>
    <r>
      <rPr>
        <vertAlign val="subscript"/>
        <sz val="11"/>
        <rFont val="Calibri"/>
        <family val="2"/>
      </rPr>
      <t>NH3</t>
    </r>
    <r>
      <rPr>
        <sz val="11"/>
        <rFont val="Calibri"/>
        <family val="2"/>
      </rPr>
      <t>/([H+]+K</t>
    </r>
    <r>
      <rPr>
        <vertAlign val="subscript"/>
        <sz val="11"/>
        <rFont val="Calibri"/>
        <family val="2"/>
      </rPr>
      <t>NH3</t>
    </r>
    <r>
      <rPr>
        <sz val="11"/>
        <rFont val="Calibri"/>
        <family val="2"/>
      </rPr>
      <t>)</t>
    </r>
  </si>
  <si>
    <r>
      <t>[NH</t>
    </r>
    <r>
      <rPr>
        <b/>
        <vertAlign val="subscript"/>
        <sz val="11"/>
        <rFont val="Calibri"/>
        <family val="2"/>
      </rPr>
      <t>3</t>
    </r>
    <r>
      <rPr>
        <b/>
        <sz val="11"/>
        <rFont val="Calibri"/>
        <family val="2"/>
      </rPr>
      <t>]</t>
    </r>
    <r>
      <rPr>
        <b/>
        <vertAlign val="subscript"/>
        <sz val="11"/>
        <rFont val="Calibri"/>
        <family val="2"/>
      </rPr>
      <t>field</t>
    </r>
  </si>
  <si>
    <r>
      <t>[NH</t>
    </r>
    <r>
      <rPr>
        <vertAlign val="subscript"/>
        <sz val="11"/>
        <rFont val="Calibri"/>
        <family val="2"/>
      </rPr>
      <t>4</t>
    </r>
    <r>
      <rPr>
        <vertAlign val="superscript"/>
        <sz val="11"/>
        <rFont val="Calibri"/>
        <family val="2"/>
      </rPr>
      <t>+</t>
    </r>
    <r>
      <rPr>
        <sz val="11"/>
        <rFont val="Calibri"/>
        <family val="2"/>
      </rPr>
      <t>]</t>
    </r>
  </si>
  <si>
    <t>(SNHx/(AMN*1000))*[H+]/([H+]+KNH3)</t>
  </si>
  <si>
    <r>
      <t>[NH</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</si>
  <si>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[HNO</t>
    </r>
    <r>
      <rPr>
        <vertAlign val="subscript"/>
        <sz val="11"/>
        <rFont val="Calibri"/>
        <family val="2"/>
      </rPr>
      <t>2</t>
    </r>
    <r>
      <rPr>
        <sz val="11"/>
        <rFont val="Calibri"/>
        <family val="2"/>
      </rPr>
      <t>]</t>
    </r>
  </si>
  <si>
    <r>
      <t>[NO</t>
    </r>
    <r>
      <rPr>
        <vertAlign val="subscript"/>
        <sz val="11"/>
        <rFont val="Calibri"/>
        <family val="2"/>
      </rPr>
      <t>2</t>
    </r>
    <r>
      <rPr>
        <vertAlign val="superscript"/>
        <sz val="11"/>
        <rFont val="Calibri"/>
        <family val="2"/>
      </rPr>
      <t>-</t>
    </r>
    <r>
      <rPr>
        <sz val="11"/>
        <rFont val="Calibri"/>
        <family val="2"/>
      </rPr>
      <t>]</t>
    </r>
  </si>
  <si>
    <r>
      <t>[NO</t>
    </r>
    <r>
      <rPr>
        <vertAlign val="subscript"/>
        <sz val="11"/>
        <rFont val="Calibri"/>
        <family val="2"/>
      </rPr>
      <t>3</t>
    </r>
    <r>
      <rPr>
        <vertAlign val="superscript"/>
        <sz val="11"/>
        <rFont val="Calibri"/>
        <family val="2"/>
      </rPr>
      <t>-</t>
    </r>
    <r>
      <rPr>
        <sz val="11"/>
        <rFont val="Calibri"/>
        <family val="2"/>
      </rPr>
      <t>]</t>
    </r>
  </si>
  <si>
    <r>
      <t>S</t>
    </r>
    <r>
      <rPr>
        <vertAlign val="subscript"/>
        <sz val="11"/>
        <rFont val="Calibri"/>
        <family val="2"/>
      </rPr>
      <t>NOx</t>
    </r>
    <r>
      <rPr>
        <sz val="11"/>
        <rFont val="Calibri"/>
        <family val="2"/>
      </rPr>
      <t>/(AM</t>
    </r>
    <r>
      <rPr>
        <vertAlign val="subscript"/>
        <sz val="11"/>
        <rFont val="Calibri"/>
        <family val="2"/>
      </rPr>
      <t>N</t>
    </r>
    <r>
      <rPr>
        <sz val="11"/>
        <rFont val="Calibri"/>
        <family val="2"/>
      </rPr>
      <t>*1000)</t>
    </r>
  </si>
  <si>
    <r>
      <t>[NO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</si>
  <si>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CO</t>
    </r>
    <r>
      <rPr>
        <vertAlign val="subscript"/>
        <sz val="11"/>
        <rFont val="Calibri"/>
        <family val="2"/>
      </rPr>
      <t>3</t>
    </r>
    <r>
      <rPr>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</si>
  <si>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r>
      <rPr>
        <b/>
        <vertAlign val="subscript"/>
        <sz val="11"/>
        <rFont val="Calibri"/>
        <family val="2"/>
      </rPr>
      <t>field</t>
    </r>
  </si>
  <si>
    <r>
      <t>[HCO</t>
    </r>
    <r>
      <rPr>
        <vertAlign val="subscript"/>
        <sz val="11"/>
        <rFont val="Calibri"/>
        <family val="2"/>
      </rPr>
      <t>3</t>
    </r>
    <r>
      <rPr>
        <vertAlign val="superscript"/>
        <sz val="11"/>
        <rFont val="Calibri"/>
        <family val="2"/>
      </rPr>
      <t>-</t>
    </r>
    <r>
      <rPr>
        <sz val="11"/>
        <rFont val="Calibri"/>
        <family val="2"/>
      </rPr>
      <t>]</t>
    </r>
  </si>
  <si>
    <r>
      <t>[HCO</t>
    </r>
    <r>
      <rPr>
        <b/>
        <vertAlign val="subscript"/>
        <sz val="11"/>
        <rFont val="Calibri"/>
        <family val="2"/>
      </rPr>
      <t>3</t>
    </r>
    <r>
      <rPr>
        <b/>
        <vertAlign val="superscript"/>
        <sz val="11"/>
        <rFont val="Calibri"/>
        <family val="2"/>
      </rPr>
      <t>-</t>
    </r>
    <r>
      <rPr>
        <b/>
        <sz val="11"/>
        <rFont val="Calibri"/>
        <family val="2"/>
      </rPr>
      <t>]</t>
    </r>
    <r>
      <rPr>
        <b/>
        <vertAlign val="subscript"/>
        <sz val="11"/>
        <rFont val="Calibri"/>
        <family val="2"/>
      </rPr>
      <t>field</t>
    </r>
  </si>
  <si>
    <r>
      <t>[CO</t>
    </r>
    <r>
      <rPr>
        <vertAlign val="subscript"/>
        <sz val="11"/>
        <rFont val="Calibri"/>
        <family val="2"/>
      </rPr>
      <t>3</t>
    </r>
    <r>
      <rPr>
        <vertAlign val="superscript"/>
        <sz val="11"/>
        <rFont val="Calibri"/>
        <family val="2"/>
      </rPr>
      <t>2-</t>
    </r>
    <r>
      <rPr>
        <sz val="11"/>
        <rFont val="Calibri"/>
        <family val="2"/>
      </rPr>
      <t>]</t>
    </r>
  </si>
  <si>
    <r>
      <t>[CO</t>
    </r>
    <r>
      <rPr>
        <b/>
        <vertAlign val="subscript"/>
        <sz val="11"/>
        <rFont val="Calibri"/>
        <family val="2"/>
      </rPr>
      <t>3</t>
    </r>
    <r>
      <rPr>
        <b/>
        <vertAlign val="superscript"/>
        <sz val="11"/>
        <rFont val="Calibri"/>
        <family val="2"/>
      </rPr>
      <t>2-</t>
    </r>
    <r>
      <rPr>
        <b/>
        <sz val="11"/>
        <rFont val="Calibri"/>
        <family val="2"/>
      </rPr>
      <t>]</t>
    </r>
    <r>
      <rPr>
        <b/>
        <vertAlign val="subscript"/>
        <sz val="11"/>
        <rFont val="Calibri"/>
        <family val="2"/>
      </rPr>
      <t>field</t>
    </r>
  </si>
  <si>
    <r>
      <t>[H</t>
    </r>
    <r>
      <rPr>
        <vertAlign val="subscript"/>
        <sz val="11"/>
        <rFont val="Calibri"/>
        <family val="2"/>
      </rPr>
      <t>3</t>
    </r>
    <r>
      <rPr>
        <sz val="11"/>
        <rFont val="Calibri"/>
        <family val="2"/>
      </rPr>
      <t>PO</t>
    </r>
    <r>
      <rPr>
        <vertAlign val="subscript"/>
        <sz val="11"/>
        <rFont val="Calibri"/>
        <family val="2"/>
      </rPr>
      <t>4</t>
    </r>
    <r>
      <rPr>
        <sz val="11"/>
        <rFont val="Calibri"/>
        <family val="2"/>
      </rPr>
      <t>]</t>
    </r>
  </si>
  <si>
    <r>
      <t>[H</t>
    </r>
    <r>
      <rPr>
        <b/>
        <vertAlign val="subscript"/>
        <sz val="11"/>
        <rFont val="Calibri"/>
        <family val="2"/>
      </rPr>
      <t>3</t>
    </r>
    <r>
      <rPr>
        <b/>
        <sz val="11"/>
        <rFont val="Calibri"/>
        <family val="2"/>
      </rPr>
      <t>PO</t>
    </r>
    <r>
      <rPr>
        <b/>
        <vertAlign val="subscript"/>
        <sz val="11"/>
        <rFont val="Calibri"/>
        <family val="2"/>
      </rPr>
      <t>4</t>
    </r>
    <r>
      <rPr>
        <b/>
        <sz val="11"/>
        <rFont val="Calibri"/>
        <family val="2"/>
      </rPr>
      <t>]</t>
    </r>
    <r>
      <rPr>
        <b/>
        <vertAlign val="subscript"/>
        <sz val="11"/>
        <rFont val="Calibri"/>
        <family val="2"/>
      </rPr>
      <t>field</t>
    </r>
  </si>
  <si>
    <r>
      <t>[H</t>
    </r>
    <r>
      <rPr>
        <vertAlign val="subscript"/>
        <sz val="11"/>
        <rFont val="Calibri"/>
        <family val="2"/>
      </rPr>
      <t>2</t>
    </r>
    <r>
      <rPr>
        <sz val="11"/>
        <rFont val="Calibri"/>
        <family val="2"/>
      </rPr>
      <t>PO</t>
    </r>
    <r>
      <rPr>
        <vertAlign val="subscript"/>
        <sz val="11"/>
        <rFont val="Calibri"/>
        <family val="2"/>
      </rPr>
      <t>4</t>
    </r>
    <r>
      <rPr>
        <vertAlign val="superscript"/>
        <sz val="11"/>
        <rFont val="Calibri"/>
        <family val="2"/>
      </rPr>
      <t>-</t>
    </r>
    <r>
      <rPr>
        <sz val="11"/>
        <rFont val="Calibri"/>
        <family val="2"/>
      </rPr>
      <t>]</t>
    </r>
  </si>
  <si>
    <r>
      <t>[H</t>
    </r>
    <r>
      <rPr>
        <b/>
        <vertAlign val="subscript"/>
        <sz val="11"/>
        <rFont val="Calibri"/>
        <family val="2"/>
      </rPr>
      <t>2</t>
    </r>
    <r>
      <rPr>
        <b/>
        <sz val="11"/>
        <rFont val="Calibri"/>
        <family val="2"/>
      </rPr>
      <t>PO</t>
    </r>
    <r>
      <rPr>
        <b/>
        <vertAlign val="subscript"/>
        <sz val="11"/>
        <rFont val="Calibri"/>
        <family val="2"/>
      </rPr>
      <t>4</t>
    </r>
    <r>
      <rPr>
        <b/>
        <vertAlign val="superscript"/>
        <sz val="11"/>
        <rFont val="Calibri"/>
        <family val="2"/>
      </rPr>
      <t>-</t>
    </r>
    <r>
      <rPr>
        <b/>
        <sz val="11"/>
        <rFont val="Calibri"/>
        <family val="2"/>
      </rPr>
      <t>]</t>
    </r>
    <r>
      <rPr>
        <b/>
        <vertAlign val="subscript"/>
        <sz val="11"/>
        <rFont val="Calibri"/>
        <family val="2"/>
      </rPr>
      <t>field</t>
    </r>
  </si>
  <si>
    <r>
      <t>[HPO</t>
    </r>
    <r>
      <rPr>
        <vertAlign val="subscript"/>
        <sz val="11"/>
        <rFont val="Calibri"/>
        <family val="2"/>
      </rPr>
      <t>4</t>
    </r>
    <r>
      <rPr>
        <vertAlign val="superscript"/>
        <sz val="11"/>
        <rFont val="Calibri"/>
        <family val="2"/>
      </rPr>
      <t>2-</t>
    </r>
    <r>
      <rPr>
        <sz val="11"/>
        <rFont val="Calibri"/>
        <family val="2"/>
      </rPr>
      <t>]</t>
    </r>
  </si>
  <si>
    <r>
      <t>[HPO</t>
    </r>
    <r>
      <rPr>
        <b/>
        <vertAlign val="subscript"/>
        <sz val="11"/>
        <rFont val="Calibri"/>
        <family val="2"/>
      </rPr>
      <t>4</t>
    </r>
    <r>
      <rPr>
        <b/>
        <vertAlign val="superscript"/>
        <sz val="11"/>
        <rFont val="Calibri"/>
        <family val="2"/>
      </rPr>
      <t>2-</t>
    </r>
    <r>
      <rPr>
        <b/>
        <sz val="11"/>
        <rFont val="Calibri"/>
        <family val="2"/>
      </rPr>
      <t>]</t>
    </r>
    <r>
      <rPr>
        <b/>
        <vertAlign val="subscript"/>
        <sz val="11"/>
        <rFont val="Calibri"/>
        <family val="2"/>
      </rPr>
      <t>field</t>
    </r>
  </si>
  <si>
    <r>
      <t>[PO</t>
    </r>
    <r>
      <rPr>
        <vertAlign val="subscript"/>
        <sz val="11"/>
        <rFont val="Calibri"/>
        <family val="2"/>
      </rPr>
      <t>4</t>
    </r>
    <r>
      <rPr>
        <vertAlign val="superscript"/>
        <sz val="11"/>
        <rFont val="Calibri"/>
        <family val="2"/>
      </rPr>
      <t>3-</t>
    </r>
    <r>
      <rPr>
        <sz val="11"/>
        <rFont val="Calibri"/>
        <family val="2"/>
      </rPr>
      <t>]</t>
    </r>
  </si>
  <si>
    <r>
      <t>[PO</t>
    </r>
    <r>
      <rPr>
        <b/>
        <vertAlign val="subscript"/>
        <sz val="11"/>
        <rFont val="Calibri"/>
        <family val="2"/>
      </rPr>
      <t>4</t>
    </r>
    <r>
      <rPr>
        <b/>
        <vertAlign val="superscript"/>
        <sz val="11"/>
        <rFont val="Calibri"/>
        <family val="2"/>
      </rPr>
      <t>3-</t>
    </r>
    <r>
      <rPr>
        <b/>
        <sz val="11"/>
        <rFont val="Calibri"/>
        <family val="2"/>
      </rPr>
      <t>]</t>
    </r>
    <r>
      <rPr>
        <b/>
        <vertAlign val="subscript"/>
        <sz val="11"/>
        <rFont val="Calibri"/>
        <family val="2"/>
      </rPr>
      <t>field</t>
    </r>
  </si>
  <si>
    <r>
      <t>[HAc]</t>
    </r>
    <r>
      <rPr>
        <b/>
        <vertAlign val="subscript"/>
        <sz val="11"/>
        <rFont val="Calibri"/>
        <family val="2"/>
      </rPr>
      <t>field</t>
    </r>
  </si>
  <si>
    <r>
      <t>[Ac</t>
    </r>
    <r>
      <rPr>
        <vertAlign val="superscript"/>
        <sz val="11"/>
        <rFont val="Calibri"/>
        <family val="2"/>
      </rPr>
      <t>-</t>
    </r>
    <r>
      <rPr>
        <sz val="11"/>
        <rFont val="Calibri"/>
        <family val="2"/>
      </rPr>
      <t>]</t>
    </r>
  </si>
  <si>
    <r>
      <t>[Ac</t>
    </r>
    <r>
      <rPr>
        <b/>
        <vertAlign val="superscript"/>
        <sz val="11"/>
        <rFont val="Calibri"/>
        <family val="2"/>
      </rPr>
      <t>-</t>
    </r>
    <r>
      <rPr>
        <b/>
        <sz val="11"/>
        <rFont val="Calibri"/>
        <family val="2"/>
      </rPr>
      <t>]</t>
    </r>
    <r>
      <rPr>
        <b/>
        <vertAlign val="subscript"/>
        <sz val="11"/>
        <rFont val="Calibri"/>
        <family val="2"/>
      </rPr>
      <t>field</t>
    </r>
  </si>
  <si>
    <r>
      <t>[Ca</t>
    </r>
    <r>
      <rPr>
        <vertAlign val="superscript"/>
        <sz val="11"/>
        <rFont val="Calibri"/>
        <family val="2"/>
      </rPr>
      <t>2+</t>
    </r>
    <r>
      <rPr>
        <sz val="11"/>
        <rFont val="Calibri"/>
        <family val="2"/>
      </rPr>
      <t>]</t>
    </r>
  </si>
  <si>
    <r>
      <t>[Ca</t>
    </r>
    <r>
      <rPr>
        <b/>
        <vertAlign val="superscript"/>
        <sz val="11"/>
        <rFont val="Calibri"/>
        <family val="2"/>
      </rPr>
      <t>2+</t>
    </r>
    <r>
      <rPr>
        <b/>
        <sz val="11"/>
        <rFont val="Calibri"/>
        <family val="2"/>
      </rPr>
      <t>]</t>
    </r>
    <r>
      <rPr>
        <b/>
        <vertAlign val="subscript"/>
        <sz val="11"/>
        <rFont val="Calibri"/>
        <family val="2"/>
      </rPr>
      <t>field</t>
    </r>
  </si>
  <si>
    <r>
      <t>[Mg</t>
    </r>
    <r>
      <rPr>
        <vertAlign val="superscript"/>
        <sz val="11"/>
        <rFont val="Calibri"/>
        <family val="2"/>
      </rPr>
      <t>2+</t>
    </r>
    <r>
      <rPr>
        <sz val="11"/>
        <rFont val="Calibri"/>
        <family val="2"/>
      </rPr>
      <t>]</t>
    </r>
  </si>
  <si>
    <r>
      <t>[Mg</t>
    </r>
    <r>
      <rPr>
        <b/>
        <vertAlign val="superscript"/>
        <sz val="11"/>
        <rFont val="Calibri"/>
        <family val="2"/>
      </rPr>
      <t>2+</t>
    </r>
    <r>
      <rPr>
        <b/>
        <sz val="11"/>
        <rFont val="Calibri"/>
        <family val="2"/>
      </rPr>
      <t>]</t>
    </r>
    <r>
      <rPr>
        <b/>
        <vertAlign val="subscript"/>
        <sz val="11"/>
        <rFont val="Calibri"/>
        <family val="2"/>
      </rPr>
      <t>field</t>
    </r>
  </si>
  <si>
    <r>
      <t>[CAT</t>
    </r>
    <r>
      <rPr>
        <vertAlign val="superscript"/>
        <sz val="11"/>
        <rFont val="Calibri"/>
        <family val="2"/>
      </rPr>
      <t>+</t>
    </r>
    <r>
      <rPr>
        <sz val="11"/>
        <rFont val="Calibri"/>
        <family val="2"/>
      </rPr>
      <t>]</t>
    </r>
  </si>
  <si>
    <r>
      <t>[CAT</t>
    </r>
    <r>
      <rPr>
        <b/>
        <vertAlign val="superscript"/>
        <sz val="11"/>
        <rFont val="Calibri"/>
        <family val="2"/>
      </rPr>
      <t>+</t>
    </r>
    <r>
      <rPr>
        <b/>
        <sz val="11"/>
        <rFont val="Calibri"/>
        <family val="2"/>
      </rPr>
      <t>]</t>
    </r>
    <r>
      <rPr>
        <b/>
        <vertAlign val="subscript"/>
        <sz val="11"/>
        <rFont val="Calibri"/>
        <family val="2"/>
      </rPr>
      <t>field</t>
    </r>
  </si>
  <si>
    <r>
      <t>[K</t>
    </r>
    <r>
      <rPr>
        <vertAlign val="superscript"/>
        <sz val="11"/>
        <rFont val="Calibri"/>
        <family val="2"/>
      </rPr>
      <t>+</t>
    </r>
    <r>
      <rPr>
        <sz val="11"/>
        <rFont val="Calibri"/>
        <family val="2"/>
      </rPr>
      <t>]</t>
    </r>
  </si>
  <si>
    <r>
      <t>[K</t>
    </r>
    <r>
      <rPr>
        <b/>
        <vertAlign val="superscript"/>
        <sz val="11"/>
        <rFont val="Calibri"/>
        <family val="2"/>
      </rPr>
      <t>+</t>
    </r>
    <r>
      <rPr>
        <b/>
        <sz val="11"/>
        <rFont val="Calibri"/>
        <family val="2"/>
      </rPr>
      <t>]</t>
    </r>
    <r>
      <rPr>
        <b/>
        <vertAlign val="subscript"/>
        <sz val="11"/>
        <rFont val="Calibri"/>
        <family val="2"/>
      </rPr>
      <t>field</t>
    </r>
  </si>
  <si>
    <r>
      <t>[AN</t>
    </r>
    <r>
      <rPr>
        <vertAlign val="superscript"/>
        <sz val="11"/>
        <rFont val="Calibri"/>
        <family val="2"/>
      </rPr>
      <t>-</t>
    </r>
    <r>
      <rPr>
        <sz val="11"/>
        <rFont val="Calibri"/>
        <family val="2"/>
      </rPr>
      <t>]</t>
    </r>
  </si>
  <si>
    <r>
      <t>[AN</t>
    </r>
    <r>
      <rPr>
        <b/>
        <vertAlign val="superscript"/>
        <sz val="11"/>
        <rFont val="Calibri"/>
        <family val="2"/>
      </rPr>
      <t>-</t>
    </r>
    <r>
      <rPr>
        <b/>
        <sz val="11"/>
        <rFont val="Calibri"/>
        <family val="2"/>
      </rPr>
      <t>]</t>
    </r>
    <r>
      <rPr>
        <b/>
        <vertAlign val="subscript"/>
        <sz val="11"/>
        <rFont val="Calibri"/>
        <family val="2"/>
      </rPr>
      <t>field</t>
    </r>
  </si>
  <si>
    <r>
      <t>[Fe</t>
    </r>
    <r>
      <rPr>
        <vertAlign val="superscript"/>
        <sz val="11"/>
        <rFont val="Calibri"/>
        <family val="2"/>
      </rPr>
      <t>2+</t>
    </r>
    <r>
      <rPr>
        <sz val="11"/>
        <rFont val="Calibri"/>
        <family val="2"/>
      </rPr>
      <t>]</t>
    </r>
  </si>
  <si>
    <r>
      <t>[Fe</t>
    </r>
    <r>
      <rPr>
        <b/>
        <vertAlign val="superscript"/>
        <sz val="11"/>
        <rFont val="Calibri"/>
        <family val="2"/>
      </rPr>
      <t>2+</t>
    </r>
    <r>
      <rPr>
        <b/>
        <sz val="11"/>
        <rFont val="Calibri"/>
        <family val="2"/>
      </rPr>
      <t>]</t>
    </r>
    <r>
      <rPr>
        <b/>
        <vertAlign val="subscript"/>
        <sz val="11"/>
        <rFont val="Calibri"/>
        <family val="2"/>
      </rPr>
      <t>field</t>
    </r>
  </si>
  <si>
    <t>Gas transfer rates for pH-dependent gases</t>
  </si>
  <si>
    <r>
      <t>S</t>
    </r>
    <r>
      <rPr>
        <vertAlign val="subscript"/>
        <sz val="11"/>
        <rFont val="Calibri"/>
        <family val="2"/>
        <scheme val="minor"/>
      </rPr>
      <t>HNO2</t>
    </r>
  </si>
  <si>
    <r>
      <t>[HNO</t>
    </r>
    <r>
      <rPr>
        <vertAlign val="subscript"/>
        <sz val="11"/>
        <rFont val="Calibri"/>
        <family val="2"/>
      </rPr>
      <t>2</t>
    </r>
    <r>
      <rPr>
        <sz val="11"/>
        <rFont val="Calibri"/>
        <family val="2"/>
      </rPr>
      <t>]*AM</t>
    </r>
    <r>
      <rPr>
        <vertAlign val="subscript"/>
        <sz val="11"/>
        <rFont val="Calibri"/>
        <family val="2"/>
      </rPr>
      <t>N</t>
    </r>
    <r>
      <rPr>
        <sz val="11"/>
        <rFont val="Calibri"/>
        <family val="2"/>
      </rPr>
      <t>*1000</t>
    </r>
  </si>
  <si>
    <r>
      <t>S</t>
    </r>
    <r>
      <rPr>
        <vertAlign val="subscript"/>
        <sz val="11"/>
        <rFont val="Calibri"/>
        <family val="2"/>
        <scheme val="minor"/>
      </rPr>
      <t>NH3</t>
    </r>
  </si>
  <si>
    <r>
      <t>[NH</t>
    </r>
    <r>
      <rPr>
        <vertAlign val="subscript"/>
        <sz val="11"/>
        <rFont val="Calibri"/>
        <family val="2"/>
      </rPr>
      <t>3</t>
    </r>
    <r>
      <rPr>
        <sz val="11"/>
        <rFont val="Calibri"/>
        <family val="2"/>
      </rPr>
      <t>]*AM</t>
    </r>
    <r>
      <rPr>
        <vertAlign val="subscript"/>
        <sz val="11"/>
        <rFont val="Calibri"/>
        <family val="2"/>
      </rPr>
      <t>N</t>
    </r>
    <r>
      <rPr>
        <sz val="11"/>
        <rFont val="Calibri"/>
        <family val="2"/>
      </rPr>
      <t>*1000</t>
    </r>
  </si>
  <si>
    <r>
      <t>f(S</t>
    </r>
    <r>
      <rPr>
        <vertAlign val="subscript"/>
        <sz val="11"/>
        <rFont val="Calibri"/>
        <family val="2"/>
        <scheme val="minor"/>
      </rPr>
      <t>NO2</t>
    </r>
    <r>
      <rPr>
        <sz val="11"/>
        <rFont val="Calibri"/>
        <family val="2"/>
        <scheme val="minor"/>
      </rPr>
      <t>)</t>
    </r>
  </si>
  <si>
    <r>
      <t>f(S</t>
    </r>
    <r>
      <rPr>
        <vertAlign val="subscript"/>
        <sz val="11"/>
        <rFont val="Calibri"/>
        <family val="2"/>
        <scheme val="minor"/>
      </rPr>
      <t>NHx</t>
    </r>
    <r>
      <rPr>
        <sz val="11"/>
        <rFont val="Calibri"/>
        <family val="2"/>
        <scheme val="minor"/>
      </rPr>
      <t>)</t>
    </r>
  </si>
  <si>
    <r>
      <t>k</t>
    </r>
    <r>
      <rPr>
        <vertAlign val="subscript"/>
        <sz val="11"/>
        <rFont val="Calibri"/>
        <family val="2"/>
        <scheme val="minor"/>
      </rPr>
      <t>L,GN2O,bub</t>
    </r>
  </si>
  <si>
    <r>
      <t>Mass transfer coefficient of N</t>
    </r>
    <r>
      <rPr>
        <vertAlign val="subscript"/>
        <sz val="11"/>
        <rFont val="Calibri"/>
        <family val="2"/>
        <scheme val="minor"/>
      </rPr>
      <t>2</t>
    </r>
    <r>
      <rPr>
        <sz val="11"/>
        <rFont val="Calibri"/>
        <family val="2"/>
        <scheme val="minor"/>
      </rPr>
      <t>O for gas bubbles</t>
    </r>
  </si>
  <si>
    <r>
      <t>f</t>
    </r>
    <r>
      <rPr>
        <vertAlign val="subscript"/>
        <sz val="11"/>
        <rFont val="Calibri"/>
        <family val="2"/>
        <scheme val="minor"/>
      </rPr>
      <t>kL,GN2O</t>
    </r>
    <r>
      <rPr>
        <sz val="11"/>
        <rFont val="Calibri"/>
        <family val="2"/>
        <scheme val="minor"/>
      </rPr>
      <t>*(D</t>
    </r>
    <r>
      <rPr>
        <vertAlign val="subscript"/>
        <sz val="11"/>
        <rFont val="Calibri"/>
        <family val="2"/>
        <charset val="238"/>
        <scheme val="minor"/>
      </rPr>
      <t>G</t>
    </r>
    <r>
      <rPr>
        <vertAlign val="subscript"/>
        <sz val="11"/>
        <rFont val="Calibri"/>
        <family val="2"/>
        <scheme val="minor"/>
      </rPr>
      <t>N2O,25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</si>
  <si>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L,GNO,bub</t>
    </r>
  </si>
  <si>
    <t>Mass transfer coefficient of NO for gas bubbles</t>
  </si>
  <si>
    <r>
      <t>f</t>
    </r>
    <r>
      <rPr>
        <vertAlign val="subscript"/>
        <sz val="11"/>
        <rFont val="Calibri"/>
        <family val="2"/>
        <scheme val="minor"/>
      </rPr>
      <t>kL,GNO</t>
    </r>
    <r>
      <rPr>
        <sz val="11"/>
        <rFont val="Calibri"/>
        <family val="2"/>
        <scheme val="minor"/>
      </rPr>
      <t>*(D</t>
    </r>
    <r>
      <rPr>
        <vertAlign val="subscript"/>
        <sz val="11"/>
        <rFont val="Calibri"/>
        <family val="2"/>
        <charset val="238"/>
        <scheme val="minor"/>
      </rPr>
      <t>G</t>
    </r>
    <r>
      <rPr>
        <vertAlign val="subscript"/>
        <sz val="11"/>
        <rFont val="Calibri"/>
        <family val="2"/>
        <scheme val="minor"/>
      </rPr>
      <t>NO,25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L,GO2,bub</t>
    </r>
  </si>
  <si>
    <r>
      <t>k</t>
    </r>
    <r>
      <rPr>
        <vertAlign val="subscript"/>
        <sz val="11"/>
        <rFont val="Calibri"/>
        <family val="2"/>
        <scheme val="minor"/>
      </rPr>
      <t>L,GN2O,sur</t>
    </r>
  </si>
  <si>
    <r>
      <t>Mass transfer coefficient of N</t>
    </r>
    <r>
      <rPr>
        <vertAlign val="subscript"/>
        <sz val="11"/>
        <rFont val="Calibri"/>
        <family val="2"/>
        <scheme val="minor"/>
      </rPr>
      <t>2</t>
    </r>
    <r>
      <rPr>
        <sz val="11"/>
        <rFont val="Calibri"/>
        <family val="2"/>
        <scheme val="minor"/>
      </rPr>
      <t>O at liquid surface</t>
    </r>
  </si>
  <si>
    <r>
      <t>f</t>
    </r>
    <r>
      <rPr>
        <vertAlign val="subscript"/>
        <sz val="11"/>
        <rFont val="Calibri"/>
        <family val="2"/>
        <scheme val="minor"/>
      </rPr>
      <t>kL,GN2O</t>
    </r>
    <r>
      <rPr>
        <sz val="11"/>
        <rFont val="Calibri"/>
        <family val="2"/>
        <scheme val="minor"/>
      </rPr>
      <t>*(D</t>
    </r>
    <r>
      <rPr>
        <vertAlign val="subscript"/>
        <sz val="11"/>
        <rFont val="Calibri"/>
        <family val="2"/>
        <charset val="238"/>
        <scheme val="minor"/>
      </rPr>
      <t>G</t>
    </r>
    <r>
      <rPr>
        <vertAlign val="subscript"/>
        <sz val="11"/>
        <rFont val="Calibri"/>
        <family val="2"/>
        <scheme val="minor"/>
      </rPr>
      <t>N2O,25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</si>
  <si>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r>
      <t>k</t>
    </r>
    <r>
      <rPr>
        <vertAlign val="subscript"/>
        <sz val="11"/>
        <rFont val="Calibri"/>
        <family val="2"/>
        <scheme val="minor"/>
      </rPr>
      <t>L,GNO,sur</t>
    </r>
  </si>
  <si>
    <t>Mass transfer coefficient of NO at liquid surface</t>
  </si>
  <si>
    <r>
      <t>f</t>
    </r>
    <r>
      <rPr>
        <vertAlign val="subscript"/>
        <sz val="11"/>
        <rFont val="Calibri"/>
        <family val="2"/>
        <scheme val="minor"/>
      </rPr>
      <t>kL,GNO</t>
    </r>
    <r>
      <rPr>
        <sz val="11"/>
        <rFont val="Calibri"/>
        <family val="2"/>
        <scheme val="minor"/>
      </rPr>
      <t>*(D</t>
    </r>
    <r>
      <rPr>
        <vertAlign val="subscript"/>
        <sz val="11"/>
        <rFont val="Calibri"/>
        <family val="2"/>
        <charset val="238"/>
        <scheme val="minor"/>
      </rPr>
      <t>G</t>
    </r>
    <r>
      <rPr>
        <vertAlign val="subscript"/>
        <sz val="11"/>
        <rFont val="Calibri"/>
        <family val="2"/>
        <scheme val="minor"/>
      </rPr>
      <t>NO,25</t>
    </r>
    <r>
      <rPr>
        <sz val="11"/>
        <rFont val="Calibri"/>
        <family val="2"/>
        <scheme val="minor"/>
      </rPr>
      <t>/D</t>
    </r>
    <r>
      <rPr>
        <vertAlign val="subscript"/>
        <sz val="11"/>
        <rFont val="Calibri"/>
        <family val="2"/>
        <charset val="238"/>
        <scheme val="minor"/>
      </rPr>
      <t>G</t>
    </r>
    <r>
      <rPr>
        <vertAlign val="subscript"/>
        <sz val="11"/>
        <rFont val="Calibri"/>
        <family val="2"/>
        <scheme val="minor"/>
      </rPr>
      <t>O2,25</t>
    </r>
    <r>
      <rPr>
        <sz val="11"/>
        <rFont val="Calibri"/>
        <family val="2"/>
        <scheme val="minor"/>
      </rPr>
      <t>)^0.5*k</t>
    </r>
    <r>
      <rPr>
        <vertAlign val="subscript"/>
        <sz val="11"/>
        <rFont val="Calibri"/>
        <family val="2"/>
        <scheme val="minor"/>
      </rPr>
      <t>L,GO2,sur</t>
    </r>
  </si>
  <si>
    <t>Non-Precipitation; Digester</t>
  </si>
  <si>
    <t>Non-Precipitation; Non-Digester</t>
  </si>
  <si>
    <t>Non-Sidestream</t>
  </si>
  <si>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t>
    </r>
    <r>
      <rPr>
        <sz val="11"/>
        <rFont val="Calibri"/>
        <family val="2"/>
        <scheme val="minor"/>
      </rPr>
      <t>;pH</t>
    </r>
    <r>
      <rPr>
        <vertAlign val="subscript"/>
        <sz val="11"/>
        <rFont val="Calibri"/>
        <family val="2"/>
        <scheme val="minor"/>
      </rPr>
      <t>high</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</si>
  <si>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low,AOB</t>
    </r>
    <r>
      <rPr>
        <sz val="11"/>
        <rFont val="Calibri"/>
        <family val="2"/>
        <scheme val="minor"/>
      </rPr>
      <t>;pH</t>
    </r>
    <r>
      <rPr>
        <vertAlign val="subscript"/>
        <sz val="11"/>
        <rFont val="Calibri"/>
        <family val="2"/>
        <scheme val="minor"/>
      </rPr>
      <t>high,AOB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</si>
  <si>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low,NOB</t>
    </r>
    <r>
      <rPr>
        <sz val="11"/>
        <rFont val="Calibri"/>
        <family val="2"/>
        <scheme val="minor"/>
      </rPr>
      <t>;pH</t>
    </r>
    <r>
      <rPr>
        <vertAlign val="subscript"/>
        <sz val="11"/>
        <rFont val="Calibri"/>
        <family val="2"/>
        <scheme val="minor"/>
      </rPr>
      <t>high,NOB</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</si>
  <si>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low,AMETO</t>
    </r>
    <r>
      <rPr>
        <sz val="11"/>
        <rFont val="Calibri"/>
        <family val="2"/>
        <scheme val="minor"/>
      </rPr>
      <t>;pH</t>
    </r>
    <r>
      <rPr>
        <vertAlign val="subscript"/>
        <sz val="11"/>
        <rFont val="Calibri"/>
        <family val="2"/>
        <scheme val="minor"/>
      </rPr>
      <t>high,AMETO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</si>
  <si>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low,HMETO</t>
    </r>
    <r>
      <rPr>
        <sz val="11"/>
        <rFont val="Calibri"/>
        <family val="2"/>
        <scheme val="minor"/>
      </rPr>
      <t>;pH</t>
    </r>
    <r>
      <rPr>
        <vertAlign val="subscript"/>
        <sz val="11"/>
        <rFont val="Calibri"/>
        <family val="2"/>
        <scheme val="minor"/>
      </rPr>
      <t>high,HMETO</t>
    </r>
    <r>
      <rPr>
        <sz val="11"/>
        <rFont val="Calibri"/>
        <family val="2"/>
        <scheme val="minor"/>
      </rPr>
      <t>)</t>
    </r>
  </si>
  <si>
    <r>
      <t>µ</t>
    </r>
    <r>
      <rPr>
        <vertAlign val="subscript"/>
        <sz val="11"/>
        <rFont val="Calibri"/>
        <family val="2"/>
      </rPr>
      <t>NOB,T</t>
    </r>
    <r>
      <rPr>
        <sz val="11"/>
        <rFont val="Calibri"/>
        <family val="2"/>
      </rPr>
      <t>*X</t>
    </r>
    <r>
      <rPr>
        <vertAlign val="subscript"/>
        <sz val="11"/>
        <rFont val="Calibri"/>
        <family val="2"/>
      </rPr>
      <t>NOB</t>
    </r>
    <r>
      <rPr>
        <sz val="11"/>
        <rFont val="Calibri"/>
        <family val="2"/>
      </rPr>
      <t>*Minh</t>
    </r>
    <r>
      <rPr>
        <vertAlign val="subscript"/>
        <sz val="11"/>
        <rFont val="Calibri"/>
        <family val="2"/>
      </rPr>
      <t>SNH2OH,KNH2OH,NOB</t>
    </r>
    <r>
      <rPr>
        <sz val="11"/>
        <rFont val="Calibri"/>
        <family val="2"/>
      </rPr>
      <t>*Msat</t>
    </r>
    <r>
      <rPr>
        <vertAlign val="subscript"/>
        <sz val="11"/>
        <rFont val="Calibri"/>
        <family val="2"/>
      </rPr>
      <t>SNO2,KNO2,NOB</t>
    </r>
    <r>
      <rPr>
        <sz val="11"/>
        <rFont val="Calibri"/>
        <family val="2"/>
      </rPr>
      <t>*LogsatpH</t>
    </r>
    <r>
      <rPr>
        <vertAlign val="subscript"/>
        <sz val="11"/>
        <rFont val="Calibri"/>
        <family val="2"/>
      </rPr>
      <t>CO2,NOB</t>
    </r>
    <r>
      <rPr>
        <sz val="11"/>
        <rFont val="Calibri"/>
        <family val="2"/>
      </rPr>
      <t>*Msat</t>
    </r>
    <r>
      <rPr>
        <vertAlign val="subscript"/>
        <sz val="11"/>
        <rFont val="Calibri"/>
        <family val="2"/>
      </rPr>
      <t>SO2,KO2,NOB</t>
    </r>
    <r>
      <rPr>
        <sz val="11"/>
        <rFont val="Calibri"/>
        <family val="2"/>
      </rPr>
      <t>*Msat</t>
    </r>
    <r>
      <rPr>
        <vertAlign val="subscript"/>
        <sz val="11"/>
        <rFont val="Calibri"/>
        <family val="2"/>
      </rPr>
      <t>SNHx,KNHx,BIO</t>
    </r>
    <r>
      <rPr>
        <sz val="11"/>
        <rFont val="Calibri"/>
        <family val="2"/>
      </rPr>
      <t>*Msat</t>
    </r>
    <r>
      <rPr>
        <vertAlign val="subscript"/>
        <sz val="11"/>
        <rFont val="Calibri"/>
        <family val="2"/>
      </rPr>
      <t>SPO4,KPO4,BIO</t>
    </r>
    <r>
      <rPr>
        <sz val="11"/>
        <rFont val="Calibri"/>
        <family val="2"/>
      </rPr>
      <t>*Msat</t>
    </r>
    <r>
      <rPr>
        <vertAlign val="subscript"/>
        <sz val="11"/>
        <rFont val="Calibri"/>
        <family val="2"/>
      </rPr>
      <t>SCAT,KCAT</t>
    </r>
    <r>
      <rPr>
        <sz val="11"/>
        <rFont val="Calibri"/>
        <family val="2"/>
      </rPr>
      <t>*Msat</t>
    </r>
    <r>
      <rPr>
        <vertAlign val="subscript"/>
        <sz val="11"/>
        <rFont val="Calibri"/>
        <family val="2"/>
      </rPr>
      <t>SAN,KAN</t>
    </r>
    <r>
      <rPr>
        <sz val="11"/>
        <rFont val="Calibri"/>
        <family val="2"/>
      </rPr>
      <t>*Msat</t>
    </r>
    <r>
      <rPr>
        <vertAlign val="subscript"/>
        <sz val="11"/>
        <rFont val="Calibri"/>
        <family val="2"/>
      </rPr>
      <t>SCa,KCa</t>
    </r>
    <r>
      <rPr>
        <sz val="11"/>
        <rFont val="Calibri"/>
        <family val="2"/>
      </rPr>
      <t>*Msat</t>
    </r>
    <r>
      <rPr>
        <vertAlign val="subscript"/>
        <sz val="11"/>
        <rFont val="Calibri"/>
        <family val="2"/>
      </rPr>
      <t>SMg,KMg</t>
    </r>
    <r>
      <rPr>
        <sz val="11"/>
        <rFont val="Calibri"/>
        <family val="2"/>
      </rPr>
      <t>*MinhpH</t>
    </r>
    <r>
      <rPr>
        <vertAlign val="subscript"/>
        <sz val="11"/>
        <rFont val="Calibri"/>
        <family val="2"/>
      </rPr>
      <t>NH3,NOB</t>
    </r>
    <r>
      <rPr>
        <sz val="11"/>
        <rFont val="Calibri"/>
        <family val="2"/>
      </rPr>
      <t>*Bellinh</t>
    </r>
    <r>
      <rPr>
        <vertAlign val="subscript"/>
        <sz val="11"/>
        <rFont val="Calibri"/>
        <family val="2"/>
      </rPr>
      <t>pH,NOB</t>
    </r>
  </si>
  <si>
    <t>Sumo24 updates</t>
  </si>
  <si>
    <t>Su et al (2019) (https://pubs.acs.org/doi/10.1021/acs.est.8b06193)</t>
  </si>
  <si>
    <r>
      <t>f(X</t>
    </r>
    <r>
      <rPr>
        <vertAlign val="subscript"/>
        <sz val="11"/>
        <rFont val="Calibri"/>
        <family val="2"/>
      </rPr>
      <t>N,U</t>
    </r>
    <r>
      <rPr>
        <sz val="11"/>
        <rFont val="Calibri"/>
        <family val="2"/>
      </rPr>
      <t>);f(X</t>
    </r>
    <r>
      <rPr>
        <vertAlign val="subscript"/>
        <sz val="11"/>
        <rFont val="Calibri"/>
        <family val="2"/>
      </rPr>
      <t>P,U</t>
    </r>
    <r>
      <rPr>
        <sz val="11"/>
        <rFont val="Calibri"/>
        <family val="2"/>
      </rPr>
      <t>)</t>
    </r>
  </si>
  <si>
    <r>
      <t>f(X</t>
    </r>
    <r>
      <rPr>
        <vertAlign val="subscript"/>
        <sz val="11"/>
        <rFont val="Calibri"/>
        <family val="2"/>
      </rPr>
      <t>INORG</t>
    </r>
    <r>
      <rPr>
        <sz val="11"/>
        <rFont val="Calibri"/>
        <family val="2"/>
      </rPr>
      <t>);f(S</t>
    </r>
    <r>
      <rPr>
        <vertAlign val="subscript"/>
        <sz val="11"/>
        <rFont val="Calibri"/>
        <family val="2"/>
        <charset val="238"/>
      </rPr>
      <t>Ca</t>
    </r>
    <r>
      <rPr>
        <sz val="11"/>
        <rFont val="Calibri"/>
        <family val="2"/>
      </rPr>
      <t>);f(S</t>
    </r>
    <r>
      <rPr>
        <vertAlign val="subscript"/>
        <sz val="11"/>
        <rFont val="Calibri"/>
        <family val="2"/>
        <charset val="238"/>
      </rPr>
      <t>Mg</t>
    </r>
    <r>
      <rPr>
        <sz val="11"/>
        <rFont val="Calibri"/>
        <family val="2"/>
      </rPr>
      <t>);f(S</t>
    </r>
    <r>
      <rPr>
        <vertAlign val="subscript"/>
        <sz val="11"/>
        <rFont val="Calibri"/>
        <family val="2"/>
        <charset val="238"/>
      </rPr>
      <t>CAT</t>
    </r>
    <r>
      <rPr>
        <sz val="11"/>
        <rFont val="Calibri"/>
        <family val="2"/>
      </rPr>
      <t>);f(S</t>
    </r>
    <r>
      <rPr>
        <vertAlign val="subscript"/>
        <sz val="11"/>
        <rFont val="Calibri"/>
        <family val="2"/>
        <charset val="238"/>
      </rPr>
      <t>AN</t>
    </r>
    <r>
      <rPr>
        <sz val="11"/>
        <rFont val="Calibri"/>
        <family val="2"/>
      </rPr>
      <t>)</t>
    </r>
  </si>
  <si>
    <r>
      <t>q</t>
    </r>
    <r>
      <rPr>
        <vertAlign val="subscript"/>
        <sz val="11"/>
        <rFont val="Calibri"/>
        <family val="2"/>
        <scheme val="minor"/>
      </rPr>
      <t>PFOA,SORP</t>
    </r>
  </si>
  <si>
    <t>Sorption rate of PFOA to solids</t>
  </si>
  <si>
    <t>to be calibrated (default from Wei et al., DOI: 10.1016/j.ecoenv.2017.03.040)</t>
  </si>
  <si>
    <r>
      <t>q</t>
    </r>
    <r>
      <rPr>
        <vertAlign val="subscript"/>
        <sz val="11"/>
        <rFont val="Calibri"/>
        <family val="2"/>
        <scheme val="minor"/>
      </rPr>
      <t>PFOS,SORP</t>
    </r>
  </si>
  <si>
    <t>Sorption rate of PFOS to solids</t>
  </si>
  <si>
    <r>
      <t>K</t>
    </r>
    <r>
      <rPr>
        <vertAlign val="subscript"/>
        <sz val="11"/>
        <rFont val="Calibri"/>
        <family val="2"/>
        <scheme val="minor"/>
      </rPr>
      <t>OC,PFOA,EQ</t>
    </r>
  </si>
  <si>
    <t>PFOA organic carbon/water equilibrium distribution coefficient</t>
  </si>
  <si>
    <r>
      <t>L.kg</t>
    </r>
    <r>
      <rPr>
        <vertAlign val="superscript"/>
        <sz val="11"/>
        <rFont val="Calibri"/>
        <family val="2"/>
        <scheme val="minor"/>
      </rPr>
      <t>-1</t>
    </r>
  </si>
  <si>
    <r>
      <t>global average log K</t>
    </r>
    <r>
      <rPr>
        <vertAlign val="subscript"/>
        <sz val="11"/>
        <rFont val="Calibri"/>
        <family val="2"/>
        <charset val="238"/>
        <scheme val="minor"/>
      </rPr>
      <t>OC</t>
    </r>
    <r>
      <rPr>
        <sz val="11"/>
        <rFont val="Calibri"/>
        <family val="2"/>
        <scheme val="minor"/>
      </rPr>
      <t xml:space="preserve"> around 3.7 for sewage sludge (Zareitalabad et al., DOI: 10.1016/j.chemosphere.2013.02.024)</t>
    </r>
  </si>
  <si>
    <r>
      <t>K</t>
    </r>
    <r>
      <rPr>
        <vertAlign val="subscript"/>
        <sz val="11"/>
        <rFont val="Calibri"/>
        <family val="2"/>
        <scheme val="minor"/>
      </rPr>
      <t>OC,PFOS,EQ</t>
    </r>
  </si>
  <si>
    <t>PFOS organic carbon/water equilibrium distribution coefficient</t>
  </si>
  <si>
    <r>
      <t>global average log K</t>
    </r>
    <r>
      <rPr>
        <vertAlign val="subscript"/>
        <sz val="11"/>
        <rFont val="Calibri"/>
        <family val="2"/>
        <charset val="238"/>
        <scheme val="minor"/>
      </rPr>
      <t>OC</t>
    </r>
    <r>
      <rPr>
        <sz val="11"/>
        <rFont val="Calibri"/>
        <family val="2"/>
        <scheme val="minor"/>
      </rPr>
      <t xml:space="preserve"> around 4.3 for sewage sludge (Zareitalabad et al., DOI: 10.1016/j.chemosphere.2013.02.024)</t>
    </r>
  </si>
  <si>
    <r>
      <t>S</t>
    </r>
    <r>
      <rPr>
        <b/>
        <vertAlign val="subscript"/>
        <sz val="11"/>
        <rFont val="Calibri"/>
        <family val="2"/>
      </rPr>
      <t>PFOA</t>
    </r>
  </si>
  <si>
    <t>Dissolved Perfluorooctanoic Acid (PFOA)</t>
  </si>
  <si>
    <r>
      <t>g PFAS.m</t>
    </r>
    <r>
      <rPr>
        <vertAlign val="superscript"/>
        <sz val="11"/>
        <color theme="1"/>
        <rFont val="Calibri"/>
        <family val="2"/>
        <charset val="238"/>
        <scheme val="minor"/>
      </rPr>
      <t>-3</t>
    </r>
  </si>
  <si>
    <t>PFAS</t>
  </si>
  <si>
    <r>
      <t>X</t>
    </r>
    <r>
      <rPr>
        <b/>
        <vertAlign val="subscript"/>
        <sz val="11"/>
        <rFont val="Calibri"/>
        <family val="2"/>
      </rPr>
      <t>PFOA</t>
    </r>
  </si>
  <si>
    <t>Adsorbed Perfluorooctanoic Acid (PFOA)</t>
  </si>
  <si>
    <r>
      <t>S</t>
    </r>
    <r>
      <rPr>
        <b/>
        <vertAlign val="subscript"/>
        <sz val="11"/>
        <rFont val="Calibri"/>
        <family val="2"/>
      </rPr>
      <t>PFOS</t>
    </r>
  </si>
  <si>
    <t>Dissolved Perfluorooctyl Sulfonate (PFOS)</t>
  </si>
  <si>
    <r>
      <t>X</t>
    </r>
    <r>
      <rPr>
        <b/>
        <vertAlign val="subscript"/>
        <sz val="11"/>
        <rFont val="Calibri"/>
        <family val="2"/>
      </rPr>
      <t>PFOS</t>
    </r>
  </si>
  <si>
    <t>Adsorbed Perfluorooctyl Sulfonate (PFOS)</t>
  </si>
  <si>
    <r>
      <t>T</t>
    </r>
    <r>
      <rPr>
        <vertAlign val="subscript"/>
        <sz val="11"/>
        <rFont val="Calibri"/>
        <family val="2"/>
      </rPr>
      <t>PFOA</t>
    </r>
  </si>
  <si>
    <t>Total PFOA</t>
  </si>
  <si>
    <r>
      <t>S</t>
    </r>
    <r>
      <rPr>
        <vertAlign val="subscript"/>
        <sz val="11"/>
        <rFont val="Calibri"/>
        <family val="2"/>
        <scheme val="minor"/>
      </rPr>
      <t>PFOA</t>
    </r>
    <r>
      <rPr>
        <sz val="11"/>
        <rFont val="Calibri"/>
        <family val="2"/>
        <scheme val="minor"/>
      </rPr>
      <t xml:space="preserve"> + X</t>
    </r>
    <r>
      <rPr>
        <vertAlign val="subscript"/>
        <sz val="11"/>
        <rFont val="Calibri"/>
        <family val="2"/>
        <scheme val="minor"/>
      </rPr>
      <t>PFOA</t>
    </r>
  </si>
  <si>
    <r>
      <t>g PFAS.m</t>
    </r>
    <r>
      <rPr>
        <vertAlign val="superscript"/>
        <sz val="11"/>
        <rFont val="Calibri"/>
        <family val="2"/>
        <scheme val="minor"/>
      </rPr>
      <t>-3</t>
    </r>
  </si>
  <si>
    <r>
      <t>T</t>
    </r>
    <r>
      <rPr>
        <vertAlign val="subscript"/>
        <sz val="11"/>
        <rFont val="Calibri"/>
        <family val="2"/>
      </rPr>
      <t>PFOS</t>
    </r>
  </si>
  <si>
    <t>Total PFOS</t>
  </si>
  <si>
    <r>
      <t>S</t>
    </r>
    <r>
      <rPr>
        <vertAlign val="subscript"/>
        <sz val="11"/>
        <rFont val="Calibri"/>
        <family val="2"/>
        <scheme val="minor"/>
      </rPr>
      <t>PFOS</t>
    </r>
    <r>
      <rPr>
        <sz val="11"/>
        <rFont val="Calibri"/>
        <family val="2"/>
        <scheme val="minor"/>
      </rPr>
      <t xml:space="preserve"> + X</t>
    </r>
    <r>
      <rPr>
        <vertAlign val="subscript"/>
        <sz val="11"/>
        <rFont val="Calibri"/>
        <family val="2"/>
        <scheme val="minor"/>
      </rPr>
      <t>PFOS</t>
    </r>
  </si>
  <si>
    <t>PFOA sorption</t>
  </si>
  <si>
    <r>
      <t>q</t>
    </r>
    <r>
      <rPr>
        <vertAlign val="subscript"/>
        <sz val="11"/>
        <rFont val="Calibri"/>
        <family val="2"/>
      </rPr>
      <t>PFOA,SORP</t>
    </r>
    <r>
      <rPr>
        <sz val="11"/>
        <rFont val="Calibri"/>
        <family val="2"/>
      </rPr>
      <t>*</t>
    </r>
    <r>
      <rPr>
        <sz val="11"/>
        <rFont val="Calibri"/>
        <family val="2"/>
        <charset val="238"/>
      </rPr>
      <t>(S</t>
    </r>
    <r>
      <rPr>
        <vertAlign val="subscript"/>
        <sz val="11"/>
        <rFont val="Calibri"/>
        <family val="2"/>
        <charset val="238"/>
      </rPr>
      <t>PFOA</t>
    </r>
    <r>
      <rPr>
        <sz val="11"/>
        <rFont val="Calibri"/>
        <family val="2"/>
        <charset val="238"/>
      </rPr>
      <t xml:space="preserve"> - (X</t>
    </r>
    <r>
      <rPr>
        <vertAlign val="subscript"/>
        <sz val="11"/>
        <rFont val="Calibri"/>
        <family val="2"/>
        <charset val="238"/>
      </rPr>
      <t>PFOA</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OC,PFOA,EQ</t>
    </r>
    <r>
      <rPr>
        <sz val="11"/>
        <rFont val="Calibri"/>
        <family val="2"/>
        <charset val="238"/>
      </rPr>
      <t>)</t>
    </r>
  </si>
  <si>
    <t>PFOS sorption</t>
  </si>
  <si>
    <r>
      <t>q</t>
    </r>
    <r>
      <rPr>
        <vertAlign val="subscript"/>
        <sz val="11"/>
        <rFont val="Calibri"/>
        <family val="2"/>
      </rPr>
      <t>PFOS,SORP</t>
    </r>
    <r>
      <rPr>
        <sz val="11"/>
        <rFont val="Calibri"/>
        <family val="2"/>
      </rPr>
      <t>*</t>
    </r>
    <r>
      <rPr>
        <sz val="11"/>
        <rFont val="Calibri"/>
        <family val="2"/>
        <charset val="238"/>
      </rPr>
      <t>(S</t>
    </r>
    <r>
      <rPr>
        <vertAlign val="subscript"/>
        <sz val="11"/>
        <rFont val="Calibri"/>
        <family val="2"/>
        <charset val="238"/>
      </rPr>
      <t>PFOS</t>
    </r>
    <r>
      <rPr>
        <sz val="11"/>
        <rFont val="Calibri"/>
        <family val="2"/>
        <charset val="238"/>
      </rPr>
      <t xml:space="preserve"> - (X</t>
    </r>
    <r>
      <rPr>
        <vertAlign val="subscript"/>
        <sz val="11"/>
        <rFont val="Calibri"/>
        <family val="2"/>
        <charset val="238"/>
      </rPr>
      <t>PFOS</t>
    </r>
    <r>
      <rPr>
        <sz val="11"/>
        <rFont val="Calibri"/>
        <family val="2"/>
        <charset val="238"/>
      </rPr>
      <t>/X</t>
    </r>
    <r>
      <rPr>
        <vertAlign val="subscript"/>
        <sz val="11"/>
        <rFont val="Calibri"/>
        <family val="2"/>
        <charset val="238"/>
      </rPr>
      <t>VSS</t>
    </r>
    <r>
      <rPr>
        <sz val="11"/>
        <rFont val="Calibri"/>
        <family val="2"/>
        <charset val="238"/>
      </rPr>
      <t>)*(c</t>
    </r>
    <r>
      <rPr>
        <vertAlign val="subscript"/>
        <sz val="11"/>
        <rFont val="Calibri"/>
        <family val="2"/>
        <charset val="238"/>
      </rPr>
      <t>g,kg</t>
    </r>
    <r>
      <rPr>
        <sz val="11"/>
        <rFont val="Calibri"/>
        <family val="2"/>
        <charset val="238"/>
      </rPr>
      <t>*c</t>
    </r>
    <r>
      <rPr>
        <vertAlign val="subscript"/>
        <sz val="11"/>
        <rFont val="Calibri"/>
        <family val="2"/>
        <charset val="238"/>
      </rPr>
      <t>mg,g</t>
    </r>
    <r>
      <rPr>
        <sz val="11"/>
        <rFont val="Calibri"/>
        <family val="2"/>
        <charset val="238"/>
      </rPr>
      <t>)/K</t>
    </r>
    <r>
      <rPr>
        <vertAlign val="subscript"/>
        <sz val="11"/>
        <rFont val="Calibri"/>
        <family val="2"/>
        <charset val="238"/>
      </rPr>
      <t>OC,PFOS,EQ</t>
    </r>
    <r>
      <rPr>
        <sz val="11"/>
        <rFont val="Calibri"/>
        <family val="2"/>
        <charset val="238"/>
      </rPr>
      <t>)</t>
    </r>
  </si>
  <si>
    <t>r118</t>
  </si>
  <si>
    <t>r119</t>
  </si>
  <si>
    <r>
      <t>q</t>
    </r>
    <r>
      <rPr>
        <vertAlign val="subscript"/>
        <sz val="11"/>
        <color indexed="8"/>
        <rFont val="Calibri"/>
        <family val="2"/>
        <scheme val="minor"/>
      </rPr>
      <t>FLOC</t>
    </r>
    <r>
      <rPr>
        <vertAlign val="subscript"/>
        <sz val="11"/>
        <color rgb="FF000000"/>
        <rFont val="Calibri"/>
        <family val="2"/>
        <scheme val="minor"/>
      </rPr>
      <t>,HFO</t>
    </r>
  </si>
  <si>
    <t>Rate of flocculation with HFO</t>
  </si>
  <si>
    <r>
      <t>q</t>
    </r>
    <r>
      <rPr>
        <vertAlign val="subscript"/>
        <sz val="11"/>
        <color indexed="8"/>
        <rFont val="Calibri"/>
        <family val="2"/>
        <scheme val="minor"/>
      </rPr>
      <t>FLOC</t>
    </r>
    <r>
      <rPr>
        <vertAlign val="subscript"/>
        <sz val="11"/>
        <color rgb="FF000000"/>
        <rFont val="Calibri"/>
        <family val="2"/>
        <scheme val="minor"/>
      </rPr>
      <t>,HAO</t>
    </r>
  </si>
  <si>
    <t>Rate of flocculation with HAO</t>
  </si>
  <si>
    <r>
      <t>pH</t>
    </r>
    <r>
      <rPr>
        <vertAlign val="subscript"/>
        <sz val="11"/>
        <rFont val="Calibri"/>
        <family val="2"/>
        <scheme val="minor"/>
      </rPr>
      <t>low</t>
    </r>
    <r>
      <rPr>
        <vertAlign val="subscript"/>
        <sz val="11"/>
        <color rgb="FF000000"/>
        <rFont val="Calibri"/>
        <family val="2"/>
        <scheme val="minor"/>
      </rPr>
      <t>,FLOC,HFO</t>
    </r>
  </si>
  <si>
    <t>pH inhibition low value for flocculation with HFO</t>
  </si>
  <si>
    <r>
      <t>pH</t>
    </r>
    <r>
      <rPr>
        <vertAlign val="subscript"/>
        <sz val="11"/>
        <rFont val="Calibri"/>
        <family val="2"/>
        <scheme val="minor"/>
      </rPr>
      <t>high</t>
    </r>
    <r>
      <rPr>
        <vertAlign val="subscript"/>
        <sz val="11"/>
        <color rgb="FF000000"/>
        <rFont val="Calibri"/>
        <family val="2"/>
        <scheme val="minor"/>
      </rPr>
      <t>,FLOC,HFO</t>
    </r>
  </si>
  <si>
    <t>pH inhibition high value for flocculation with HFO</t>
  </si>
  <si>
    <r>
      <t>pH</t>
    </r>
    <r>
      <rPr>
        <vertAlign val="subscript"/>
        <sz val="11"/>
        <rFont val="Calibri"/>
        <family val="2"/>
        <scheme val="minor"/>
      </rPr>
      <t>low</t>
    </r>
    <r>
      <rPr>
        <vertAlign val="subscript"/>
        <sz val="11"/>
        <color rgb="FF000000"/>
        <rFont val="Calibri"/>
        <family val="2"/>
        <scheme val="minor"/>
      </rPr>
      <t>,FLOC,HAO</t>
    </r>
  </si>
  <si>
    <t>pH inhibition low value for flocculation with HAO</t>
  </si>
  <si>
    <r>
      <t>pH</t>
    </r>
    <r>
      <rPr>
        <vertAlign val="subscript"/>
        <sz val="11"/>
        <rFont val="Calibri"/>
        <family val="2"/>
        <scheme val="minor"/>
      </rPr>
      <t>high</t>
    </r>
    <r>
      <rPr>
        <vertAlign val="subscript"/>
        <sz val="11"/>
        <color rgb="FF000000"/>
        <rFont val="Calibri"/>
        <family val="2"/>
        <scheme val="minor"/>
      </rPr>
      <t>,FLOC,HAO</t>
    </r>
  </si>
  <si>
    <t>pH inhibition high value for flocculation with HAO</t>
  </si>
  <si>
    <r>
      <t>K</t>
    </r>
    <r>
      <rPr>
        <vertAlign val="subscript"/>
        <sz val="11"/>
        <color indexed="8"/>
        <rFont val="Calibri"/>
        <family val="2"/>
        <scheme val="minor"/>
      </rPr>
      <t>CB,FLOC</t>
    </r>
    <r>
      <rPr>
        <vertAlign val="subscript"/>
        <sz val="11"/>
        <color rgb="FF000000"/>
        <rFont val="Calibri"/>
        <family val="2"/>
        <scheme val="minor"/>
      </rPr>
      <t>,HFO</t>
    </r>
  </si>
  <si>
    <t>Half-saturation of biodegradable colloids flocculation with HFO</t>
  </si>
  <si>
    <r>
      <t>K</t>
    </r>
    <r>
      <rPr>
        <vertAlign val="subscript"/>
        <sz val="11"/>
        <color indexed="8"/>
        <rFont val="Calibri"/>
        <family val="2"/>
        <scheme val="minor"/>
      </rPr>
      <t>CU,FLOC</t>
    </r>
    <r>
      <rPr>
        <vertAlign val="subscript"/>
        <sz val="11"/>
        <color rgb="FF000000"/>
        <rFont val="Calibri"/>
        <family val="2"/>
        <scheme val="minor"/>
      </rPr>
      <t>,HFO</t>
    </r>
  </si>
  <si>
    <r>
      <t>K</t>
    </r>
    <r>
      <rPr>
        <vertAlign val="subscript"/>
        <sz val="11"/>
        <color indexed="8"/>
        <rFont val="Calibri"/>
        <family val="2"/>
        <scheme val="minor"/>
      </rPr>
      <t>CB,FLOC</t>
    </r>
    <r>
      <rPr>
        <vertAlign val="subscript"/>
        <sz val="11"/>
        <color rgb="FF000000"/>
        <rFont val="Calibri"/>
        <family val="2"/>
        <scheme val="minor"/>
      </rPr>
      <t>,HAO</t>
    </r>
  </si>
  <si>
    <t>Half-saturation of biodegradable colloids flocculation with HAO</t>
  </si>
  <si>
    <r>
      <t>K</t>
    </r>
    <r>
      <rPr>
        <vertAlign val="subscript"/>
        <sz val="11"/>
        <color indexed="8"/>
        <rFont val="Calibri"/>
        <family val="2"/>
        <scheme val="minor"/>
      </rPr>
      <t>CU,FLOC</t>
    </r>
    <r>
      <rPr>
        <vertAlign val="subscript"/>
        <sz val="11"/>
        <color rgb="FF000000"/>
        <rFont val="Calibri"/>
        <family val="2"/>
        <scheme val="minor"/>
      </rPr>
      <t>,HAO</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</si>
  <si>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CB,KCB,FLOC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CB,KCB,FLOC,HFO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CB,KCB,FLOC,HAO</t>
    </r>
    <r>
      <rPr>
        <sz val="11"/>
        <rFont val="Calibri"/>
        <family val="2"/>
      </rPr>
      <t>*Bellinh</t>
    </r>
    <r>
      <rPr>
        <vertAlign val="subscript"/>
        <sz val="11"/>
        <rFont val="Calibri"/>
        <family val="2"/>
      </rPr>
      <t>pH,FLOC,HAO</t>
    </r>
  </si>
  <si>
    <r>
      <t>q</t>
    </r>
    <r>
      <rPr>
        <vertAlign val="subscript"/>
        <sz val="11"/>
        <rFont val="Calibri"/>
        <family val="2"/>
      </rPr>
      <t>FLOC,T</t>
    </r>
    <r>
      <rPr>
        <sz val="11"/>
        <rFont val="Calibri"/>
        <family val="2"/>
      </rPr>
      <t>*X</t>
    </r>
    <r>
      <rPr>
        <vertAlign val="subscript"/>
        <sz val="11"/>
        <rFont val="Calibri"/>
        <family val="2"/>
      </rPr>
      <t>BIO</t>
    </r>
    <r>
      <rPr>
        <sz val="11"/>
        <rFont val="Calibri"/>
        <family val="2"/>
      </rPr>
      <t>*Msat</t>
    </r>
    <r>
      <rPr>
        <vertAlign val="subscript"/>
        <sz val="11"/>
        <rFont val="Calibri"/>
        <family val="2"/>
      </rPr>
      <t>CU,KCU,FLOC</t>
    </r>
    <r>
      <rPr>
        <sz val="11"/>
        <rFont val="Calibri"/>
        <family val="2"/>
      </rPr>
      <t>+q</t>
    </r>
    <r>
      <rPr>
        <vertAlign val="subscript"/>
        <sz val="11"/>
        <rFont val="Calibri"/>
        <family val="2"/>
      </rPr>
      <t>FLOC,HFO,T</t>
    </r>
    <r>
      <rPr>
        <sz val="11"/>
        <rFont val="Calibri"/>
        <family val="2"/>
      </rPr>
      <t>*X</t>
    </r>
    <r>
      <rPr>
        <vertAlign val="subscript"/>
        <sz val="11"/>
        <rFont val="Calibri"/>
        <family val="2"/>
      </rPr>
      <t>HFO</t>
    </r>
    <r>
      <rPr>
        <sz val="11"/>
        <rFont val="Calibri"/>
        <family val="2"/>
      </rPr>
      <t>*Msat</t>
    </r>
    <r>
      <rPr>
        <vertAlign val="subscript"/>
        <sz val="11"/>
        <rFont val="Calibri"/>
        <family val="2"/>
      </rPr>
      <t>CU,KCU,FLOC,HFO</t>
    </r>
    <r>
      <rPr>
        <sz val="11"/>
        <rFont val="Calibri"/>
        <family val="2"/>
      </rPr>
      <t>*Bellinh</t>
    </r>
    <r>
      <rPr>
        <vertAlign val="subscript"/>
        <sz val="11"/>
        <rFont val="Calibri"/>
        <family val="2"/>
      </rPr>
      <t>pH,FLOC,HFO</t>
    </r>
    <r>
      <rPr>
        <sz val="11"/>
        <rFont val="Calibri"/>
        <family val="2"/>
      </rPr>
      <t>+q</t>
    </r>
    <r>
      <rPr>
        <vertAlign val="subscript"/>
        <sz val="11"/>
        <rFont val="Calibri"/>
        <family val="2"/>
      </rPr>
      <t>FLOC,HAO,T</t>
    </r>
    <r>
      <rPr>
        <sz val="11"/>
        <rFont val="Calibri"/>
        <family val="2"/>
      </rPr>
      <t>*X</t>
    </r>
    <r>
      <rPr>
        <vertAlign val="subscript"/>
        <sz val="11"/>
        <rFont val="Calibri"/>
        <family val="2"/>
      </rPr>
      <t>HAO</t>
    </r>
    <r>
      <rPr>
        <sz val="11"/>
        <rFont val="Calibri"/>
        <family val="2"/>
      </rPr>
      <t>*Msat</t>
    </r>
    <r>
      <rPr>
        <vertAlign val="subscript"/>
        <sz val="11"/>
        <rFont val="Calibri"/>
        <family val="2"/>
      </rPr>
      <t>CU,KCU,FLOC,HAO</t>
    </r>
    <r>
      <rPr>
        <sz val="11"/>
        <rFont val="Calibri"/>
        <family val="2"/>
      </rPr>
      <t>*Bellinh</t>
    </r>
    <r>
      <rPr>
        <vertAlign val="subscript"/>
        <sz val="11"/>
        <rFont val="Calibri"/>
        <family val="2"/>
      </rPr>
      <t>pH,FLOC,HAO</t>
    </r>
  </si>
  <si>
    <r>
      <t>Bellinh</t>
    </r>
    <r>
      <rPr>
        <vertAlign val="subscript"/>
        <sz val="11"/>
        <rFont val="Calibri"/>
        <family val="2"/>
        <scheme val="minor"/>
      </rPr>
      <t>pH,FLOC,HFO</t>
    </r>
  </si>
  <si>
    <t>pH inhibition (Bell shaped) (flocculation with HFO)</t>
  </si>
  <si>
    <r>
      <t>Bellinh(pH;pH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</si>
  <si>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low,FLOC,HFO</t>
    </r>
    <r>
      <rPr>
        <sz val="11"/>
        <rFont val="Calibri"/>
        <family val="2"/>
        <scheme val="minor"/>
      </rPr>
      <t>;pH</t>
    </r>
    <r>
      <rPr>
        <vertAlign val="subscript"/>
        <sz val="11"/>
        <rFont val="Calibri"/>
        <family val="2"/>
        <scheme val="minor"/>
      </rPr>
      <t>high,FLOC,HFO</t>
    </r>
    <r>
      <rPr>
        <sz val="11"/>
        <rFont val="Calibri"/>
        <family val="2"/>
        <scheme val="minor"/>
      </rPr>
      <t>)</t>
    </r>
  </si>
  <si>
    <r>
      <t>Bellinh</t>
    </r>
    <r>
      <rPr>
        <vertAlign val="subscript"/>
        <sz val="11"/>
        <rFont val="Calibri"/>
        <family val="2"/>
        <scheme val="minor"/>
      </rPr>
      <t>pH,FLOC,HAO</t>
    </r>
  </si>
  <si>
    <t>pH inhibition (Bell shaped) (flocculation with HAO)</t>
  </si>
  <si>
    <r>
      <t>Bellinh(pH;pH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</si>
  <si>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Bellinh(pH</t>
    </r>
    <r>
      <rPr>
        <vertAlign val="subscript"/>
        <sz val="11"/>
        <rFont val="Calibri"/>
        <family val="2"/>
        <scheme val="minor"/>
      </rPr>
      <t>field</t>
    </r>
    <r>
      <rPr>
        <sz val="11"/>
        <rFont val="Calibri"/>
        <family val="2"/>
        <scheme val="minor"/>
      </rPr>
      <t>;pH</t>
    </r>
    <r>
      <rPr>
        <vertAlign val="subscript"/>
        <sz val="11"/>
        <rFont val="Calibri"/>
        <family val="2"/>
        <scheme val="minor"/>
      </rPr>
      <t>low,FLOC,HAO</t>
    </r>
    <r>
      <rPr>
        <sz val="11"/>
        <rFont val="Calibri"/>
        <family val="2"/>
        <scheme val="minor"/>
      </rPr>
      <t>;pH</t>
    </r>
    <r>
      <rPr>
        <vertAlign val="subscript"/>
        <sz val="11"/>
        <rFont val="Calibri"/>
        <family val="2"/>
        <scheme val="minor"/>
      </rPr>
      <t>high,FLOC,HAO</t>
    </r>
    <r>
      <rPr>
        <sz val="11"/>
        <rFont val="Calibri"/>
        <family val="2"/>
        <scheme val="minor"/>
      </rPr>
      <t>)</t>
    </r>
  </si>
  <si>
    <r>
      <t>Msat</t>
    </r>
    <r>
      <rPr>
        <vertAlign val="subscript"/>
        <sz val="11"/>
        <rFont val="Calibri"/>
        <family val="2"/>
        <scheme val="minor"/>
      </rPr>
      <t>CB,KCB,FLOC,HFO</t>
    </r>
  </si>
  <si>
    <t>Saturation term for colloidal biodegradable substrate flocculation with HFO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</si>
  <si>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CB,FLOC,HFO</t>
    </r>
    <r>
      <rPr>
        <sz val="11"/>
        <rFont val="Calibri"/>
        <family val="2"/>
        <scheme val="minor"/>
      </rPr>
      <t>)</t>
    </r>
  </si>
  <si>
    <r>
      <t>Msat</t>
    </r>
    <r>
      <rPr>
        <vertAlign val="subscript"/>
        <sz val="11"/>
        <rFont val="Calibri"/>
        <family val="2"/>
        <scheme val="minor"/>
      </rPr>
      <t>CU,KCU,FLOC,HFO</t>
    </r>
  </si>
  <si>
    <t>Saturation term for colloidal unbiodegradable organics flocculation with HFO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</si>
  <si>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CU,FLOC,HFO</t>
    </r>
    <r>
      <rPr>
        <sz val="11"/>
        <rFont val="Calibri"/>
        <family val="2"/>
        <scheme val="minor"/>
      </rPr>
      <t>)</t>
    </r>
  </si>
  <si>
    <r>
      <t>Msat</t>
    </r>
    <r>
      <rPr>
        <vertAlign val="subscript"/>
        <sz val="11"/>
        <rFont val="Calibri"/>
        <family val="2"/>
        <scheme val="minor"/>
      </rPr>
      <t>CB,KCB,FLOC,HAO</t>
    </r>
  </si>
  <si>
    <t>Saturation term for colloidal biodegradable substrate flocculation with HAO (flocculation)</t>
  </si>
  <si>
    <r>
      <t>Msat(C</t>
    </r>
    <r>
      <rPr>
        <vertAlign val="subscript"/>
        <sz val="11"/>
        <rFont val="Calibri"/>
        <family val="2"/>
        <scheme val="minor"/>
      </rPr>
      <t>B</t>
    </r>
    <r>
      <rPr>
        <sz val="11"/>
        <rFont val="Calibri"/>
        <family val="2"/>
        <scheme val="minor"/>
      </rPr>
      <t>;K</t>
    </r>
    <r>
      <rPr>
        <vertAlign val="subscript"/>
        <sz val="11"/>
        <rFont val="Calibri"/>
        <family val="2"/>
        <scheme val="minor"/>
      </rPr>
      <t>CB,FLOC,HAO</t>
    </r>
    <r>
      <rPr>
        <sz val="11"/>
        <rFont val="Calibri"/>
        <family val="2"/>
        <scheme val="minor"/>
      </rPr>
      <t>)</t>
    </r>
  </si>
  <si>
    <r>
      <t>Msat</t>
    </r>
    <r>
      <rPr>
        <vertAlign val="subscript"/>
        <sz val="11"/>
        <rFont val="Calibri"/>
        <family val="2"/>
        <scheme val="minor"/>
      </rPr>
      <t>CU,KCU,FLOC,HAO</t>
    </r>
  </si>
  <si>
    <t>Saturation term for colloidal unbiodegradable organics flocculation with HAO  (floculation)</t>
  </si>
  <si>
    <r>
      <t>Msat(C</t>
    </r>
    <r>
      <rPr>
        <vertAlign val="subscript"/>
        <sz val="11"/>
        <rFont val="Calibri"/>
        <family val="2"/>
        <scheme val="minor"/>
      </rPr>
      <t>U</t>
    </r>
    <r>
      <rPr>
        <sz val="11"/>
        <rFont val="Calibri"/>
        <family val="2"/>
        <scheme val="minor"/>
      </rPr>
      <t>;K</t>
    </r>
    <r>
      <rPr>
        <vertAlign val="subscript"/>
        <sz val="11"/>
        <rFont val="Calibri"/>
        <family val="2"/>
        <scheme val="minor"/>
      </rPr>
      <t>CU,FLOC,HAO</t>
    </r>
    <r>
      <rPr>
        <sz val="11"/>
        <rFont val="Calibri"/>
        <family val="2"/>
        <scheme val="minor"/>
      </rPr>
      <t>)</t>
    </r>
  </si>
  <si>
    <r>
      <t>q</t>
    </r>
    <r>
      <rPr>
        <vertAlign val="subscript"/>
        <sz val="11"/>
        <color indexed="8"/>
        <rFont val="Calibri"/>
        <family val="2"/>
        <scheme val="minor"/>
      </rPr>
      <t>FLOC,HFO,T</t>
    </r>
  </si>
  <si>
    <r>
      <t>q</t>
    </r>
    <r>
      <rPr>
        <vertAlign val="subscript"/>
        <sz val="11"/>
        <color indexed="8"/>
        <rFont val="Calibri"/>
        <family val="2"/>
        <scheme val="minor"/>
      </rPr>
      <t>FLOC,HFO</t>
    </r>
    <r>
      <rPr>
        <sz val="11"/>
        <color indexed="8"/>
        <rFont val="Calibri"/>
        <family val="2"/>
        <scheme val="minor"/>
      </rPr>
      <t>*Arrh(θ</t>
    </r>
    <r>
      <rPr>
        <vertAlign val="subscript"/>
        <sz val="11"/>
        <color indexed="8"/>
        <rFont val="Calibri"/>
        <family val="2"/>
        <scheme val="minor"/>
      </rPr>
      <t>q,FLOC,HFO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</si>
  <si>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FLOC,HAO,T</t>
    </r>
  </si>
  <si>
    <r>
      <t>q</t>
    </r>
    <r>
      <rPr>
        <vertAlign val="subscript"/>
        <sz val="11"/>
        <color indexed="8"/>
        <rFont val="Calibri"/>
        <family val="2"/>
        <scheme val="minor"/>
      </rPr>
      <t>FLOC,HAO</t>
    </r>
    <r>
      <rPr>
        <sz val="11"/>
        <color indexed="8"/>
        <rFont val="Calibri"/>
        <family val="2"/>
        <scheme val="minor"/>
      </rPr>
      <t>*Arrh(θ</t>
    </r>
    <r>
      <rPr>
        <vertAlign val="subscript"/>
        <sz val="11"/>
        <color indexed="8"/>
        <rFont val="Calibri"/>
        <family val="2"/>
        <scheme val="minor"/>
      </rPr>
      <t>q,FLOC,HAO</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</si>
  <si>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θ</t>
    </r>
    <r>
      <rPr>
        <vertAlign val="subscript"/>
        <sz val="11"/>
        <color indexed="8"/>
        <rFont val="Calibri"/>
        <family val="2"/>
        <scheme val="minor"/>
      </rPr>
      <t>q,FLOC</t>
    </r>
    <r>
      <rPr>
        <vertAlign val="subscript"/>
        <sz val="11"/>
        <color rgb="FF000000"/>
        <rFont val="Calibri"/>
        <family val="2"/>
        <scheme val="minor"/>
      </rPr>
      <t>,HFO</t>
    </r>
  </si>
  <si>
    <t>Arrhenius coefficient for flocculation HFO</t>
  </si>
  <si>
    <r>
      <t>θ</t>
    </r>
    <r>
      <rPr>
        <vertAlign val="subscript"/>
        <sz val="11"/>
        <color indexed="8"/>
        <rFont val="Calibri"/>
        <family val="2"/>
        <scheme val="minor"/>
      </rPr>
      <t>q,FLOC</t>
    </r>
    <r>
      <rPr>
        <vertAlign val="subscript"/>
        <sz val="11"/>
        <color rgb="FF000000"/>
        <rFont val="Calibri"/>
        <family val="2"/>
        <scheme val="minor"/>
      </rPr>
      <t>,HAO</t>
    </r>
  </si>
  <si>
    <t>Arrhenius coefficient for flocculation HAO</t>
  </si>
  <si>
    <r>
      <t>q</t>
    </r>
    <r>
      <rPr>
        <vertAlign val="subscript"/>
        <sz val="11"/>
        <color indexed="8"/>
        <rFont val="Calibri"/>
        <family val="2"/>
        <scheme val="minor"/>
      </rPr>
      <t>HYD</t>
    </r>
    <r>
      <rPr>
        <vertAlign val="subscript"/>
        <sz val="11"/>
        <color rgb="FF000000"/>
        <rFont val="Calibri"/>
        <family val="2"/>
        <scheme val="minor"/>
      </rPr>
      <t>,XBe</t>
    </r>
  </si>
  <si>
    <t>Rate of hydrolysis of slowly biodegradable substrate from biomass decay</t>
  </si>
  <si>
    <t>Key(955)</t>
  </si>
  <si>
    <r>
      <t>q</t>
    </r>
    <r>
      <rPr>
        <vertAlign val="subscript"/>
        <sz val="11"/>
        <color indexed="8"/>
        <rFont val="Calibri"/>
        <family val="2"/>
        <scheme val="minor"/>
      </rPr>
      <t>HYD</t>
    </r>
    <r>
      <rPr>
        <vertAlign val="subscript"/>
        <sz val="11"/>
        <color rgb="FF000000"/>
        <rFont val="Calibri"/>
        <family val="2"/>
        <scheme val="minor"/>
      </rPr>
      <t>,XB</t>
    </r>
  </si>
  <si>
    <t>Rate of hydrolysis of slowly biodegradable substrate</t>
  </si>
  <si>
    <r>
      <t>K</t>
    </r>
    <r>
      <rPr>
        <vertAlign val="subscript"/>
        <sz val="11"/>
        <color indexed="8"/>
        <rFont val="Calibri"/>
        <family val="2"/>
        <scheme val="minor"/>
      </rPr>
      <t>XBe,HYD</t>
    </r>
  </si>
  <si>
    <t>Half-saturation of slowly biodegradable substrate from biomass decay in low biomass condition hydrolysis</t>
  </si>
  <si>
    <r>
      <t>i</t>
    </r>
    <r>
      <rPr>
        <vertAlign val="subscript"/>
        <sz val="11"/>
        <rFont val="Calibri"/>
        <family val="2"/>
        <scheme val="minor"/>
      </rPr>
      <t>CV,XBe</t>
    </r>
  </si>
  <si>
    <t>COD of biodegradable substrate from biomass decay in volatile solids</t>
  </si>
  <si>
    <r>
      <t>i</t>
    </r>
    <r>
      <rPr>
        <vertAlign val="subscript"/>
        <sz val="11"/>
        <rFont val="Calibri"/>
        <family val="2"/>
        <scheme val="minor"/>
      </rPr>
      <t>CIT,XBe</t>
    </r>
  </si>
  <si>
    <r>
      <t>Inorganic carbon content of X</t>
    </r>
    <r>
      <rPr>
        <vertAlign val="subscript"/>
        <sz val="11"/>
        <color rgb="FF000000"/>
        <rFont val="Calibri"/>
        <family val="2"/>
        <scheme val="minor"/>
      </rPr>
      <t>B,e</t>
    </r>
  </si>
  <si>
    <r>
      <t>i</t>
    </r>
    <r>
      <rPr>
        <vertAlign val="subscript"/>
        <sz val="11"/>
        <rFont val="Calibri"/>
        <family val="2"/>
        <scheme val="minor"/>
      </rPr>
      <t>vw,XBe</t>
    </r>
  </si>
  <si>
    <t>Vicinal water of slowly biodegradable substrate from biomass decay in volatile solids</t>
  </si>
  <si>
    <r>
      <t>i</t>
    </r>
    <r>
      <rPr>
        <vertAlign val="subscript"/>
        <sz val="11"/>
        <rFont val="Calibri"/>
        <family val="2"/>
        <scheme val="minor"/>
      </rPr>
      <t>wh,XBe</t>
    </r>
  </si>
  <si>
    <t>Water of hydration of slowly biodegradable substrate from biomass decay in volatile solids</t>
  </si>
  <si>
    <r>
      <t>X</t>
    </r>
    <r>
      <rPr>
        <b/>
        <vertAlign val="subscript"/>
        <sz val="11"/>
        <rFont val="Calibri"/>
        <family val="2"/>
        <charset val="238"/>
        <scheme val="minor"/>
      </rPr>
      <t>B</t>
    </r>
    <r>
      <rPr>
        <b/>
        <vertAlign val="subscript"/>
        <sz val="11"/>
        <rFont val="Calibri"/>
        <family val="2"/>
        <scheme val="minor"/>
      </rPr>
      <t>,e</t>
    </r>
  </si>
  <si>
    <t>Slowly biodegradable substrate from biomass decay</t>
  </si>
  <si>
    <r>
      <t>f(X</t>
    </r>
    <r>
      <rPr>
        <vertAlign val="subscript"/>
        <sz val="11"/>
        <rFont val="Calibri"/>
        <family val="2"/>
      </rPr>
      <t>N,Be</t>
    </r>
    <r>
      <rPr>
        <sz val="11"/>
        <rFont val="Calibri"/>
        <family val="2"/>
      </rPr>
      <t>);f(X</t>
    </r>
    <r>
      <rPr>
        <vertAlign val="subscript"/>
        <sz val="11"/>
        <rFont val="Calibri"/>
        <family val="2"/>
      </rPr>
      <t>P,Be</t>
    </r>
    <r>
      <rPr>
        <sz val="11"/>
        <rFont val="Calibri"/>
        <family val="2"/>
      </rPr>
      <t>)</t>
    </r>
  </si>
  <si>
    <r>
      <t>X</t>
    </r>
    <r>
      <rPr>
        <b/>
        <vertAlign val="subscript"/>
        <sz val="11"/>
        <rFont val="Calibri"/>
        <family val="2"/>
        <charset val="238"/>
        <scheme val="minor"/>
      </rPr>
      <t>N,B</t>
    </r>
    <r>
      <rPr>
        <b/>
        <vertAlign val="subscript"/>
        <sz val="11"/>
        <rFont val="Calibri"/>
        <family val="2"/>
        <scheme val="minor"/>
      </rPr>
      <t>e</t>
    </r>
  </si>
  <si>
    <r>
      <t>Particulate biodegradable organic N (from X</t>
    </r>
    <r>
      <rPr>
        <vertAlign val="subscript"/>
        <sz val="11"/>
        <color rgb="FF000000"/>
        <rFont val="Calibri"/>
        <family val="2"/>
        <scheme val="minor"/>
      </rPr>
      <t>Be</t>
    </r>
    <r>
      <rPr>
        <sz val="11"/>
        <color rgb="FF000000"/>
        <rFont val="Calibri"/>
        <family val="2"/>
        <charset val="238"/>
        <scheme val="minor"/>
      </rPr>
      <t>)</t>
    </r>
  </si>
  <si>
    <r>
      <t>f(X</t>
    </r>
    <r>
      <rPr>
        <vertAlign val="subscript"/>
        <sz val="11"/>
        <rFont val="Calibri"/>
        <family val="2"/>
      </rPr>
      <t>B,e</t>
    </r>
    <r>
      <rPr>
        <sz val="11"/>
        <rFont val="Calibri"/>
        <family val="2"/>
      </rPr>
      <t>)</t>
    </r>
  </si>
  <si>
    <r>
      <t>X</t>
    </r>
    <r>
      <rPr>
        <b/>
        <vertAlign val="subscript"/>
        <sz val="11"/>
        <rFont val="Calibri"/>
        <family val="2"/>
        <charset val="238"/>
        <scheme val="minor"/>
      </rPr>
      <t>P,B</t>
    </r>
    <r>
      <rPr>
        <b/>
        <vertAlign val="subscript"/>
        <sz val="11"/>
        <rFont val="Calibri"/>
        <family val="2"/>
        <scheme val="minor"/>
      </rPr>
      <t>e</t>
    </r>
  </si>
  <si>
    <r>
      <t>Particulate biodegradable organic P (from X</t>
    </r>
    <r>
      <rPr>
        <vertAlign val="subscript"/>
        <sz val="11"/>
        <color rgb="FF000000"/>
        <rFont val="Calibri"/>
        <family val="2"/>
        <scheme val="minor"/>
      </rPr>
      <t>Be</t>
    </r>
    <r>
      <rPr>
        <sz val="11"/>
        <color rgb="FF000000"/>
        <rFont val="Calibri"/>
        <family val="2"/>
        <charset val="238"/>
        <scheme val="minor"/>
      </rPr>
      <t>)</t>
    </r>
  </si>
  <si>
    <r>
      <t>X</t>
    </r>
    <r>
      <rPr>
        <b/>
        <vertAlign val="subscript"/>
        <sz val="11"/>
        <rFont val="Calibri"/>
        <family val="2"/>
        <scheme val="minor"/>
      </rPr>
      <t>B,e</t>
    </r>
  </si>
  <si>
    <r>
      <t>X</t>
    </r>
    <r>
      <rPr>
        <b/>
        <vertAlign val="subscript"/>
        <sz val="11"/>
        <rFont val="Calibri"/>
        <family val="2"/>
        <scheme val="minor"/>
      </rPr>
      <t>N,Be</t>
    </r>
  </si>
  <si>
    <r>
      <t>X</t>
    </r>
    <r>
      <rPr>
        <b/>
        <vertAlign val="subscript"/>
        <sz val="11"/>
        <rFont val="Calibri"/>
        <family val="2"/>
        <scheme val="minor"/>
      </rPr>
      <t>P,Be</t>
    </r>
  </si>
  <si>
    <r>
      <t>f(X</t>
    </r>
    <r>
      <rPr>
        <vertAlign val="subscript"/>
        <sz val="11"/>
        <rFont val="Calibri"/>
        <family val="2"/>
      </rPr>
      <t>CASTO</t>
    </r>
    <r>
      <rPr>
        <sz val="11"/>
        <rFont val="Calibri"/>
        <family val="2"/>
      </rPr>
      <t>)</t>
    </r>
  </si>
  <si>
    <r>
      <t>f(X</t>
    </r>
    <r>
      <rPr>
        <vertAlign val="subscript"/>
        <sz val="11"/>
        <rFont val="Calibri"/>
        <family val="2"/>
      </rPr>
      <t>INORG</t>
    </r>
    <r>
      <rPr>
        <sz val="11"/>
        <rFont val="Calibri"/>
        <family val="2"/>
      </rPr>
      <t>);f(X</t>
    </r>
    <r>
      <rPr>
        <vertAlign val="subscript"/>
        <sz val="11"/>
        <rFont val="Calibri"/>
        <family val="2"/>
      </rPr>
      <t>PP</t>
    </r>
    <r>
      <rPr>
        <sz val="11"/>
        <rFont val="Calibri"/>
        <family val="2"/>
      </rPr>
      <t>);f(X</t>
    </r>
    <r>
      <rPr>
        <vertAlign val="subscript"/>
        <sz val="11"/>
        <rFont val="Calibri"/>
        <family val="2"/>
      </rPr>
      <t>PHA</t>
    </r>
    <r>
      <rPr>
        <sz val="11"/>
        <rFont val="Calibri"/>
        <family val="2"/>
      </rPr>
      <t>);f(X</t>
    </r>
    <r>
      <rPr>
        <vertAlign val="subscript"/>
        <sz val="11"/>
        <rFont val="Calibri"/>
        <family val="2"/>
        <charset val="238"/>
      </rPr>
      <t>GLY</t>
    </r>
    <r>
      <rPr>
        <sz val="11"/>
        <rFont val="Calibri"/>
        <family val="2"/>
      </rPr>
      <t>)</t>
    </r>
  </si>
  <si>
    <r>
      <t>MRsat</t>
    </r>
    <r>
      <rPr>
        <vertAlign val="subscript"/>
        <sz val="11"/>
        <rFont val="Calibri"/>
        <family val="2"/>
        <scheme val="minor"/>
      </rPr>
      <t>XBe,XHET,KHYD</t>
    </r>
  </si>
  <si>
    <t>Saturation term for slowly biodegradable substrate from biomass decay (hydrolysis)</t>
  </si>
  <si>
    <r>
      <t>MRsat(X</t>
    </r>
    <r>
      <rPr>
        <vertAlign val="subscript"/>
        <sz val="11"/>
        <rFont val="Calibri"/>
        <family val="2"/>
        <scheme val="minor"/>
      </rPr>
      <t>B,e</t>
    </r>
    <r>
      <rPr>
        <sz val="11"/>
        <rFont val="Calibri"/>
        <family val="2"/>
        <scheme val="minor"/>
      </rPr>
      <t>;X</t>
    </r>
    <r>
      <rPr>
        <vertAlign val="subscript"/>
        <sz val="11"/>
        <rFont val="Calibri"/>
        <family val="2"/>
        <scheme val="minor"/>
      </rPr>
      <t>HET</t>
    </r>
    <r>
      <rPr>
        <sz val="11"/>
        <rFont val="Calibri"/>
        <family val="2"/>
        <scheme val="minor"/>
      </rPr>
      <t>;K</t>
    </r>
    <r>
      <rPr>
        <vertAlign val="subscript"/>
        <sz val="11"/>
        <rFont val="Calibri"/>
        <family val="2"/>
        <scheme val="minor"/>
      </rPr>
      <t>HYD</t>
    </r>
    <r>
      <rPr>
        <sz val="11"/>
        <rFont val="Calibri"/>
        <family val="2"/>
        <scheme val="minor"/>
      </rPr>
      <t>)</t>
    </r>
  </si>
  <si>
    <r>
      <t>Msat</t>
    </r>
    <r>
      <rPr>
        <vertAlign val="subscript"/>
        <sz val="11"/>
        <rFont val="Calibri"/>
        <family val="2"/>
        <scheme val="minor"/>
      </rPr>
      <t>XBe,KXBe,HYD</t>
    </r>
  </si>
  <si>
    <t>Saturation term for slowly biodegradable substrate from biomass decay in low biomass condition (hydrolysis)</t>
  </si>
  <si>
    <r>
      <t>Msat(X</t>
    </r>
    <r>
      <rPr>
        <vertAlign val="subscript"/>
        <sz val="11"/>
        <rFont val="Calibri"/>
        <family val="2"/>
        <scheme val="minor"/>
      </rPr>
      <t>B,e</t>
    </r>
    <r>
      <rPr>
        <sz val="11"/>
        <rFont val="Calibri"/>
        <family val="2"/>
        <scheme val="minor"/>
      </rPr>
      <t>;K</t>
    </r>
    <r>
      <rPr>
        <vertAlign val="subscript"/>
        <sz val="11"/>
        <rFont val="Calibri"/>
        <family val="2"/>
        <scheme val="minor"/>
      </rPr>
      <t>XBe,HYD</t>
    </r>
    <r>
      <rPr>
        <sz val="11"/>
        <rFont val="Calibri"/>
        <family val="2"/>
        <scheme val="minor"/>
      </rPr>
      <t>)</t>
    </r>
  </si>
  <si>
    <r>
      <t>q</t>
    </r>
    <r>
      <rPr>
        <vertAlign val="subscript"/>
        <sz val="11"/>
        <color indexed="8"/>
        <rFont val="Calibri"/>
        <family val="2"/>
        <scheme val="minor"/>
      </rPr>
      <t>HYD,XBe,T</t>
    </r>
  </si>
  <si>
    <t>Rate of hydrolysis for XB,e (temperature corrected)</t>
  </si>
  <si>
    <r>
      <t>q</t>
    </r>
    <r>
      <rPr>
        <vertAlign val="subscript"/>
        <sz val="11"/>
        <color indexed="8"/>
        <rFont val="Calibri"/>
        <family val="2"/>
        <scheme val="minor"/>
      </rPr>
      <t>HYD,XBe</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</si>
  <si>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q</t>
    </r>
    <r>
      <rPr>
        <vertAlign val="subscript"/>
        <sz val="11"/>
        <color indexed="8"/>
        <rFont val="Calibri"/>
        <family val="2"/>
        <scheme val="minor"/>
      </rPr>
      <t>HYD,XB,T</t>
    </r>
  </si>
  <si>
    <r>
      <t>q</t>
    </r>
    <r>
      <rPr>
        <vertAlign val="subscript"/>
        <sz val="11"/>
        <color indexed="8"/>
        <rFont val="Calibri"/>
        <family val="2"/>
        <scheme val="minor"/>
      </rPr>
      <t>HYD,XB</t>
    </r>
    <r>
      <rPr>
        <sz val="11"/>
        <color indexed="8"/>
        <rFont val="Calibri"/>
        <family val="2"/>
        <scheme val="minor"/>
      </rPr>
      <t>*Arrh(θ</t>
    </r>
    <r>
      <rPr>
        <vertAlign val="subscript"/>
        <sz val="11"/>
        <color indexed="8"/>
        <rFont val="Calibri"/>
        <family val="2"/>
        <scheme val="minor"/>
      </rPr>
      <t>q,HYD</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</si>
  <si>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r>
      <t>X</t>
    </r>
    <r>
      <rPr>
        <vertAlign val="subscript"/>
        <sz val="11"/>
        <rFont val="Calibri"/>
        <family val="2"/>
        <charset val="238"/>
      </rPr>
      <t>B</t>
    </r>
    <r>
      <rPr>
        <sz val="11"/>
        <rFont val="Calibri"/>
        <family val="2"/>
      </rPr>
      <t xml:space="preserve"> hydrolysis</t>
    </r>
  </si>
  <si>
    <r>
      <t>S</t>
    </r>
    <r>
      <rPr>
        <vertAlign val="subscript"/>
        <sz val="11"/>
        <rFont val="Calibri"/>
        <family val="2"/>
        <charset val="238"/>
      </rPr>
      <t>N,B</t>
    </r>
    <r>
      <rPr>
        <sz val="11"/>
        <rFont val="Calibri"/>
        <family val="2"/>
      </rPr>
      <t xml:space="preserve"> ammonification</t>
    </r>
  </si>
  <si>
    <r>
      <t>X</t>
    </r>
    <r>
      <rPr>
        <vertAlign val="subscript"/>
        <sz val="11"/>
        <rFont val="Calibri"/>
        <family val="2"/>
        <charset val="238"/>
      </rPr>
      <t>E</t>
    </r>
    <r>
      <rPr>
        <sz val="11"/>
        <rFont val="Calibri"/>
        <family val="2"/>
      </rPr>
      <t xml:space="preserve"> conversion</t>
    </r>
  </si>
  <si>
    <r>
      <t>X</t>
    </r>
    <r>
      <rPr>
        <vertAlign val="subscript"/>
        <sz val="11"/>
        <rFont val="Calibri"/>
        <family val="2"/>
        <charset val="238"/>
      </rPr>
      <t>E,ana</t>
    </r>
    <r>
      <rPr>
        <sz val="11"/>
        <rFont val="Calibri"/>
        <family val="2"/>
      </rPr>
      <t xml:space="preserve"> hydrolysis</t>
    </r>
  </si>
  <si>
    <r>
      <t>X</t>
    </r>
    <r>
      <rPr>
        <vertAlign val="subscript"/>
        <sz val="11"/>
        <rFont val="Calibri"/>
        <family val="2"/>
        <charset val="238"/>
      </rPr>
      <t>U</t>
    </r>
    <r>
      <rPr>
        <sz val="11"/>
        <rFont val="Calibri"/>
        <family val="2"/>
      </rPr>
      <t xml:space="preserve"> conversion</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</si>
  <si>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t>
    </r>
  </si>
  <si>
    <r>
      <t>(1-f</t>
    </r>
    <r>
      <rPr>
        <vertAlign val="subscript"/>
        <sz val="11"/>
        <rFont val="Calibri"/>
        <family val="2"/>
        <charset val="238"/>
      </rPr>
      <t>E</t>
    </r>
    <r>
      <rPr>
        <sz val="11"/>
        <rFont val="Calibri"/>
        <family val="2"/>
      </rPr>
      <t>)*(i</t>
    </r>
    <r>
      <rPr>
        <vertAlign val="subscript"/>
        <sz val="11"/>
        <rFont val="Calibri"/>
        <family val="2"/>
        <charset val="238"/>
      </rPr>
      <t>CIT,BIO</t>
    </r>
    <r>
      <rPr>
        <sz val="11"/>
        <rFont val="Calibri"/>
        <family val="2"/>
      </rPr>
      <t>-i</t>
    </r>
    <r>
      <rPr>
        <vertAlign val="subscript"/>
        <sz val="11"/>
        <rFont val="Calibri"/>
        <family val="2"/>
        <charset val="238"/>
      </rPr>
      <t>CIT,XBe</t>
    </r>
    <r>
      <rPr>
        <sz val="11"/>
        <rFont val="Calibri"/>
        <family val="2"/>
      </rPr>
      <t>)+(i</t>
    </r>
    <r>
      <rPr>
        <vertAlign val="subscript"/>
        <sz val="11"/>
        <rFont val="Calibri"/>
        <family val="2"/>
      </rPr>
      <t>CIT,STC</t>
    </r>
    <r>
      <rPr>
        <sz val="11"/>
        <rFont val="Calibri"/>
        <family val="2"/>
      </rPr>
      <t>-i</t>
    </r>
    <r>
      <rPr>
        <vertAlign val="subscript"/>
        <sz val="11"/>
        <rFont val="Calibri"/>
        <family val="2"/>
      </rPr>
      <t>CIT,VFA</t>
    </r>
    <r>
      <rPr>
        <sz val="11"/>
        <rFont val="Calibri"/>
        <family val="2"/>
      </rPr>
      <t>)*X</t>
    </r>
    <r>
      <rPr>
        <vertAlign val="subscript"/>
        <sz val="11"/>
        <rFont val="Calibri"/>
        <family val="2"/>
      </rPr>
      <t>STC</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</si>
  <si>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Ca</t>
    </r>
    <r>
      <rPr>
        <sz val="11"/>
        <rFont val="Calibri"/>
        <family val="2"/>
      </rPr>
      <t>/AM</t>
    </r>
    <r>
      <rPr>
        <vertAlign val="subscript"/>
        <sz val="11"/>
        <rFont val="Calibri"/>
        <family val="2"/>
      </rPr>
      <t>P</t>
    </r>
    <r>
      <rPr>
        <sz val="11"/>
        <rFont val="Calibri"/>
        <family val="2"/>
      </rPr>
      <t>*i</t>
    </r>
    <r>
      <rPr>
        <vertAlign val="subscript"/>
        <sz val="11"/>
        <rFont val="Calibri"/>
        <family val="2"/>
      </rPr>
      <t>Ca,PP</t>
    </r>
    <r>
      <rPr>
        <sz val="11"/>
        <rFont val="Calibri"/>
        <family val="2"/>
      </rPr>
      <t>/X</t>
    </r>
    <r>
      <rPr>
        <vertAlign val="subscript"/>
        <sz val="11"/>
        <rFont val="Calibri"/>
        <family val="2"/>
      </rPr>
      <t>CASTO</t>
    </r>
  </si>
  <si>
    <r>
      <t>X</t>
    </r>
    <r>
      <rPr>
        <vertAlign val="subscript"/>
        <sz val="11"/>
        <rFont val="Calibri"/>
        <family val="2"/>
      </rPr>
      <t>PP</t>
    </r>
    <r>
      <rPr>
        <sz val="11"/>
        <rFont val="Calibri"/>
        <family val="2"/>
      </rPr>
      <t>*AM</t>
    </r>
    <r>
      <rPr>
        <vertAlign val="subscript"/>
        <sz val="11"/>
        <rFont val="Calibri"/>
        <family val="2"/>
      </rPr>
      <t>Mg</t>
    </r>
    <r>
      <rPr>
        <sz val="11"/>
        <rFont val="Calibri"/>
        <family val="2"/>
      </rPr>
      <t>/AM</t>
    </r>
    <r>
      <rPr>
        <vertAlign val="subscript"/>
        <sz val="11"/>
        <rFont val="Calibri"/>
        <family val="2"/>
      </rPr>
      <t>P</t>
    </r>
    <r>
      <rPr>
        <sz val="11"/>
        <rFont val="Calibri"/>
        <family val="2"/>
      </rPr>
      <t>*i</t>
    </r>
    <r>
      <rPr>
        <vertAlign val="subscript"/>
        <sz val="11"/>
        <rFont val="Calibri"/>
        <family val="2"/>
      </rPr>
      <t>Mg,PP</t>
    </r>
    <r>
      <rPr>
        <sz val="11"/>
        <rFont val="Calibri"/>
        <family val="2"/>
      </rPr>
      <t>/X</t>
    </r>
    <r>
      <rPr>
        <vertAlign val="subscript"/>
        <sz val="11"/>
        <rFont val="Calibri"/>
        <family val="2"/>
      </rPr>
      <t>CASTO</t>
    </r>
  </si>
  <si>
    <r>
      <t>i</t>
    </r>
    <r>
      <rPr>
        <vertAlign val="subscript"/>
        <sz val="11"/>
        <rFont val="Calibri"/>
        <family val="2"/>
      </rPr>
      <t>CIT,ALGAE</t>
    </r>
    <r>
      <rPr>
        <sz val="11"/>
        <rFont val="Calibri"/>
        <family val="2"/>
      </rPr>
      <t>-(1-f</t>
    </r>
    <r>
      <rPr>
        <vertAlign val="subscript"/>
        <sz val="11"/>
        <rFont val="Calibri"/>
        <family val="2"/>
      </rPr>
      <t>E</t>
    </r>
    <r>
      <rPr>
        <sz val="11"/>
        <rFont val="Calibri"/>
        <family val="2"/>
      </rPr>
      <t>)*i</t>
    </r>
    <r>
      <rPr>
        <vertAlign val="subscript"/>
        <sz val="11"/>
        <rFont val="Calibri"/>
        <family val="2"/>
      </rPr>
      <t>CIT,XBe</t>
    </r>
    <r>
      <rPr>
        <sz val="11"/>
        <rFont val="Calibri"/>
        <family val="2"/>
      </rPr>
      <t>-f</t>
    </r>
    <r>
      <rPr>
        <vertAlign val="subscript"/>
        <sz val="11"/>
        <rFont val="Calibri"/>
        <family val="2"/>
      </rPr>
      <t>E</t>
    </r>
    <r>
      <rPr>
        <sz val="11"/>
        <rFont val="Calibri"/>
        <family val="2"/>
      </rPr>
      <t>*i</t>
    </r>
    <r>
      <rPr>
        <vertAlign val="subscript"/>
        <sz val="11"/>
        <rFont val="Calibri"/>
        <family val="2"/>
      </rPr>
      <t>CIT,BIO</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</si>
  <si>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</si>
  <si>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N,Be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</si>
  <si>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</si>
  <si>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-X</t>
    </r>
    <r>
      <rPr>
        <vertAlign val="subscript"/>
        <sz val="11"/>
        <rFont val="Calibri"/>
        <family val="2"/>
      </rPr>
      <t>P,Be</t>
    </r>
    <r>
      <rPr>
        <sz val="11"/>
        <rFont val="Calibri"/>
        <family val="2"/>
      </rPr>
      <t>/X</t>
    </r>
    <r>
      <rPr>
        <vertAlign val="subscript"/>
        <sz val="11"/>
        <rFont val="Calibri"/>
        <family val="2"/>
      </rPr>
      <t>B,e</t>
    </r>
  </si>
  <si>
    <r>
      <t>i</t>
    </r>
    <r>
      <rPr>
        <vertAlign val="subscript"/>
        <sz val="11"/>
        <rFont val="Calibri"/>
        <family val="2"/>
      </rPr>
      <t>CIT,XBe</t>
    </r>
    <r>
      <rPr>
        <sz val="11"/>
        <rFont val="Calibri"/>
        <family val="2"/>
      </rPr>
      <t>-i</t>
    </r>
    <r>
      <rPr>
        <vertAlign val="subscript"/>
        <sz val="11"/>
        <rFont val="Calibri"/>
        <family val="2"/>
      </rPr>
      <t>CIT,SB</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</si>
  <si>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XBe,XHET,KHYD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XBe,KXBe,HYD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charset val="238"/>
      </rPr>
      <t>SNO2,KNO2,OHO</t>
    </r>
    <r>
      <rPr>
        <sz val="11"/>
        <rFont val="Calibri"/>
        <family val="2"/>
      </rPr>
      <t>+Msat</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charset val="238"/>
      </rPr>
      <t>SNO3,KNO3,OHO</t>
    </r>
    <r>
      <rPr>
        <sz val="11"/>
        <rFont val="Calibri"/>
        <family val="2"/>
      </rPr>
      <t>*Minh</t>
    </r>
    <r>
      <rPr>
        <vertAlign val="subscript"/>
        <sz val="11"/>
        <rFont val="Calibri"/>
        <family val="2"/>
        <charset val="238"/>
      </rPr>
      <t>SNO2,KNO2,OHO</t>
    </r>
    <r>
      <rPr>
        <sz val="11"/>
        <rFont val="Calibri"/>
        <family val="2"/>
      </rPr>
      <t>*Minh</t>
    </r>
    <r>
      <rPr>
        <vertAlign val="subscript"/>
        <sz val="11"/>
        <rFont val="Calibri"/>
        <family val="2"/>
      </rPr>
      <t>SO2,KO2,OHO</t>
    </r>
    <r>
      <rPr>
        <sz val="11"/>
        <rFont val="Calibri"/>
        <family val="2"/>
      </rPr>
      <t>)</t>
    </r>
  </si>
  <si>
    <r>
      <t>X</t>
    </r>
    <r>
      <rPr>
        <vertAlign val="subscript"/>
        <sz val="11"/>
        <rFont val="Calibri"/>
        <family val="2"/>
        <charset val="238"/>
      </rPr>
      <t>B,e</t>
    </r>
    <r>
      <rPr>
        <sz val="11"/>
        <rFont val="Calibri"/>
        <family val="2"/>
      </rPr>
      <t xml:space="preserve"> hydrolysis</t>
    </r>
  </si>
  <si>
    <r>
      <t>q</t>
    </r>
    <r>
      <rPr>
        <vertAlign val="subscript"/>
        <sz val="11"/>
        <rFont val="Calibri"/>
        <family val="2"/>
      </rPr>
      <t>HYD,XB,T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XB,XHET,KHYD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XB,KXB,HYD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+η</t>
    </r>
    <r>
      <rPr>
        <vertAlign val="subscript"/>
        <sz val="11"/>
        <rFont val="Calibri"/>
        <family val="2"/>
      </rPr>
      <t>HYD,ana</t>
    </r>
    <r>
      <rPr>
        <sz val="11"/>
        <rFont val="Calibri"/>
        <family val="2"/>
      </rPr>
      <t>*Minh</t>
    </r>
    <r>
      <rPr>
        <vertAlign val="subscript"/>
        <sz val="11"/>
        <rFont val="Calibri"/>
        <family val="2"/>
      </rPr>
      <t>SNO3,KNO3,OHO</t>
    </r>
    <r>
      <rPr>
        <sz val="11"/>
        <rFont val="Calibri"/>
        <family val="2"/>
      </rPr>
      <t>*Minh</t>
    </r>
    <r>
      <rPr>
        <vertAlign val="subscript"/>
        <sz val="11"/>
        <rFont val="Calibri"/>
        <family val="2"/>
      </rPr>
      <t>SNO2,KNO2,OHO</t>
    </r>
    <r>
      <rPr>
        <sz val="11"/>
        <rFont val="Calibri"/>
        <family val="2"/>
      </rPr>
      <t>*Minh</t>
    </r>
    <r>
      <rPr>
        <vertAlign val="subscript"/>
        <sz val="11"/>
        <rFont val="Calibri"/>
        <family val="2"/>
      </rPr>
      <t>SO2,KO2,OHO</t>
    </r>
    <r>
      <rPr>
        <sz val="11"/>
        <rFont val="Calibri"/>
        <family val="2"/>
      </rPr>
      <t>)</t>
    </r>
  </si>
  <si>
    <r>
      <t>q</t>
    </r>
    <r>
      <rPr>
        <vertAlign val="subscript"/>
        <sz val="11"/>
        <rFont val="Calibri"/>
        <family val="2"/>
      </rPr>
      <t>HYD,XBe,T</t>
    </r>
    <r>
      <rPr>
        <sz val="11"/>
        <rFont val="Calibri"/>
        <family val="2"/>
      </rPr>
      <t>*X</t>
    </r>
    <r>
      <rPr>
        <vertAlign val="subscript"/>
        <sz val="11"/>
        <rFont val="Calibri"/>
        <family val="2"/>
      </rPr>
      <t>HET</t>
    </r>
    <r>
      <rPr>
        <sz val="11"/>
        <rFont val="Calibri"/>
        <family val="2"/>
      </rPr>
      <t>*(Logsat</t>
    </r>
    <r>
      <rPr>
        <vertAlign val="subscript"/>
        <sz val="11"/>
        <rFont val="Calibri"/>
        <family val="2"/>
      </rPr>
      <t>XHET,HYD,lim</t>
    </r>
    <r>
      <rPr>
        <sz val="11"/>
        <rFont val="Calibri"/>
        <family val="2"/>
      </rPr>
      <t>*MRsat</t>
    </r>
    <r>
      <rPr>
        <vertAlign val="subscript"/>
        <sz val="11"/>
        <rFont val="Calibri"/>
        <family val="2"/>
      </rPr>
      <t>XEana,XHET,KHYD</t>
    </r>
    <r>
      <rPr>
        <sz val="11"/>
        <rFont val="Calibri"/>
        <family val="2"/>
      </rPr>
      <t>+Loginh</t>
    </r>
    <r>
      <rPr>
        <vertAlign val="subscript"/>
        <sz val="11"/>
        <rFont val="Calibri"/>
        <family val="2"/>
      </rPr>
      <t>XHET,HYD,lim</t>
    </r>
    <r>
      <rPr>
        <sz val="11"/>
        <rFont val="Calibri"/>
        <family val="2"/>
      </rPr>
      <t>*Msat</t>
    </r>
    <r>
      <rPr>
        <vertAlign val="subscript"/>
        <sz val="11"/>
        <rFont val="Calibri"/>
        <family val="2"/>
      </rPr>
      <t>XEana,KXEana,HYD</t>
    </r>
    <r>
      <rPr>
        <sz val="11"/>
        <rFont val="Calibri"/>
        <family val="2"/>
      </rPr>
      <t>)*(Msat</t>
    </r>
    <r>
      <rPr>
        <vertAlign val="subscript"/>
        <sz val="11"/>
        <rFont val="Calibri"/>
        <family val="2"/>
      </rPr>
      <t>SO2,KO2,OHO</t>
    </r>
    <r>
      <rPr>
        <sz val="11"/>
        <rFont val="Calibri"/>
        <family val="2"/>
      </rPr>
      <t>+η</t>
    </r>
    <r>
      <rPr>
        <vertAlign val="subscript"/>
        <sz val="11"/>
        <rFont val="Calibri"/>
        <family val="2"/>
      </rPr>
      <t>HYD,anox</t>
    </r>
    <r>
      <rPr>
        <sz val="11"/>
        <rFont val="Calibri"/>
        <family val="2"/>
      </rPr>
      <t>*(Msat</t>
    </r>
    <r>
      <rPr>
        <vertAlign val="subscript"/>
        <sz val="11"/>
        <rFont val="Calibri"/>
        <family val="2"/>
      </rPr>
      <t>SNO2,KNO2,OHO</t>
    </r>
    <r>
      <rPr>
        <sz val="11"/>
        <rFont val="Calibri"/>
        <family val="2"/>
      </rPr>
      <t>+Minh</t>
    </r>
    <r>
      <rPr>
        <vertAlign val="subscript"/>
        <sz val="11"/>
        <rFont val="Calibri"/>
        <family val="2"/>
      </rPr>
      <t>SNO2,KNO2,OHO</t>
    </r>
    <r>
      <rPr>
        <sz val="11"/>
        <rFont val="Calibri"/>
        <family val="2"/>
      </rPr>
      <t>*Msat</t>
    </r>
    <r>
      <rPr>
        <vertAlign val="subscript"/>
        <sz val="11"/>
        <rFont val="Calibri"/>
        <family val="2"/>
      </rPr>
      <t>SNO3,KNO3,OHO)</t>
    </r>
    <r>
      <rPr>
        <sz val="11"/>
        <rFont val="Calibri"/>
        <family val="2"/>
      </rPr>
      <t>*Minh</t>
    </r>
    <r>
      <rPr>
        <vertAlign val="subscript"/>
        <sz val="11"/>
        <rFont val="Calibri"/>
        <family val="2"/>
      </rPr>
      <t>SO2,KO2,OHO</t>
    </r>
    <r>
      <rPr>
        <sz val="11"/>
        <rFont val="Calibri"/>
        <family val="2"/>
      </rPr>
      <t>)</t>
    </r>
  </si>
  <si>
    <r>
      <t>X</t>
    </r>
    <r>
      <rPr>
        <b/>
        <vertAlign val="subscript"/>
        <sz val="11"/>
        <rFont val="Calibri"/>
        <family val="2"/>
        <charset val="238"/>
        <scheme val="minor"/>
      </rPr>
      <t>PHA,PAO</t>
    </r>
  </si>
  <si>
    <t>Polyhydroxyalkanoates (PHA) stored by PAOs</t>
  </si>
  <si>
    <r>
      <t>X</t>
    </r>
    <r>
      <rPr>
        <b/>
        <vertAlign val="subscript"/>
        <sz val="11"/>
        <rFont val="Calibri"/>
        <family val="2"/>
        <charset val="238"/>
        <scheme val="minor"/>
      </rPr>
      <t>PHA,GAO</t>
    </r>
  </si>
  <si>
    <t>Polyhydroxyalkanoates (PHA) stored by GAOs</t>
  </si>
  <si>
    <r>
      <t>X</t>
    </r>
    <r>
      <rPr>
        <b/>
        <vertAlign val="subscript"/>
        <sz val="11"/>
        <rFont val="Calibri"/>
        <family val="2"/>
        <scheme val="minor"/>
      </rPr>
      <t>PHA,GAO</t>
    </r>
  </si>
  <si>
    <r>
      <t>X</t>
    </r>
    <r>
      <rPr>
        <b/>
        <vertAlign val="subscript"/>
        <sz val="11"/>
        <rFont val="Calibri"/>
        <family val="2"/>
        <scheme val="minor"/>
      </rPr>
      <t>PHA</t>
    </r>
    <r>
      <rPr>
        <b/>
        <vertAlign val="subscript"/>
        <sz val="11"/>
        <rFont val="Calibri"/>
        <family val="2"/>
        <charset val="238"/>
        <scheme val="minor"/>
      </rPr>
      <t>,PAO</t>
    </r>
  </si>
  <si>
    <r>
      <t>q</t>
    </r>
    <r>
      <rPr>
        <vertAlign val="subscript"/>
        <sz val="11"/>
        <rFont val="Calibri"/>
        <family val="2"/>
        <charset val="238"/>
        <scheme val="minor"/>
      </rPr>
      <t>GAO,PHA</t>
    </r>
  </si>
  <si>
    <t>Rate of VFA storage into PHA for GAOs</t>
  </si>
  <si>
    <r>
      <t>η</t>
    </r>
    <r>
      <rPr>
        <vertAlign val="subscript"/>
        <sz val="11"/>
        <rFont val="Calibri"/>
        <family val="2"/>
        <scheme val="minor"/>
      </rPr>
      <t>bPHA,ana</t>
    </r>
  </si>
  <si>
    <t>Reduction factor for anaerobic maintenance of GAOs on PHA</t>
  </si>
  <si>
    <r>
      <t>K</t>
    </r>
    <r>
      <rPr>
        <vertAlign val="subscript"/>
        <sz val="11"/>
        <rFont val="Calibri"/>
        <family val="2"/>
        <scheme val="minor"/>
      </rPr>
      <t>PHA</t>
    </r>
    <r>
      <rPr>
        <vertAlign val="subscript"/>
        <sz val="11"/>
        <rFont val="Calibri"/>
        <family val="2"/>
        <charset val="238"/>
        <scheme val="minor"/>
      </rPr>
      <t>,GAO</t>
    </r>
  </si>
  <si>
    <t>Half-saturation of PHA for GAOs (AS)</t>
  </si>
  <si>
    <r>
      <t>Ki</t>
    </r>
    <r>
      <rPr>
        <vertAlign val="subscript"/>
        <sz val="11"/>
        <rFont val="Calibri"/>
        <family val="2"/>
        <scheme val="minor"/>
      </rPr>
      <t>PHA,GAO,max</t>
    </r>
  </si>
  <si>
    <t>Half-inhibition of maximum PHA content of GAOs (AS)</t>
  </si>
  <si>
    <r>
      <t>Logrange</t>
    </r>
    <r>
      <rPr>
        <vertAlign val="subscript"/>
        <sz val="11"/>
        <rFont val="Calibri"/>
        <family val="2"/>
        <charset val="238"/>
        <scheme val="minor"/>
      </rPr>
      <t>PHA,GAO,inh</t>
    </r>
  </si>
  <si>
    <t>Effective range of logistic switch for PHA/GAO inhibition term</t>
  </si>
  <si>
    <t>Arrhenius coefficient for carbon storage use for maintenance</t>
  </si>
  <si>
    <r>
      <t>θ</t>
    </r>
    <r>
      <rPr>
        <vertAlign val="subscript"/>
        <sz val="11"/>
        <color indexed="8"/>
        <rFont val="Calibri"/>
        <family val="2"/>
        <scheme val="minor"/>
      </rPr>
      <t>q,GAO,PHA</t>
    </r>
  </si>
  <si>
    <r>
      <t>Y</t>
    </r>
    <r>
      <rPr>
        <vertAlign val="subscript"/>
        <sz val="11"/>
        <rFont val="Calibri"/>
        <family val="2"/>
        <scheme val="minor"/>
      </rPr>
      <t>PAO,PHA,ox</t>
    </r>
  </si>
  <si>
    <t>Yield of PAOs on PHA under aerobic conditions</t>
  </si>
  <si>
    <r>
      <t>Y</t>
    </r>
    <r>
      <rPr>
        <vertAlign val="subscript"/>
        <sz val="11"/>
        <rFont val="Calibri"/>
        <family val="2"/>
        <scheme val="minor"/>
      </rPr>
      <t>PAO,PHA,anox</t>
    </r>
  </si>
  <si>
    <t>Yield of PAOs on PHA under anoxic conditions</t>
  </si>
  <si>
    <r>
      <t>Y</t>
    </r>
    <r>
      <rPr>
        <vertAlign val="subscript"/>
        <sz val="11"/>
        <rFont val="Calibri"/>
        <family val="2"/>
        <scheme val="minor"/>
      </rPr>
      <t>GAO,PHA,ox</t>
    </r>
  </si>
  <si>
    <t>Yield of GAOs on PHA under aerobic conditions</t>
  </si>
  <si>
    <r>
      <t>Y</t>
    </r>
    <r>
      <rPr>
        <vertAlign val="subscript"/>
        <sz val="11"/>
        <rFont val="Calibri"/>
        <family val="2"/>
        <scheme val="minor"/>
      </rPr>
      <t>GAO,PHA,anox</t>
    </r>
  </si>
  <si>
    <t>Yield of GAOs on PHA under anoxic conditions</t>
  </si>
  <si>
    <t>Rate of CASTOs maintenance on stored carbon</t>
  </si>
  <si>
    <t>Reduction factor for anoxic maintenance of CASTOs on stored carbon</t>
  </si>
  <si>
    <t>Half-saturation of stored carbon for PAOs</t>
  </si>
  <si>
    <t>Half-value of ORP switch of PHA storage by GAO at 15°C / 59°F</t>
  </si>
  <si>
    <t>Half-value of ORP switch of PHA storage by GAO at 25°C / 77°F</t>
  </si>
  <si>
    <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charset val="238"/>
        <scheme val="minor"/>
      </rPr>
      <t>B,e</t>
    </r>
    <r>
      <rPr>
        <sz val="11"/>
        <rFont val="Calibri"/>
        <family val="2"/>
        <scheme val="minor"/>
      </rPr>
      <t>+X</t>
    </r>
    <r>
      <rPr>
        <vertAlign val="subscript"/>
        <sz val="11"/>
        <rFont val="Calibri"/>
        <family val="2"/>
        <scheme val="minor"/>
      </rPr>
      <t>U</t>
    </r>
    <r>
      <rPr>
        <sz val="11"/>
        <rFont val="Calibri"/>
        <family val="2"/>
        <scheme val="minor"/>
      </rPr>
      <t>+X</t>
    </r>
    <r>
      <rPr>
        <vertAlign val="subscript"/>
        <sz val="11"/>
        <rFont val="Calibri"/>
        <family val="2"/>
        <scheme val="minor"/>
      </rPr>
      <t>PHA,PAO</t>
    </r>
    <r>
      <rPr>
        <sz val="11"/>
        <rFont val="Calibri"/>
        <family val="2"/>
        <scheme val="minor"/>
      </rPr>
      <t>+X</t>
    </r>
    <r>
      <rPr>
        <vertAlign val="subscript"/>
        <sz val="11"/>
        <rFont val="Calibri"/>
        <family val="2"/>
        <scheme val="minor"/>
      </rPr>
      <t>PHA,GAO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</si>
  <si>
    <r>
      <t>X</t>
    </r>
    <r>
      <rPr>
        <vertAlign val="subscript"/>
        <sz val="11"/>
        <rFont val="Calibri"/>
        <family val="2"/>
        <scheme val="minor"/>
      </rPr>
      <t>VSS,BIO</t>
    </r>
    <r>
      <rPr>
        <sz val="11"/>
        <rFont val="Calibri"/>
        <family val="2"/>
        <scheme val="minor"/>
      </rPr>
      <t>+X</t>
    </r>
    <r>
      <rPr>
        <vertAlign val="subscript"/>
        <sz val="11"/>
        <rFont val="Calibri"/>
        <family val="2"/>
        <scheme val="minor"/>
      </rPr>
      <t>B</t>
    </r>
    <r>
      <rPr>
        <sz val="11"/>
        <rFont val="Calibri"/>
        <family val="2"/>
        <scheme val="minor"/>
      </rPr>
      <t>/i</t>
    </r>
    <r>
      <rPr>
        <vertAlign val="subscript"/>
        <sz val="11"/>
        <rFont val="Calibri"/>
        <family val="2"/>
        <scheme val="minor"/>
      </rPr>
      <t>CV,XB</t>
    </r>
    <r>
      <rPr>
        <sz val="11"/>
        <rFont val="Calibri"/>
        <family val="2"/>
        <charset val="238"/>
        <scheme val="minor"/>
      </rPr>
      <t>+X</t>
    </r>
    <r>
      <rPr>
        <vertAlign val="subscript"/>
        <sz val="11"/>
        <rFont val="Calibri"/>
        <family val="2"/>
        <scheme val="minor"/>
      </rPr>
      <t>B,e</t>
    </r>
    <r>
      <rPr>
        <sz val="11"/>
        <rFont val="Calibri"/>
        <family val="2"/>
        <charset val="238"/>
        <scheme val="minor"/>
      </rPr>
      <t>/i</t>
    </r>
    <r>
      <rPr>
        <vertAlign val="subscript"/>
        <sz val="11"/>
        <rFont val="Calibri"/>
        <family val="2"/>
        <scheme val="minor"/>
      </rPr>
      <t>CV,XBe</t>
    </r>
    <r>
      <rPr>
        <sz val="11"/>
        <rFont val="Calibri"/>
        <family val="2"/>
        <scheme val="minor"/>
      </rPr>
      <t>+X</t>
    </r>
    <r>
      <rPr>
        <vertAlign val="subscript"/>
        <sz val="11"/>
        <rFont val="Calibri"/>
        <family val="2"/>
        <scheme val="minor"/>
      </rPr>
      <t>U</t>
    </r>
    <r>
      <rPr>
        <sz val="11"/>
        <rFont val="Calibri"/>
        <family val="2"/>
        <scheme val="minor"/>
      </rPr>
      <t>/i</t>
    </r>
    <r>
      <rPr>
        <vertAlign val="subscript"/>
        <sz val="11"/>
        <rFont val="Calibri"/>
        <family val="2"/>
        <scheme val="minor"/>
      </rPr>
      <t>CV,XU</t>
    </r>
    <r>
      <rPr>
        <sz val="11"/>
        <rFont val="Calibri"/>
        <family val="2"/>
        <scheme val="minor"/>
      </rPr>
      <t>+X</t>
    </r>
    <r>
      <rPr>
        <vertAlign val="subscript"/>
        <sz val="11"/>
        <rFont val="Calibri"/>
        <family val="2"/>
        <scheme val="minor"/>
      </rPr>
      <t>PHA,PAO</t>
    </r>
    <r>
      <rPr>
        <sz val="11"/>
        <rFont val="Calibri"/>
        <family val="2"/>
        <scheme val="minor"/>
      </rPr>
      <t>/i</t>
    </r>
    <r>
      <rPr>
        <vertAlign val="subscript"/>
        <sz val="11"/>
        <rFont val="Calibri"/>
        <family val="2"/>
        <scheme val="minor"/>
      </rPr>
      <t>CV,PHA</t>
    </r>
    <r>
      <rPr>
        <sz val="11"/>
        <rFont val="Calibri"/>
        <family val="2"/>
        <scheme val="minor"/>
      </rPr>
      <t>+X</t>
    </r>
    <r>
      <rPr>
        <vertAlign val="subscript"/>
        <sz val="11"/>
        <rFont val="Calibri"/>
        <family val="2"/>
        <scheme val="minor"/>
      </rPr>
      <t>PHA,GAO</t>
    </r>
    <r>
      <rPr>
        <sz val="11"/>
        <rFont val="Calibri"/>
        <family val="2"/>
        <scheme val="minor"/>
      </rPr>
      <t>/i</t>
    </r>
    <r>
      <rPr>
        <vertAlign val="subscript"/>
        <sz val="11"/>
        <rFont val="Calibri"/>
        <family val="2"/>
        <scheme val="minor"/>
      </rPr>
      <t>CV,PHA</t>
    </r>
    <r>
      <rPr>
        <sz val="11"/>
        <rFont val="Calibri"/>
        <family val="2"/>
        <scheme val="minor"/>
      </rPr>
      <t>+X</t>
    </r>
    <r>
      <rPr>
        <vertAlign val="subscript"/>
        <sz val="11"/>
        <rFont val="Calibri"/>
        <family val="2"/>
        <scheme val="minor"/>
      </rPr>
      <t>E,ana</t>
    </r>
    <r>
      <rPr>
        <sz val="11"/>
        <rFont val="Calibri"/>
        <family val="2"/>
        <scheme val="minor"/>
      </rPr>
      <t>/i</t>
    </r>
    <r>
      <rPr>
        <vertAlign val="subscript"/>
        <sz val="11"/>
        <rFont val="Calibri"/>
        <family val="2"/>
        <scheme val="minor"/>
      </rPr>
      <t>CV,XE</t>
    </r>
    <r>
      <rPr>
        <sz val="11"/>
        <rFont val="Calibri"/>
        <family val="2"/>
        <scheme val="minor"/>
      </rPr>
      <t>+X</t>
    </r>
    <r>
      <rPr>
        <vertAlign val="subscript"/>
        <sz val="11"/>
        <rFont val="Calibri"/>
        <family val="2"/>
        <scheme val="minor"/>
      </rPr>
      <t>E</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H2O,HFO,VSS</t>
    </r>
    <r>
      <rPr>
        <sz val="11"/>
        <rFont val="Calibri"/>
        <family val="2"/>
        <scheme val="minor"/>
      </rPr>
      <t>*X</t>
    </r>
    <r>
      <rPr>
        <vertAlign val="subscript"/>
        <sz val="11"/>
        <rFont val="Calibri"/>
        <family val="2"/>
        <scheme val="minor"/>
      </rPr>
      <t>HFO</t>
    </r>
    <r>
      <rPr>
        <sz val="11"/>
        <rFont val="Calibri"/>
        <family val="2"/>
        <scheme val="minor"/>
      </rPr>
      <t>*MM</t>
    </r>
    <r>
      <rPr>
        <vertAlign val="subscript"/>
        <sz val="11"/>
        <rFont val="Calibri"/>
        <family val="2"/>
        <scheme val="minor"/>
      </rPr>
      <t>FeOH3</t>
    </r>
    <r>
      <rPr>
        <sz val="11"/>
        <rFont val="Calibri"/>
        <family val="2"/>
        <scheme val="minor"/>
      </rPr>
      <t>/AM</t>
    </r>
    <r>
      <rPr>
        <vertAlign val="subscript"/>
        <sz val="11"/>
        <rFont val="Calibri"/>
        <family val="2"/>
        <scheme val="minor"/>
      </rPr>
      <t>Fe</t>
    </r>
    <r>
      <rPr>
        <sz val="11"/>
        <rFont val="Calibri"/>
        <family val="2"/>
        <scheme val="minor"/>
      </rPr>
      <t>+f</t>
    </r>
    <r>
      <rPr>
        <vertAlign val="subscript"/>
        <sz val="11"/>
        <rFont val="Calibri"/>
        <family val="2"/>
        <scheme val="minor"/>
      </rPr>
      <t>H2O,HAO,VSS</t>
    </r>
    <r>
      <rPr>
        <sz val="11"/>
        <rFont val="Calibri"/>
        <family val="2"/>
        <scheme val="minor"/>
      </rPr>
      <t>*X</t>
    </r>
    <r>
      <rPr>
        <vertAlign val="subscript"/>
        <sz val="11"/>
        <rFont val="Calibri"/>
        <family val="2"/>
        <scheme val="minor"/>
      </rPr>
      <t>HAO</t>
    </r>
    <r>
      <rPr>
        <sz val="11"/>
        <rFont val="Calibri"/>
        <family val="2"/>
        <scheme val="minor"/>
      </rPr>
      <t>*MM</t>
    </r>
    <r>
      <rPr>
        <vertAlign val="subscript"/>
        <sz val="11"/>
        <rFont val="Calibri"/>
        <family val="2"/>
        <scheme val="minor"/>
      </rPr>
      <t>AlOH3</t>
    </r>
    <r>
      <rPr>
        <sz val="11"/>
        <rFont val="Calibri"/>
        <family val="2"/>
        <scheme val="minor"/>
      </rPr>
      <t>/AM</t>
    </r>
    <r>
      <rPr>
        <vertAlign val="subscript"/>
        <sz val="11"/>
        <rFont val="Calibri"/>
        <family val="2"/>
        <scheme val="minor"/>
      </rPr>
      <t>Al</t>
    </r>
  </si>
  <si>
    <r>
      <t>Y</t>
    </r>
    <r>
      <rPr>
        <vertAlign val="subscript"/>
        <sz val="11"/>
        <rFont val="Calibri"/>
        <family val="2"/>
        <scheme val="minor"/>
      </rPr>
      <t>BOD,ult</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B</t>
    </r>
    <r>
      <rPr>
        <sz val="11"/>
        <rFont val="Calibri"/>
        <family val="2"/>
        <scheme val="minor"/>
      </rPr>
      <t>+X</t>
    </r>
    <r>
      <rPr>
        <vertAlign val="subscript"/>
        <sz val="11"/>
        <rFont val="Calibri"/>
        <family val="2"/>
        <charset val="238"/>
        <scheme val="minor"/>
      </rPr>
      <t>B,e</t>
    </r>
    <r>
      <rPr>
        <sz val="11"/>
        <rFont val="Calibri"/>
        <family val="2"/>
        <scheme val="minor"/>
      </rPr>
      <t>+X</t>
    </r>
    <r>
      <rPr>
        <vertAlign val="subscript"/>
        <sz val="11"/>
        <rFont val="Calibri"/>
        <family val="2"/>
        <scheme val="minor"/>
      </rPr>
      <t>PHA,PAO</t>
    </r>
    <r>
      <rPr>
        <sz val="11"/>
        <rFont val="Calibri"/>
        <family val="2"/>
        <scheme val="minor"/>
      </rPr>
      <t>+X</t>
    </r>
    <r>
      <rPr>
        <vertAlign val="subscript"/>
        <sz val="11"/>
        <rFont val="Calibri"/>
        <family val="2"/>
        <scheme val="minor"/>
      </rPr>
      <t>PHA,GAO</t>
    </r>
    <r>
      <rPr>
        <sz val="11"/>
        <rFont val="Calibri"/>
        <family val="2"/>
        <scheme val="minor"/>
      </rPr>
      <t>)</t>
    </r>
  </si>
  <si>
    <r>
      <t>(X</t>
    </r>
    <r>
      <rPr>
        <vertAlign val="subscript"/>
        <sz val="11"/>
        <rFont val="Calibri"/>
        <family val="2"/>
        <charset val="238"/>
        <scheme val="minor"/>
      </rPr>
      <t>VSS,BIO</t>
    </r>
    <r>
      <rPr>
        <sz val="11"/>
        <rFont val="Calibri"/>
        <family val="2"/>
        <charset val="238"/>
        <scheme val="minor"/>
      </rPr>
      <t>*(i</t>
    </r>
    <r>
      <rPr>
        <vertAlign val="subscript"/>
        <sz val="11"/>
        <rFont val="Calibri"/>
        <family val="2"/>
        <charset val="238"/>
        <scheme val="minor"/>
      </rPr>
      <t>vw,BIO</t>
    </r>
    <r>
      <rPr>
        <sz val="11"/>
        <rFont val="Calibri"/>
        <family val="2"/>
        <charset val="238"/>
        <scheme val="minor"/>
      </rPr>
      <t>+i</t>
    </r>
    <r>
      <rPr>
        <vertAlign val="subscript"/>
        <sz val="11"/>
        <rFont val="Calibri"/>
        <family val="2"/>
        <charset val="238"/>
        <scheme val="minor"/>
      </rPr>
      <t>iw,BIO</t>
    </r>
    <r>
      <rPr>
        <sz val="11"/>
        <rFont val="Calibri"/>
        <family val="2"/>
        <charset val="238"/>
        <scheme val="minor"/>
      </rPr>
      <t>+i</t>
    </r>
    <r>
      <rPr>
        <vertAlign val="subscript"/>
        <sz val="11"/>
        <rFont val="Calibri"/>
        <family val="2"/>
        <charset val="238"/>
        <scheme val="minor"/>
      </rPr>
      <t>wh,BIO</t>
    </r>
    <r>
      <rPr>
        <sz val="11"/>
        <rFont val="Calibri"/>
        <family val="2"/>
        <charset val="238"/>
        <scheme val="minor"/>
      </rPr>
      <t>)</t>
    </r>
    <r>
      <rPr>
        <vertAlign val="subscript"/>
        <sz val="11"/>
        <rFont val="Calibri"/>
        <family val="2"/>
        <charset val="238"/>
        <scheme val="minor"/>
      </rPr>
      <t xml:space="preserve"> </t>
    </r>
    <r>
      <rPr>
        <sz val="11"/>
        <rFont val="Calibri"/>
        <family val="2"/>
        <charset val="238"/>
        <scheme val="minor"/>
      </rPr>
      <t>+ X</t>
    </r>
    <r>
      <rPr>
        <vertAlign val="subscript"/>
        <sz val="11"/>
        <rFont val="Calibri"/>
        <family val="2"/>
        <charset val="238"/>
        <scheme val="minor"/>
      </rPr>
      <t>VSS,BIO</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vw,XE</t>
    </r>
    <r>
      <rPr>
        <sz val="11"/>
        <rFont val="Calibri"/>
        <family val="2"/>
        <charset val="238"/>
        <scheme val="minor"/>
      </rPr>
      <t>+i</t>
    </r>
    <r>
      <rPr>
        <vertAlign val="subscript"/>
        <sz val="11"/>
        <rFont val="Calibri"/>
        <family val="2"/>
        <charset val="238"/>
        <scheme val="minor"/>
      </rPr>
      <t>wh,XE</t>
    </r>
    <r>
      <rPr>
        <sz val="11"/>
        <rFont val="Calibri"/>
        <family val="2"/>
        <charset val="238"/>
        <scheme val="minor"/>
      </rPr>
      <t>) + X</t>
    </r>
    <r>
      <rPr>
        <vertAlign val="subscript"/>
        <sz val="11"/>
        <rFont val="Calibri"/>
        <family val="2"/>
        <charset val="238"/>
        <scheme val="minor"/>
      </rPr>
      <t>E</t>
    </r>
    <r>
      <rPr>
        <sz val="11"/>
        <rFont val="Calibri"/>
        <family val="2"/>
        <charset val="238"/>
        <scheme val="minor"/>
      </rPr>
      <t>/i</t>
    </r>
    <r>
      <rPr>
        <vertAlign val="subscript"/>
        <sz val="11"/>
        <rFont val="Calibri"/>
        <family val="2"/>
        <charset val="238"/>
        <scheme val="minor"/>
      </rPr>
      <t>CV,XE</t>
    </r>
    <r>
      <rPr>
        <sz val="11"/>
        <rFont val="Calibri"/>
        <family val="2"/>
        <charset val="238"/>
        <scheme val="minor"/>
      </rPr>
      <t xml:space="preserve"> * (i</t>
    </r>
    <r>
      <rPr>
        <vertAlign val="subscript"/>
        <sz val="11"/>
        <rFont val="Calibri"/>
        <family val="2"/>
        <charset val="238"/>
        <scheme val="minor"/>
      </rPr>
      <t>vw,EPS</t>
    </r>
    <r>
      <rPr>
        <sz val="11"/>
        <rFont val="Calibri"/>
        <family val="2"/>
        <charset val="238"/>
        <scheme val="minor"/>
      </rPr>
      <t xml:space="preserve"> + i</t>
    </r>
    <r>
      <rPr>
        <vertAlign val="subscript"/>
        <sz val="11"/>
        <rFont val="Calibri"/>
        <family val="2"/>
        <charset val="238"/>
        <scheme val="minor"/>
      </rPr>
      <t>wh,EPS</t>
    </r>
    <r>
      <rPr>
        <sz val="11"/>
        <rFont val="Calibri"/>
        <family val="2"/>
        <charset val="238"/>
        <scheme val="minor"/>
      </rPr>
      <t>) + X</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CV,XB</t>
    </r>
    <r>
      <rPr>
        <sz val="11"/>
        <rFont val="Calibri"/>
        <family val="2"/>
        <charset val="238"/>
        <scheme val="minor"/>
      </rPr>
      <t xml:space="preserve"> *(i</t>
    </r>
    <r>
      <rPr>
        <vertAlign val="subscript"/>
        <sz val="11"/>
        <rFont val="Calibri"/>
        <family val="2"/>
        <charset val="238"/>
        <scheme val="minor"/>
      </rPr>
      <t>vw,XB</t>
    </r>
    <r>
      <rPr>
        <sz val="11"/>
        <rFont val="Calibri"/>
        <family val="2"/>
        <charset val="238"/>
        <scheme val="minor"/>
      </rPr>
      <t>+i</t>
    </r>
    <r>
      <rPr>
        <vertAlign val="subscript"/>
        <sz val="11"/>
        <rFont val="Calibri"/>
        <family val="2"/>
        <charset val="238"/>
        <scheme val="minor"/>
      </rPr>
      <t>wh,XB</t>
    </r>
    <r>
      <rPr>
        <sz val="11"/>
        <rFont val="Calibri"/>
        <family val="2"/>
        <charset val="238"/>
        <scheme val="minor"/>
      </rPr>
      <t>) + X</t>
    </r>
    <r>
      <rPr>
        <vertAlign val="subscript"/>
        <sz val="11"/>
        <rFont val="Calibri"/>
        <family val="2"/>
        <charset val="238"/>
        <scheme val="minor"/>
      </rPr>
      <t>B,e</t>
    </r>
    <r>
      <rPr>
        <sz val="11"/>
        <rFont val="Calibri"/>
        <family val="2"/>
        <charset val="238"/>
        <scheme val="minor"/>
      </rPr>
      <t>/i</t>
    </r>
    <r>
      <rPr>
        <vertAlign val="subscript"/>
        <sz val="11"/>
        <rFont val="Calibri"/>
        <family val="2"/>
        <charset val="238"/>
        <scheme val="minor"/>
      </rPr>
      <t>CV,XBe</t>
    </r>
    <r>
      <rPr>
        <sz val="11"/>
        <rFont val="Calibri"/>
        <family val="2"/>
        <charset val="238"/>
        <scheme val="minor"/>
      </rPr>
      <t xml:space="preserve"> *(i</t>
    </r>
    <r>
      <rPr>
        <vertAlign val="subscript"/>
        <sz val="11"/>
        <rFont val="Calibri"/>
        <family val="2"/>
        <charset val="238"/>
        <scheme val="minor"/>
      </rPr>
      <t>vw,XBe</t>
    </r>
    <r>
      <rPr>
        <sz val="11"/>
        <rFont val="Calibri"/>
        <family val="2"/>
        <charset val="238"/>
        <scheme val="minor"/>
      </rPr>
      <t>+i</t>
    </r>
    <r>
      <rPr>
        <vertAlign val="subscript"/>
        <sz val="11"/>
        <rFont val="Calibri"/>
        <family val="2"/>
        <charset val="238"/>
        <scheme val="minor"/>
      </rPr>
      <t>wh,XBe</t>
    </r>
    <r>
      <rPr>
        <sz val="11"/>
        <rFont val="Calibri"/>
        <family val="2"/>
        <charset val="238"/>
        <scheme val="minor"/>
      </rPr>
      <t>) + X</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CV,XU</t>
    </r>
    <r>
      <rPr>
        <sz val="11"/>
        <rFont val="Calibri"/>
        <family val="2"/>
        <charset val="238"/>
        <scheme val="minor"/>
      </rPr>
      <t xml:space="preserve"> *(i</t>
    </r>
    <r>
      <rPr>
        <vertAlign val="subscript"/>
        <sz val="11"/>
        <rFont val="Calibri"/>
        <family val="2"/>
        <charset val="238"/>
        <scheme val="minor"/>
      </rPr>
      <t>vw,XU</t>
    </r>
    <r>
      <rPr>
        <sz val="11"/>
        <rFont val="Calibri"/>
        <family val="2"/>
        <charset val="238"/>
        <scheme val="minor"/>
      </rPr>
      <t>+i</t>
    </r>
    <r>
      <rPr>
        <vertAlign val="subscript"/>
        <sz val="11"/>
        <rFont val="Calibri"/>
        <family val="2"/>
        <charset val="238"/>
        <scheme val="minor"/>
      </rPr>
      <t>wh,XU</t>
    </r>
    <r>
      <rPr>
        <sz val="11"/>
        <rFont val="Calibri"/>
        <family val="2"/>
        <charset val="238"/>
        <scheme val="minor"/>
      </rPr>
      <t>) + X</t>
    </r>
    <r>
      <rPr>
        <vertAlign val="subscript"/>
        <sz val="11"/>
        <rFont val="Calibri"/>
        <family val="2"/>
        <charset val="238"/>
        <scheme val="minor"/>
      </rPr>
      <t>PHA,PAO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X</t>
    </r>
    <r>
      <rPr>
        <vertAlign val="subscript"/>
        <sz val="11"/>
        <rFont val="Calibri"/>
        <family val="2"/>
        <charset val="238"/>
        <scheme val="minor"/>
      </rPr>
      <t>PHA,GAO</t>
    </r>
    <r>
      <rPr>
        <sz val="11"/>
        <rFont val="Calibri"/>
        <family val="2"/>
        <charset val="238"/>
        <scheme val="minor"/>
      </rPr>
      <t>/i</t>
    </r>
    <r>
      <rPr>
        <vertAlign val="subscript"/>
        <sz val="11"/>
        <rFont val="Calibri"/>
        <family val="2"/>
        <charset val="238"/>
        <scheme val="minor"/>
      </rPr>
      <t xml:space="preserve">CV,PHA </t>
    </r>
    <r>
      <rPr>
        <sz val="11"/>
        <rFont val="Calibri"/>
        <family val="2"/>
        <charset val="238"/>
        <scheme val="minor"/>
      </rPr>
      <t>* (i</t>
    </r>
    <r>
      <rPr>
        <vertAlign val="subscript"/>
        <sz val="11"/>
        <rFont val="Calibri"/>
        <family val="2"/>
        <charset val="238"/>
        <scheme val="minor"/>
      </rPr>
      <t>vw,PHA</t>
    </r>
    <r>
      <rPr>
        <sz val="11"/>
        <rFont val="Calibri"/>
        <family val="2"/>
        <charset val="238"/>
        <scheme val="minor"/>
      </rPr>
      <t>+i</t>
    </r>
    <r>
      <rPr>
        <vertAlign val="subscript"/>
        <sz val="11"/>
        <rFont val="Calibri"/>
        <family val="2"/>
        <charset val="238"/>
        <scheme val="minor"/>
      </rPr>
      <t>wh,PHA</t>
    </r>
    <r>
      <rPr>
        <sz val="11"/>
        <rFont val="Calibri"/>
        <family val="2"/>
        <charset val="238"/>
        <scheme val="minor"/>
      </rPr>
      <t>) + C</t>
    </r>
    <r>
      <rPr>
        <vertAlign val="subscript"/>
        <sz val="11"/>
        <rFont val="Calibri"/>
        <family val="2"/>
        <charset val="238"/>
        <scheme val="minor"/>
      </rPr>
      <t>B</t>
    </r>
    <r>
      <rPr>
        <sz val="11"/>
        <rFont val="Calibri"/>
        <family val="2"/>
        <charset val="238"/>
        <scheme val="minor"/>
      </rPr>
      <t>/i</t>
    </r>
    <r>
      <rPr>
        <vertAlign val="subscript"/>
        <sz val="11"/>
        <rFont val="Calibri"/>
        <family val="2"/>
        <charset val="238"/>
        <scheme val="minor"/>
      </rPr>
      <t>CV,CB</t>
    </r>
    <r>
      <rPr>
        <sz val="11"/>
        <rFont val="Calibri"/>
        <family val="2"/>
        <charset val="238"/>
        <scheme val="minor"/>
      </rPr>
      <t xml:space="preserve"> *i</t>
    </r>
    <r>
      <rPr>
        <vertAlign val="subscript"/>
        <sz val="11"/>
        <rFont val="Calibri"/>
        <family val="2"/>
        <charset val="238"/>
        <scheme val="minor"/>
      </rPr>
      <t>vw,CB</t>
    </r>
    <r>
      <rPr>
        <sz val="11"/>
        <rFont val="Calibri"/>
        <family val="2"/>
        <charset val="238"/>
        <scheme val="minor"/>
      </rPr>
      <t xml:space="preserve"> + C</t>
    </r>
    <r>
      <rPr>
        <vertAlign val="subscript"/>
        <sz val="11"/>
        <rFont val="Calibri"/>
        <family val="2"/>
        <charset val="238"/>
        <scheme val="minor"/>
      </rPr>
      <t>U</t>
    </r>
    <r>
      <rPr>
        <sz val="11"/>
        <rFont val="Calibri"/>
        <family val="2"/>
        <charset val="238"/>
        <scheme val="minor"/>
      </rPr>
      <t>/i</t>
    </r>
    <r>
      <rPr>
        <vertAlign val="subscript"/>
        <sz val="11"/>
        <rFont val="Calibri"/>
        <family val="2"/>
        <charset val="238"/>
        <scheme val="minor"/>
      </rPr>
      <t>CV,CU</t>
    </r>
    <r>
      <rPr>
        <sz val="11"/>
        <rFont val="Calibri"/>
        <family val="2"/>
        <charset val="238"/>
        <scheme val="minor"/>
      </rPr>
      <t>*i</t>
    </r>
    <r>
      <rPr>
        <vertAlign val="subscript"/>
        <sz val="11"/>
        <rFont val="Calibri"/>
        <family val="2"/>
        <charset val="238"/>
        <scheme val="minor"/>
      </rPr>
      <t>vw,CU</t>
    </r>
    <r>
      <rPr>
        <sz val="11"/>
        <rFont val="Calibri"/>
        <family val="2"/>
        <charset val="238"/>
        <scheme val="minor"/>
      </rPr>
      <t>)/X</t>
    </r>
    <r>
      <rPr>
        <vertAlign val="subscript"/>
        <sz val="11"/>
        <rFont val="Calibri"/>
        <family val="2"/>
        <charset val="238"/>
        <scheme val="minor"/>
      </rPr>
      <t>VSS</t>
    </r>
  </si>
  <si>
    <r>
      <t>X</t>
    </r>
    <r>
      <rPr>
        <vertAlign val="subscript"/>
        <sz val="11"/>
        <rFont val="Calibri"/>
        <family val="2"/>
        <scheme val="minor"/>
      </rPr>
      <t>PHA,CASTO</t>
    </r>
  </si>
  <si>
    <t>PHA stored in CASTOs</t>
  </si>
  <si>
    <r>
      <t>X</t>
    </r>
    <r>
      <rPr>
        <vertAlign val="subscript"/>
        <sz val="11"/>
        <rFont val="Calibri"/>
        <family val="2"/>
        <scheme val="minor"/>
      </rPr>
      <t>PHA,PAO</t>
    </r>
    <r>
      <rPr>
        <sz val="11"/>
        <rFont val="Calibri"/>
        <family val="2"/>
        <scheme val="minor"/>
      </rPr>
      <t xml:space="preserve"> + X</t>
    </r>
    <r>
      <rPr>
        <vertAlign val="subscript"/>
        <sz val="11"/>
        <rFont val="Calibri"/>
        <family val="2"/>
        <scheme val="minor"/>
      </rPr>
      <t>PHA,GAO</t>
    </r>
  </si>
  <si>
    <t>Stored carbon in CASTOs</t>
  </si>
  <si>
    <t>Observed yield of CASTOs on PHA under aerobic conditions</t>
  </si>
  <si>
    <t>Observed yield of CASTOs on PHA under anoxic conditions</t>
  </si>
  <si>
    <r>
      <t>(Y</t>
    </r>
    <r>
      <rPr>
        <vertAlign val="subscript"/>
        <sz val="11"/>
        <rFont val="Calibri"/>
        <family val="2"/>
        <scheme val="minor"/>
      </rPr>
      <t>PAO,PHA,ox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GAO,PHA,ox</t>
    </r>
    <r>
      <rPr>
        <sz val="11"/>
        <rFont val="Calibri"/>
        <family val="2"/>
        <scheme val="minor"/>
      </rPr>
      <t xml:space="preserve"> * X</t>
    </r>
    <r>
      <rPr>
        <vertAlign val="subscript"/>
        <sz val="11"/>
        <rFont val="Calibri"/>
        <family val="2"/>
        <scheme val="minor"/>
      </rPr>
      <t>PHA,GAO</t>
    </r>
    <r>
      <rPr>
        <sz val="11"/>
        <rFont val="Calibri"/>
        <family val="2"/>
        <scheme val="minor"/>
      </rPr>
      <t>) / X</t>
    </r>
    <r>
      <rPr>
        <vertAlign val="subscript"/>
        <sz val="11"/>
        <rFont val="Calibri"/>
        <family val="2"/>
        <scheme val="minor"/>
      </rPr>
      <t>STC</t>
    </r>
  </si>
  <si>
    <r>
      <t>(Y</t>
    </r>
    <r>
      <rPr>
        <vertAlign val="subscript"/>
        <sz val="11"/>
        <rFont val="Calibri"/>
        <family val="2"/>
        <scheme val="minor"/>
      </rPr>
      <t>PAO,PHA,anox</t>
    </r>
    <r>
      <rPr>
        <sz val="11"/>
        <rFont val="Calibri"/>
        <family val="2"/>
        <scheme val="minor"/>
      </rPr>
      <t xml:space="preserve"> * X</t>
    </r>
    <r>
      <rPr>
        <vertAlign val="subscript"/>
        <sz val="11"/>
        <rFont val="Calibri"/>
        <family val="2"/>
        <scheme val="minor"/>
      </rPr>
      <t>PHA,PAO</t>
    </r>
    <r>
      <rPr>
        <sz val="11"/>
        <rFont val="Calibri"/>
        <family val="2"/>
        <scheme val="minor"/>
      </rPr>
      <t xml:space="preserve"> + Y</t>
    </r>
    <r>
      <rPr>
        <vertAlign val="subscript"/>
        <sz val="11"/>
        <rFont val="Calibri"/>
        <family val="2"/>
        <scheme val="minor"/>
      </rPr>
      <t>GAO,PHA,anox</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</si>
  <si>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X</t>
    </r>
    <r>
      <rPr>
        <vertAlign val="subscript"/>
        <sz val="11"/>
        <color rgb="FF000000"/>
        <rFont val="Calibri"/>
        <family val="2"/>
      </rPr>
      <t>PHA,PAO</t>
    </r>
    <r>
      <rPr>
        <sz val="11"/>
        <color indexed="8"/>
        <rFont val="Calibri"/>
        <family val="2"/>
      </rPr>
      <t xml:space="preserve"> / X</t>
    </r>
    <r>
      <rPr>
        <vertAlign val="subscript"/>
        <sz val="11"/>
        <color rgb="FF000000"/>
        <rFont val="Calibri"/>
        <family val="2"/>
      </rPr>
      <t>STC</t>
    </r>
  </si>
  <si>
    <r>
      <t>X</t>
    </r>
    <r>
      <rPr>
        <vertAlign val="subscript"/>
        <sz val="11"/>
        <color rgb="FF000000"/>
        <rFont val="Calibri"/>
        <family val="2"/>
      </rPr>
      <t>PHA,GAO</t>
    </r>
    <r>
      <rPr>
        <sz val="11"/>
        <color indexed="8"/>
        <rFont val="Calibri"/>
        <family val="2"/>
      </rPr>
      <t xml:space="preserve"> / X</t>
    </r>
    <r>
      <rPr>
        <vertAlign val="subscript"/>
        <sz val="11"/>
        <color rgb="FF000000"/>
        <rFont val="Calibri"/>
        <family val="2"/>
      </rPr>
      <t>STC</t>
    </r>
  </si>
  <si>
    <r>
      <t>(i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PHA,PAO</t>
    </r>
    <r>
      <rPr>
        <sz val="11"/>
        <rFont val="Calibri"/>
        <family val="2"/>
        <scheme val="minor"/>
      </rPr>
      <t xml:space="preserve"> + i</t>
    </r>
    <r>
      <rPr>
        <vertAlign val="subscript"/>
        <sz val="11"/>
        <rFont val="Calibri"/>
        <family val="2"/>
        <scheme val="minor"/>
      </rPr>
      <t>CIT,PHA</t>
    </r>
    <r>
      <rPr>
        <sz val="11"/>
        <rFont val="Calibri"/>
        <family val="2"/>
        <scheme val="minor"/>
      </rPr>
      <t xml:space="preserve"> * X</t>
    </r>
    <r>
      <rPr>
        <vertAlign val="subscript"/>
        <sz val="11"/>
        <rFont val="Calibri"/>
        <family val="2"/>
        <scheme val="minor"/>
      </rPr>
      <t>PHA,GAO</t>
    </r>
    <r>
      <rPr>
        <sz val="11"/>
        <rFont val="Calibri"/>
        <family val="2"/>
        <scheme val="minor"/>
      </rPr>
      <t xml:space="preserve"> ) / X</t>
    </r>
    <r>
      <rPr>
        <vertAlign val="subscript"/>
        <sz val="11"/>
        <rFont val="Calibri"/>
        <family val="2"/>
        <scheme val="minor"/>
      </rPr>
      <t>STC</t>
    </r>
  </si>
  <si>
    <r>
      <t>Loginh</t>
    </r>
    <r>
      <rPr>
        <vertAlign val="subscript"/>
        <sz val="11"/>
        <rFont val="Calibri"/>
        <family val="2"/>
        <scheme val="minor"/>
      </rPr>
      <t>XPHA,XGAO,max</t>
    </r>
  </si>
  <si>
    <t>Logistic inhibition term for PHA (GAO)</t>
  </si>
  <si>
    <r>
      <t>Loginh(X</t>
    </r>
    <r>
      <rPr>
        <vertAlign val="subscript"/>
        <sz val="11"/>
        <rFont val="Calibri"/>
        <family val="2"/>
        <charset val="238"/>
        <scheme val="minor"/>
      </rPr>
      <t>PHA,GAO</t>
    </r>
    <r>
      <rPr>
        <sz val="11"/>
        <rFont val="Calibri"/>
        <family val="2"/>
        <scheme val="minor"/>
      </rPr>
      <t>/X</t>
    </r>
    <r>
      <rPr>
        <vertAlign val="subscript"/>
        <sz val="11"/>
        <rFont val="Calibri"/>
        <family val="2"/>
        <charset val="238"/>
        <scheme val="minor"/>
      </rPr>
      <t>GAO</t>
    </r>
    <r>
      <rPr>
        <sz val="11"/>
        <rFont val="Calibri"/>
        <family val="2"/>
        <scheme val="minor"/>
      </rPr>
      <t>; Ki</t>
    </r>
    <r>
      <rPr>
        <vertAlign val="subscript"/>
        <sz val="11"/>
        <rFont val="Calibri"/>
        <family val="2"/>
        <charset val="238"/>
        <scheme val="minor"/>
      </rPr>
      <t>PHA,GAO,max</t>
    </r>
    <r>
      <rPr>
        <sz val="11"/>
        <rFont val="Calibri"/>
        <family val="2"/>
        <scheme val="minor"/>
      </rPr>
      <t>; Logslope</t>
    </r>
    <r>
      <rPr>
        <vertAlign val="subscript"/>
        <sz val="11"/>
        <rFont val="Calibri"/>
        <family val="2"/>
        <charset val="238"/>
        <scheme val="minor"/>
      </rPr>
      <t>PHA,GAO,inh</t>
    </r>
    <r>
      <rPr>
        <sz val="11"/>
        <rFont val="Calibri"/>
        <family val="2"/>
        <scheme val="minor"/>
      </rPr>
      <t>)</t>
    </r>
  </si>
  <si>
    <r>
      <t>MRinh</t>
    </r>
    <r>
      <rPr>
        <vertAlign val="subscript"/>
        <sz val="11"/>
        <rFont val="Calibri"/>
        <family val="2"/>
        <scheme val="minor"/>
      </rPr>
      <t>XPHA,XGAO,</t>
    </r>
    <r>
      <rPr>
        <vertAlign val="subscript"/>
        <sz val="11"/>
        <rFont val="Calibri"/>
        <family val="2"/>
        <charset val="238"/>
        <scheme val="minor"/>
      </rPr>
      <t>KPHA</t>
    </r>
  </si>
  <si>
    <t>Inhibition term for PHA (GAO)</t>
  </si>
  <si>
    <r>
      <t>MRinh(X</t>
    </r>
    <r>
      <rPr>
        <vertAlign val="subscript"/>
        <sz val="11"/>
        <rFont val="Calibri"/>
        <family val="2"/>
        <scheme val="minor"/>
      </rPr>
      <t>PHA,GAO</t>
    </r>
    <r>
      <rPr>
        <sz val="11"/>
        <rFont val="Calibri"/>
        <family val="2"/>
        <charset val="238"/>
        <scheme val="minor"/>
      </rPr>
      <t>;</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charset val="238"/>
        <scheme val="minor"/>
      </rPr>
      <t>)</t>
    </r>
  </si>
  <si>
    <r>
      <t>MRsat</t>
    </r>
    <r>
      <rPr>
        <vertAlign val="subscript"/>
        <sz val="11"/>
        <rFont val="Calibri"/>
        <family val="2"/>
        <scheme val="minor"/>
      </rPr>
      <t>XPHA,XGAO,</t>
    </r>
    <r>
      <rPr>
        <vertAlign val="subscript"/>
        <sz val="11"/>
        <rFont val="Calibri"/>
        <family val="2"/>
        <charset val="238"/>
        <scheme val="minor"/>
      </rPr>
      <t>KPHA</t>
    </r>
  </si>
  <si>
    <t>Saturation term for PHA (GAO)</t>
  </si>
  <si>
    <r>
      <t>MRsat(X</t>
    </r>
    <r>
      <rPr>
        <vertAlign val="subscript"/>
        <sz val="11"/>
        <rFont val="Calibri"/>
        <family val="2"/>
        <scheme val="minor"/>
      </rPr>
      <t>PHA,GAO</t>
    </r>
    <r>
      <rPr>
        <sz val="11"/>
        <rFont val="Calibri"/>
        <family val="2"/>
        <scheme val="minor"/>
      </rPr>
      <t>;X</t>
    </r>
    <r>
      <rPr>
        <vertAlign val="subscript"/>
        <sz val="11"/>
        <rFont val="Calibri"/>
        <family val="2"/>
        <scheme val="minor"/>
      </rPr>
      <t>GAO</t>
    </r>
    <r>
      <rPr>
        <sz val="11"/>
        <rFont val="Calibri"/>
        <family val="2"/>
        <scheme val="minor"/>
      </rPr>
      <t>;</t>
    </r>
    <r>
      <rPr>
        <sz val="11"/>
        <rFont val="Calibri"/>
        <family val="2"/>
        <charset val="238"/>
        <scheme val="minor"/>
      </rPr>
      <t>K</t>
    </r>
    <r>
      <rPr>
        <vertAlign val="subscript"/>
        <sz val="11"/>
        <rFont val="Calibri"/>
        <family val="2"/>
        <charset val="238"/>
        <scheme val="minor"/>
      </rPr>
      <t>PHA,GAO</t>
    </r>
    <r>
      <rPr>
        <sz val="11"/>
        <rFont val="Calibri"/>
        <family val="2"/>
        <scheme val="minor"/>
      </rPr>
      <t>)</t>
    </r>
  </si>
  <si>
    <r>
      <t>Loginh(X</t>
    </r>
    <r>
      <rPr>
        <vertAlign val="subscript"/>
        <sz val="11"/>
        <rFont val="Calibri"/>
        <family val="2"/>
        <charset val="238"/>
        <scheme val="minor"/>
      </rPr>
      <t>PHA,PAO</t>
    </r>
    <r>
      <rPr>
        <sz val="11"/>
        <rFont val="Calibri"/>
        <family val="2"/>
        <scheme val="minor"/>
      </rPr>
      <t>/X</t>
    </r>
    <r>
      <rPr>
        <vertAlign val="subscript"/>
        <sz val="11"/>
        <rFont val="Calibri"/>
        <family val="2"/>
        <charset val="238"/>
        <scheme val="minor"/>
      </rPr>
      <t>PAO</t>
    </r>
    <r>
      <rPr>
        <sz val="11"/>
        <rFont val="Calibri"/>
        <family val="2"/>
        <scheme val="minor"/>
      </rPr>
      <t>; Ki</t>
    </r>
    <r>
      <rPr>
        <vertAlign val="subscript"/>
        <sz val="11"/>
        <rFont val="Calibri"/>
        <family val="2"/>
        <charset val="238"/>
        <scheme val="minor"/>
      </rPr>
      <t>PHA,PAO,max</t>
    </r>
    <r>
      <rPr>
        <sz val="11"/>
        <rFont val="Calibri"/>
        <family val="2"/>
        <scheme val="minor"/>
      </rPr>
      <t>; Logslope</t>
    </r>
    <r>
      <rPr>
        <vertAlign val="subscript"/>
        <sz val="11"/>
        <rFont val="Calibri"/>
        <family val="2"/>
        <charset val="238"/>
        <scheme val="minor"/>
      </rPr>
      <t>PHA,PAO,inh</t>
    </r>
    <r>
      <rPr>
        <sz val="11"/>
        <rFont val="Calibri"/>
        <family val="2"/>
        <scheme val="minor"/>
      </rPr>
      <t>)</t>
    </r>
  </si>
  <si>
    <r>
      <t>Logslope</t>
    </r>
    <r>
      <rPr>
        <vertAlign val="subscript"/>
        <sz val="11"/>
        <rFont val="Calibri"/>
        <family val="2"/>
        <charset val="238"/>
        <scheme val="minor"/>
      </rPr>
      <t>PHA,GAO,inh</t>
    </r>
  </si>
  <si>
    <t>Logistic slope of inhibition term for PHA/GAO</t>
  </si>
  <si>
    <r>
      <t>Logisticslope(Ki</t>
    </r>
    <r>
      <rPr>
        <vertAlign val="subscript"/>
        <sz val="11"/>
        <rFont val="Calibri"/>
        <family val="2"/>
        <charset val="238"/>
        <scheme val="minor"/>
      </rPr>
      <t>PHA,GAO,max</t>
    </r>
    <r>
      <rPr>
        <sz val="11"/>
        <rFont val="Calibri"/>
        <family val="2"/>
        <scheme val="minor"/>
      </rPr>
      <t>; Logrange</t>
    </r>
    <r>
      <rPr>
        <vertAlign val="subscript"/>
        <sz val="11"/>
        <rFont val="Calibri"/>
        <family val="2"/>
        <charset val="238"/>
        <scheme val="minor"/>
      </rPr>
      <t>PHA,GAO,inh</t>
    </r>
    <r>
      <rPr>
        <sz val="11"/>
        <rFont val="Calibri"/>
        <family val="2"/>
        <scheme val="minor"/>
      </rPr>
      <t>)</t>
    </r>
  </si>
  <si>
    <t>Temperature correction of ORP switch of PHA storage by GAO</t>
  </si>
  <si>
    <t>ORP switch of PHA storage by GAO</t>
  </si>
  <si>
    <t>Saturation term for carbon storage (CASTO)</t>
  </si>
  <si>
    <t>Inhibition term for carbon storage (CASTO)</t>
  </si>
  <si>
    <r>
      <t>q</t>
    </r>
    <r>
      <rPr>
        <vertAlign val="subscript"/>
        <sz val="11"/>
        <color indexed="8"/>
        <rFont val="Calibri"/>
        <family val="2"/>
        <scheme val="minor"/>
      </rPr>
      <t>GAO,PHA,T</t>
    </r>
  </si>
  <si>
    <t>Rate of VFA storage into PHA for GAOs (temperature corrected)</t>
  </si>
  <si>
    <r>
      <t>q</t>
    </r>
    <r>
      <rPr>
        <vertAlign val="subscript"/>
        <sz val="11"/>
        <color indexed="8"/>
        <rFont val="Calibri"/>
        <family val="2"/>
        <scheme val="minor"/>
      </rPr>
      <t>GAO,PHA</t>
    </r>
    <r>
      <rPr>
        <sz val="11"/>
        <color indexed="8"/>
        <rFont val="Calibri"/>
        <family val="2"/>
        <scheme val="minor"/>
      </rPr>
      <t>*Arrh(θ</t>
    </r>
    <r>
      <rPr>
        <vertAlign val="subscript"/>
        <sz val="11"/>
        <color indexed="8"/>
        <rFont val="Calibri"/>
        <family val="2"/>
        <scheme val="minor"/>
      </rPr>
      <t>q,GAO,PHA</t>
    </r>
    <r>
      <rPr>
        <sz val="11"/>
        <color indexed="8"/>
        <rFont val="Calibri"/>
        <family val="2"/>
        <scheme val="minor"/>
      </rPr>
      <t>; T; T</t>
    </r>
    <r>
      <rPr>
        <vertAlign val="subscript"/>
        <sz val="11"/>
        <color indexed="8"/>
        <rFont val="Calibri"/>
        <family val="2"/>
        <scheme val="minor"/>
      </rPr>
      <t>base</t>
    </r>
    <r>
      <rPr>
        <sz val="11"/>
        <color indexed="8"/>
        <rFont val="Calibri"/>
        <family val="2"/>
        <scheme val="minor"/>
      </rPr>
      <t>)</t>
    </r>
  </si>
  <si>
    <t>Observed rate of CASTOs maintenance on stored carbon (temperature corrected)</t>
  </si>
  <si>
    <r>
      <t>MRsat(X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t>
    </r>
    <r>
      <rPr>
        <sz val="11"/>
        <rFont val="Calibri"/>
        <family val="2"/>
        <scheme val="minor"/>
      </rPr>
      <t>)</t>
    </r>
  </si>
  <si>
    <r>
      <t>MRinh(X</t>
    </r>
    <r>
      <rPr>
        <vertAlign val="subscript"/>
        <sz val="11"/>
        <rFont val="Calibri"/>
        <family val="2"/>
        <scheme val="minor"/>
      </rPr>
      <t>PHA,PAO</t>
    </r>
    <r>
      <rPr>
        <sz val="11"/>
        <rFont val="Calibri"/>
        <family val="2"/>
        <scheme val="minor"/>
      </rPr>
      <t>;X</t>
    </r>
    <r>
      <rPr>
        <vertAlign val="subscript"/>
        <sz val="11"/>
        <rFont val="Calibri"/>
        <family val="2"/>
        <scheme val="minor"/>
      </rPr>
      <t>PAO</t>
    </r>
    <r>
      <rPr>
        <sz val="11"/>
        <rFont val="Calibri"/>
        <family val="2"/>
        <scheme val="minor"/>
      </rPr>
      <t>;K</t>
    </r>
    <r>
      <rPr>
        <vertAlign val="subscript"/>
        <sz val="11"/>
        <rFont val="Calibri"/>
        <family val="2"/>
        <scheme val="minor"/>
      </rPr>
      <t>PHA,cle</t>
    </r>
    <r>
      <rPr>
        <sz val="11"/>
        <rFont val="Calibri"/>
        <family val="2"/>
        <scheme val="minor"/>
      </rPr>
      <t>)</t>
    </r>
  </si>
  <si>
    <r>
      <t>q</t>
    </r>
    <r>
      <rPr>
        <vertAlign val="subscript"/>
        <sz val="11"/>
        <rFont val="Calibri"/>
        <family val="2"/>
      </rPr>
      <t>GAO,PHA,T</t>
    </r>
    <r>
      <rPr>
        <sz val="11"/>
        <rFont val="Calibri"/>
        <family val="2"/>
      </rPr>
      <t xml:space="preserve"> * X</t>
    </r>
    <r>
      <rPr>
        <vertAlign val="subscript"/>
        <sz val="11"/>
        <rFont val="Calibri"/>
        <family val="2"/>
      </rPr>
      <t>CASTO</t>
    </r>
    <r>
      <rPr>
        <sz val="11"/>
        <rFont val="Calibri"/>
        <family val="2"/>
        <charset val="238"/>
      </rPr>
      <t xml:space="preserve"> * act</t>
    </r>
    <r>
      <rPr>
        <vertAlign val="subscript"/>
        <sz val="11"/>
        <rFont val="Calibri"/>
        <family val="2"/>
      </rPr>
      <t>sto,GAO,ORP</t>
    </r>
    <r>
      <rPr>
        <sz val="11"/>
        <rFont val="Calibri"/>
        <family val="2"/>
      </rPr>
      <t xml:space="preserve"> * Msat</t>
    </r>
    <r>
      <rPr>
        <vertAlign val="subscript"/>
        <sz val="11"/>
        <rFont val="Calibri"/>
        <family val="2"/>
      </rPr>
      <t>SVFA,KVFA,CASTO</t>
    </r>
    <r>
      <rPr>
        <sz val="11"/>
        <rFont val="Calibri"/>
        <family val="2"/>
      </rPr>
      <t xml:space="preserve"> * Loginh</t>
    </r>
    <r>
      <rPr>
        <vertAlign val="subscript"/>
        <sz val="11"/>
        <rFont val="Calibri"/>
        <family val="2"/>
      </rPr>
      <t>XPHA,XGAO,max</t>
    </r>
  </si>
  <si>
    <r>
      <t>b</t>
    </r>
    <r>
      <rPr>
        <vertAlign val="subscript"/>
        <sz val="11"/>
        <rFont val="Calibri"/>
        <family val="2"/>
      </rPr>
      <t>STC,T</t>
    </r>
    <r>
      <rPr>
        <sz val="11"/>
        <rFont val="Calibri"/>
        <family val="2"/>
      </rPr>
      <t xml:space="preserve"> * η</t>
    </r>
    <r>
      <rPr>
        <vertAlign val="subscript"/>
        <sz val="11"/>
        <rFont val="Calibri"/>
        <family val="2"/>
      </rPr>
      <t>bPHA,ana</t>
    </r>
    <r>
      <rPr>
        <sz val="11"/>
        <rFont val="Calibri"/>
        <family val="2"/>
      </rPr>
      <t xml:space="preserve"> * X</t>
    </r>
    <r>
      <rPr>
        <vertAlign val="subscript"/>
        <sz val="11"/>
        <rFont val="Calibri"/>
        <family val="2"/>
      </rPr>
      <t>GAO</t>
    </r>
    <r>
      <rPr>
        <sz val="11"/>
        <rFont val="Calibri"/>
        <family val="2"/>
      </rPr>
      <t xml:space="preserve"> * Minh</t>
    </r>
    <r>
      <rPr>
        <vertAlign val="subscript"/>
        <sz val="11"/>
        <rFont val="Calibri"/>
        <family val="2"/>
      </rPr>
      <t>SO2,KO2,CASTO</t>
    </r>
    <r>
      <rPr>
        <sz val="11"/>
        <rFont val="Calibri"/>
        <family val="2"/>
      </rPr>
      <t xml:space="preserve"> * Minh</t>
    </r>
    <r>
      <rPr>
        <vertAlign val="subscript"/>
        <sz val="11"/>
        <rFont val="Calibri"/>
        <family val="2"/>
      </rPr>
      <t>SNO3,KNO3,CASTO</t>
    </r>
    <r>
      <rPr>
        <sz val="11"/>
        <rFont val="Calibri"/>
        <family val="2"/>
        <charset val="238"/>
      </rPr>
      <t xml:space="preserve"> * Minh</t>
    </r>
    <r>
      <rPr>
        <vertAlign val="subscript"/>
        <sz val="11"/>
        <rFont val="Calibri"/>
        <family val="2"/>
      </rPr>
      <t>SNO2,KNO2,CASTO</t>
    </r>
    <r>
      <rPr>
        <sz val="11"/>
        <rFont val="Calibri"/>
        <family val="2"/>
      </rPr>
      <t xml:space="preserve"> * MRsat</t>
    </r>
    <r>
      <rPr>
        <vertAlign val="subscript"/>
        <sz val="11"/>
        <rFont val="Calibri"/>
        <family val="2"/>
      </rPr>
      <t>XPHA,XGAO,KPHA</t>
    </r>
  </si>
  <si>
    <r>
      <t>b</t>
    </r>
    <r>
      <rPr>
        <vertAlign val="subscript"/>
        <sz val="11"/>
        <rFont val="Calibri"/>
        <family val="2"/>
      </rPr>
      <t xml:space="preserve">CASTO,T </t>
    </r>
    <r>
      <rPr>
        <sz val="11"/>
        <rFont val="Calibri"/>
        <family val="2"/>
      </rPr>
      <t>* (η</t>
    </r>
    <r>
      <rPr>
        <vertAlign val="subscript"/>
        <sz val="11"/>
        <rFont val="Calibri"/>
        <family val="2"/>
      </rPr>
      <t xml:space="preserve">bCASTO,ana </t>
    </r>
    <r>
      <rPr>
        <sz val="11"/>
        <rFont val="Calibri"/>
        <family val="2"/>
      </rPr>
      <t>* (X</t>
    </r>
    <r>
      <rPr>
        <vertAlign val="subscript"/>
        <sz val="11"/>
        <rFont val="Calibri"/>
        <family val="2"/>
        <charset val="238"/>
      </rPr>
      <t>PAO</t>
    </r>
    <r>
      <rPr>
        <sz val="11"/>
        <rFont val="Calibri"/>
        <family val="2"/>
      </rPr>
      <t xml:space="preserve"> * MRinh</t>
    </r>
    <r>
      <rPr>
        <vertAlign val="subscript"/>
        <sz val="11"/>
        <rFont val="Calibri"/>
        <family val="2"/>
      </rPr>
      <t>XPP,XPAO,KPP</t>
    </r>
    <r>
      <rPr>
        <sz val="11"/>
        <rFont val="Calibri"/>
        <family val="2"/>
      </rPr>
      <t xml:space="preserve"> + X</t>
    </r>
    <r>
      <rPr>
        <vertAlign val="subscript"/>
        <sz val="11"/>
        <rFont val="Calibri"/>
        <family val="2"/>
        <charset val="238"/>
      </rPr>
      <t>GAO</t>
    </r>
    <r>
      <rPr>
        <sz val="11"/>
        <rFont val="Calibri"/>
        <family val="2"/>
      </rPr>
      <t xml:space="preserve"> * MRinh</t>
    </r>
    <r>
      <rPr>
        <vertAlign val="subscript"/>
        <sz val="11"/>
        <rFont val="Calibri"/>
        <family val="2"/>
      </rPr>
      <t>XPHA,XGAO,KPHA</t>
    </r>
    <r>
      <rPr>
        <sz val="11"/>
        <rFont val="Calibri"/>
        <family val="2"/>
      </rPr>
      <t>) * Minh</t>
    </r>
    <r>
      <rPr>
        <vertAlign val="subscript"/>
        <sz val="11"/>
        <rFont val="Calibri"/>
        <family val="2"/>
      </rPr>
      <t>SNO3,KNO3,CASTO</t>
    </r>
    <r>
      <rPr>
        <sz val="11"/>
        <rFont val="Calibri"/>
        <family val="2"/>
        <charset val="238"/>
      </rPr>
      <t xml:space="preserve"> * Minh</t>
    </r>
    <r>
      <rPr>
        <vertAlign val="subscript"/>
        <sz val="11"/>
        <rFont val="Calibri"/>
        <family val="2"/>
      </rPr>
      <t xml:space="preserve">SNO2,KNO2,CASTO </t>
    </r>
    <r>
      <rPr>
        <sz val="11"/>
        <rFont val="Calibri"/>
        <family val="2"/>
      </rPr>
      <t>* Minh</t>
    </r>
    <r>
      <rPr>
        <vertAlign val="subscript"/>
        <sz val="11"/>
        <rFont val="Calibri"/>
        <family val="2"/>
      </rPr>
      <t xml:space="preserve">SO2,KO2,CASTO </t>
    </r>
    <r>
      <rPr>
        <sz val="11"/>
        <rFont val="Calibri"/>
        <family val="2"/>
      </rPr>
      <t>+ X</t>
    </r>
    <r>
      <rPr>
        <vertAlign val="subscript"/>
        <sz val="11"/>
        <rFont val="Calibri"/>
        <family val="2"/>
        <charset val="238"/>
      </rPr>
      <t>CASTO</t>
    </r>
    <r>
      <rPr>
        <sz val="11"/>
        <rFont val="Calibri"/>
        <family val="2"/>
      </rPr>
      <t xml:space="preserve"> * m</t>
    </r>
    <r>
      <rPr>
        <vertAlign val="subscript"/>
        <sz val="11"/>
        <rFont val="Calibri"/>
        <family val="2"/>
      </rPr>
      <t>tox,ana</t>
    </r>
    <r>
      <rPr>
        <sz val="11"/>
        <rFont val="Calibri"/>
        <family val="2"/>
      </rPr>
      <t>)</t>
    </r>
  </si>
  <si>
    <r>
      <t>-X</t>
    </r>
    <r>
      <rPr>
        <vertAlign val="subscript"/>
        <sz val="11"/>
        <rFont val="Calibri"/>
        <family val="2"/>
      </rPr>
      <t>PHA,PAO</t>
    </r>
    <r>
      <rPr>
        <sz val="11"/>
        <rFont val="Calibri"/>
        <family val="2"/>
      </rPr>
      <t>/X</t>
    </r>
    <r>
      <rPr>
        <vertAlign val="subscript"/>
        <sz val="11"/>
        <rFont val="Calibri"/>
        <family val="2"/>
      </rPr>
      <t>CASTO</t>
    </r>
  </si>
  <si>
    <r>
      <t>-X</t>
    </r>
    <r>
      <rPr>
        <vertAlign val="subscript"/>
        <sz val="11"/>
        <rFont val="Calibri"/>
        <family val="2"/>
      </rPr>
      <t>PHA,GAO</t>
    </r>
    <r>
      <rPr>
        <sz val="11"/>
        <rFont val="Calibri"/>
        <family val="2"/>
      </rPr>
      <t>/X</t>
    </r>
    <r>
      <rPr>
        <vertAlign val="subscript"/>
        <sz val="11"/>
        <rFont val="Calibri"/>
        <family val="2"/>
      </rPr>
      <t>CASTO</t>
    </r>
  </si>
  <si>
    <r>
      <t>-X</t>
    </r>
    <r>
      <rPr>
        <vertAlign val="subscript"/>
        <sz val="11"/>
        <rFont val="Calibri"/>
        <family val="2"/>
      </rPr>
      <t>PHA,PAO</t>
    </r>
    <r>
      <rPr>
        <sz val="11"/>
        <rFont val="Calibri"/>
        <family val="2"/>
      </rPr>
      <t>/X</t>
    </r>
    <r>
      <rPr>
        <vertAlign val="subscript"/>
        <sz val="11"/>
        <rFont val="Calibri"/>
        <family val="2"/>
      </rPr>
      <t>STC</t>
    </r>
  </si>
  <si>
    <r>
      <t>-X</t>
    </r>
    <r>
      <rPr>
        <vertAlign val="subscript"/>
        <sz val="11"/>
        <rFont val="Calibri"/>
        <family val="2"/>
      </rPr>
      <t>PHA,GAO</t>
    </r>
    <r>
      <rPr>
        <sz val="11"/>
        <rFont val="Calibri"/>
        <family val="2"/>
      </rPr>
      <t>/X</t>
    </r>
    <r>
      <rPr>
        <vertAlign val="subscript"/>
        <sz val="11"/>
        <rFont val="Calibri"/>
        <family val="2"/>
      </rPr>
      <t>STC</t>
    </r>
  </si>
  <si>
    <r>
      <t>-1/Y</t>
    </r>
    <r>
      <rPr>
        <vertAlign val="subscript"/>
        <sz val="11"/>
        <rFont val="Calibri"/>
        <family val="2"/>
      </rPr>
      <t>PAO,PHA,ox</t>
    </r>
  </si>
  <si>
    <r>
      <t>-1/Y</t>
    </r>
    <r>
      <rPr>
        <vertAlign val="subscript"/>
        <sz val="11"/>
        <rFont val="Calibri"/>
        <family val="2"/>
      </rPr>
      <t>PAO,PHA,anox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</si>
  <si>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</si>
  <si>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CASTO,STC,ox</t>
    </r>
  </si>
  <si>
    <r>
      <t>-(X</t>
    </r>
    <r>
      <rPr>
        <vertAlign val="subscript"/>
        <sz val="11"/>
        <rFont val="Calibri"/>
        <family val="2"/>
      </rPr>
      <t>PHA,PAO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</si>
  <si>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-(X</t>
    </r>
    <r>
      <rPr>
        <vertAlign val="subscript"/>
        <sz val="11"/>
        <rFont val="Calibri"/>
        <family val="2"/>
      </rPr>
      <t>PHA,GAO</t>
    </r>
    <r>
      <rPr>
        <sz val="11"/>
        <rFont val="Calibri"/>
        <family val="2"/>
      </rPr>
      <t>/X</t>
    </r>
    <r>
      <rPr>
        <vertAlign val="subscript"/>
        <sz val="11"/>
        <rFont val="Calibri"/>
        <family val="2"/>
      </rPr>
      <t>STC</t>
    </r>
    <r>
      <rPr>
        <sz val="11"/>
        <rFont val="Calibri"/>
        <family val="2"/>
      </rPr>
      <t>)/Y</t>
    </r>
    <r>
      <rPr>
        <vertAlign val="subscript"/>
        <sz val="11"/>
        <rFont val="Calibri"/>
        <family val="2"/>
      </rPr>
      <t>CASTO,STC,anox</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</si>
  <si>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</si>
  <si>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</si>
  <si>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NO2,NO3</t>
    </r>
    <r>
      <rPr>
        <sz val="11"/>
        <rFont val="Calibri"/>
        <family val="2"/>
      </rPr>
      <t>*Y</t>
    </r>
    <r>
      <rPr>
        <vertAlign val="subscript"/>
        <sz val="11"/>
        <rFont val="Calibri"/>
        <family val="2"/>
      </rPr>
      <t>PAO,PHA,anox</t>
    </r>
    <r>
      <rPr>
        <sz val="11"/>
        <rFont val="Calibri"/>
        <family val="2"/>
      </rPr>
      <t>)</t>
    </r>
  </si>
  <si>
    <r>
      <t>(1-Y</t>
    </r>
    <r>
      <rPr>
        <vertAlign val="subscript"/>
        <sz val="11"/>
        <rFont val="Calibri"/>
        <family val="2"/>
      </rPr>
      <t>PAO,PHA,anox</t>
    </r>
    <r>
      <rPr>
        <sz val="11"/>
        <rFont val="Calibri"/>
        <family val="2"/>
      </rPr>
      <t>)/(EEQ</t>
    </r>
    <r>
      <rPr>
        <vertAlign val="subscript"/>
        <sz val="11"/>
        <rFont val="Calibri"/>
        <family val="2"/>
      </rPr>
      <t>N2,NO2</t>
    </r>
    <r>
      <rPr>
        <sz val="11"/>
        <rFont val="Calibri"/>
        <family val="2"/>
      </rPr>
      <t>*Y</t>
    </r>
    <r>
      <rPr>
        <vertAlign val="subscript"/>
        <sz val="11"/>
        <rFont val="Calibri"/>
        <family val="2"/>
      </rPr>
      <t>PAO,PHA,anox</t>
    </r>
    <r>
      <rPr>
        <sz val="11"/>
        <rFont val="Calibri"/>
        <family val="2"/>
      </rPr>
      <t>)</t>
    </r>
  </si>
  <si>
    <t>GAO's PHA storage from VFAs</t>
  </si>
  <si>
    <r>
      <t>-(1-Y</t>
    </r>
    <r>
      <rPr>
        <vertAlign val="subscript"/>
        <sz val="11"/>
        <rFont val="Calibri"/>
        <family val="2"/>
      </rPr>
      <t>PAO,PHA,ox</t>
    </r>
    <r>
      <rPr>
        <sz val="11"/>
        <rFont val="Calibri"/>
        <family val="2"/>
      </rPr>
      <t>)/Y</t>
    </r>
    <r>
      <rPr>
        <vertAlign val="subscript"/>
        <sz val="11"/>
        <rFont val="Calibri"/>
        <family val="2"/>
      </rPr>
      <t>PAO,PHA,ox</t>
    </r>
  </si>
  <si>
    <r>
      <t>i</t>
    </r>
    <r>
      <rPr>
        <vertAlign val="subscript"/>
        <sz val="11"/>
        <rFont val="Calibri"/>
        <family val="2"/>
      </rPr>
      <t>CIT,PHA</t>
    </r>
    <r>
      <rPr>
        <sz val="11"/>
        <rFont val="Calibri"/>
        <family val="2"/>
      </rPr>
      <t>-i</t>
    </r>
    <r>
      <rPr>
        <vertAlign val="subscript"/>
        <sz val="11"/>
        <rFont val="Calibri"/>
        <family val="2"/>
      </rPr>
      <t>CIT,VFA</t>
    </r>
  </si>
  <si>
    <r>
      <t>(i</t>
    </r>
    <r>
      <rPr>
        <vertAlign val="subscript"/>
        <sz val="11"/>
        <rFont val="Calibri"/>
        <family val="2"/>
      </rPr>
      <t>CIT,PHA</t>
    </r>
    <r>
      <rPr>
        <sz val="11"/>
        <rFont val="Calibri"/>
        <family val="2"/>
      </rPr>
      <t>/Y</t>
    </r>
    <r>
      <rPr>
        <vertAlign val="subscript"/>
        <sz val="11"/>
        <rFont val="Calibri"/>
        <family val="2"/>
      </rPr>
      <t>PAO,PHA,ox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</si>
  <si>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(i</t>
    </r>
    <r>
      <rPr>
        <vertAlign val="subscript"/>
        <sz val="11"/>
        <rFont val="Calibri"/>
        <family val="2"/>
      </rPr>
      <t>CIT,PHA</t>
    </r>
    <r>
      <rPr>
        <sz val="11"/>
        <rFont val="Calibri"/>
        <family val="2"/>
      </rPr>
      <t>/Y</t>
    </r>
    <r>
      <rPr>
        <vertAlign val="subscript"/>
        <sz val="11"/>
        <rFont val="Calibri"/>
        <family val="2"/>
      </rPr>
      <t>PAO,PHA,anox</t>
    </r>
    <r>
      <rPr>
        <sz val="11"/>
        <rFont val="Calibri"/>
        <family val="2"/>
      </rPr>
      <t>)</t>
    </r>
    <r>
      <rPr>
        <vertAlign val="subscript"/>
        <sz val="11"/>
        <rFont val="Calibri"/>
        <family val="2"/>
      </rPr>
      <t xml:space="preserve"> </t>
    </r>
    <r>
      <rPr>
        <sz val="11"/>
        <rFont val="Calibri"/>
        <family val="2"/>
      </rPr>
      <t>- i</t>
    </r>
    <r>
      <rPr>
        <vertAlign val="subscript"/>
        <sz val="11"/>
        <rFont val="Calibri"/>
        <family val="2"/>
      </rPr>
      <t>CIT,BIO</t>
    </r>
  </si>
  <si>
    <r>
      <t>CASTO growth on PHA, O</t>
    </r>
    <r>
      <rPr>
        <vertAlign val="subscript"/>
        <sz val="11"/>
        <color rgb="FF000000"/>
        <rFont val="Calibri"/>
        <family val="2"/>
        <scheme val="minor"/>
      </rPr>
      <t>2</t>
    </r>
  </si>
  <si>
    <r>
      <t>CASTO growth on PHA, NO</t>
    </r>
    <r>
      <rPr>
        <vertAlign val="subscript"/>
        <sz val="11"/>
        <color rgb="FF000000"/>
        <rFont val="Calibri"/>
        <family val="2"/>
        <scheme val="minor"/>
      </rPr>
      <t>2</t>
    </r>
  </si>
  <si>
    <r>
      <t>CASTO growth on PHA, NO</t>
    </r>
    <r>
      <rPr>
        <vertAlign val="subscript"/>
        <sz val="11"/>
        <color rgb="FF000000"/>
        <rFont val="Calibri"/>
        <family val="2"/>
        <scheme val="minor"/>
      </rPr>
      <t>3</t>
    </r>
  </si>
  <si>
    <t>r120</t>
  </si>
  <si>
    <r>
      <t>COUR + NOUR - (v89_S</t>
    </r>
    <r>
      <rPr>
        <vertAlign val="subscript"/>
        <sz val="11"/>
        <rFont val="Calibri"/>
        <family val="2"/>
        <charset val="238"/>
        <scheme val="minor"/>
      </rPr>
      <t>O2</t>
    </r>
    <r>
      <rPr>
        <sz val="11"/>
        <rFont val="Calibri"/>
        <family val="2"/>
        <scheme val="minor"/>
      </rPr>
      <t xml:space="preserve"> * r89)</t>
    </r>
  </si>
  <si>
    <r>
      <t>-(v2_S</t>
    </r>
    <r>
      <rPr>
        <vertAlign val="subscript"/>
        <sz val="11"/>
        <rFont val="Calibri"/>
        <family val="2"/>
        <scheme val="minor"/>
      </rPr>
      <t>NO3</t>
    </r>
    <r>
      <rPr>
        <sz val="11"/>
        <rFont val="Calibri"/>
        <family val="2"/>
        <scheme val="minor"/>
      </rPr>
      <t>*r2+v7_S</t>
    </r>
    <r>
      <rPr>
        <vertAlign val="subscript"/>
        <sz val="11"/>
        <rFont val="Calibri"/>
        <family val="2"/>
        <scheme val="minor"/>
      </rPr>
      <t>NO3</t>
    </r>
    <r>
      <rPr>
        <sz val="11"/>
        <rFont val="Calibri"/>
        <family val="2"/>
        <scheme val="minor"/>
      </rPr>
      <t>*r7+v17_S</t>
    </r>
    <r>
      <rPr>
        <vertAlign val="subscript"/>
        <sz val="11"/>
        <rFont val="Calibri"/>
        <family val="2"/>
        <scheme val="minor"/>
      </rPr>
      <t>NO3</t>
    </r>
    <r>
      <rPr>
        <sz val="11"/>
        <rFont val="Calibri"/>
        <family val="2"/>
        <scheme val="minor"/>
      </rPr>
      <t>*r17+v22_S</t>
    </r>
    <r>
      <rPr>
        <vertAlign val="subscript"/>
        <sz val="11"/>
        <rFont val="Calibri"/>
        <family val="2"/>
        <scheme val="minor"/>
      </rPr>
      <t>NO3</t>
    </r>
    <r>
      <rPr>
        <sz val="11"/>
        <rFont val="Calibri"/>
        <family val="2"/>
        <scheme val="minor"/>
      </rPr>
      <t>*r22+v25_S</t>
    </r>
    <r>
      <rPr>
        <vertAlign val="subscript"/>
        <sz val="11"/>
        <rFont val="Calibri"/>
        <family val="2"/>
        <scheme val="minor"/>
      </rPr>
      <t>NO3</t>
    </r>
    <r>
      <rPr>
        <sz val="11"/>
        <rFont val="Calibri"/>
        <family val="2"/>
        <scheme val="minor"/>
      </rPr>
      <t>*r25+v28_S</t>
    </r>
    <r>
      <rPr>
        <vertAlign val="subscript"/>
        <sz val="11"/>
        <rFont val="Calibri"/>
        <family val="2"/>
        <scheme val="minor"/>
      </rPr>
      <t>NO3</t>
    </r>
    <r>
      <rPr>
        <sz val="11"/>
        <rFont val="Calibri"/>
        <family val="2"/>
        <scheme val="minor"/>
      </rPr>
      <t>*r28+v33_S</t>
    </r>
    <r>
      <rPr>
        <vertAlign val="subscript"/>
        <sz val="11"/>
        <rFont val="Calibri"/>
        <family val="2"/>
        <scheme val="minor"/>
      </rPr>
      <t>NO3</t>
    </r>
    <r>
      <rPr>
        <sz val="11"/>
        <rFont val="Calibri"/>
        <family val="2"/>
        <scheme val="minor"/>
      </rPr>
      <t>*r33+v80_S</t>
    </r>
    <r>
      <rPr>
        <vertAlign val="subscript"/>
        <sz val="11"/>
        <rFont val="Calibri"/>
        <family val="2"/>
        <scheme val="minor"/>
      </rPr>
      <t>NO3</t>
    </r>
    <r>
      <rPr>
        <sz val="11"/>
        <rFont val="Calibri"/>
        <family val="2"/>
        <scheme val="minor"/>
      </rPr>
      <t>*r80)</t>
    </r>
  </si>
  <si>
    <r>
      <t>-(v3_S</t>
    </r>
    <r>
      <rPr>
        <vertAlign val="subscript"/>
        <sz val="11"/>
        <rFont val="Calibri"/>
        <family val="2"/>
        <scheme val="minor"/>
      </rPr>
      <t>NO2</t>
    </r>
    <r>
      <rPr>
        <sz val="11"/>
        <rFont val="Calibri"/>
        <family val="2"/>
        <scheme val="minor"/>
      </rPr>
      <t>*r3+v8_S</t>
    </r>
    <r>
      <rPr>
        <vertAlign val="subscript"/>
        <sz val="11"/>
        <rFont val="Calibri"/>
        <family val="2"/>
        <scheme val="minor"/>
      </rPr>
      <t>NO2</t>
    </r>
    <r>
      <rPr>
        <sz val="11"/>
        <rFont val="Calibri"/>
        <family val="2"/>
        <scheme val="minor"/>
      </rPr>
      <t>*r8+v16_S</t>
    </r>
    <r>
      <rPr>
        <vertAlign val="subscript"/>
        <sz val="11"/>
        <rFont val="Calibri"/>
        <family val="2"/>
        <scheme val="minor"/>
      </rPr>
      <t>NO2</t>
    </r>
    <r>
      <rPr>
        <sz val="11"/>
        <rFont val="Calibri"/>
        <family val="2"/>
        <scheme val="minor"/>
      </rPr>
      <t>*r16+v21_S</t>
    </r>
    <r>
      <rPr>
        <vertAlign val="subscript"/>
        <sz val="11"/>
        <rFont val="Calibri"/>
        <family val="2"/>
        <scheme val="minor"/>
      </rPr>
      <t>NO2</t>
    </r>
    <r>
      <rPr>
        <sz val="11"/>
        <rFont val="Calibri"/>
        <family val="2"/>
        <scheme val="minor"/>
      </rPr>
      <t>*r21+v24_S</t>
    </r>
    <r>
      <rPr>
        <vertAlign val="subscript"/>
        <sz val="11"/>
        <rFont val="Calibri"/>
        <family val="2"/>
        <scheme val="minor"/>
      </rPr>
      <t>NO2</t>
    </r>
    <r>
      <rPr>
        <sz val="11"/>
        <rFont val="Calibri"/>
        <family val="2"/>
        <scheme val="minor"/>
      </rPr>
      <t>*r24+v27_S</t>
    </r>
    <r>
      <rPr>
        <vertAlign val="subscript"/>
        <sz val="11"/>
        <rFont val="Calibri"/>
        <family val="2"/>
        <scheme val="minor"/>
      </rPr>
      <t>NO2</t>
    </r>
    <r>
      <rPr>
        <sz val="11"/>
        <rFont val="Calibri"/>
        <family val="2"/>
        <scheme val="minor"/>
      </rPr>
      <t>*r27+v32_S</t>
    </r>
    <r>
      <rPr>
        <vertAlign val="subscript"/>
        <sz val="11"/>
        <rFont val="Calibri"/>
        <family val="2"/>
        <scheme val="minor"/>
      </rPr>
      <t>NO2</t>
    </r>
    <r>
      <rPr>
        <sz val="11"/>
        <rFont val="Calibri"/>
        <family val="2"/>
        <scheme val="minor"/>
      </rPr>
      <t>*r32+v45_S</t>
    </r>
    <r>
      <rPr>
        <vertAlign val="subscript"/>
        <sz val="11"/>
        <rFont val="Calibri"/>
        <family val="2"/>
        <scheme val="minor"/>
      </rPr>
      <t>NO2</t>
    </r>
    <r>
      <rPr>
        <sz val="11"/>
        <rFont val="Calibri"/>
        <family val="2"/>
        <scheme val="minor"/>
      </rPr>
      <t>*r45+v48_S</t>
    </r>
    <r>
      <rPr>
        <vertAlign val="subscript"/>
        <sz val="11"/>
        <rFont val="Calibri"/>
        <family val="2"/>
        <scheme val="minor"/>
      </rPr>
      <t>NO2</t>
    </r>
    <r>
      <rPr>
        <sz val="11"/>
        <rFont val="Calibri"/>
        <family val="2"/>
        <scheme val="minor"/>
      </rPr>
      <t>*r48+v54_S</t>
    </r>
    <r>
      <rPr>
        <vertAlign val="subscript"/>
        <sz val="11"/>
        <rFont val="Calibri"/>
        <family val="2"/>
        <scheme val="minor"/>
      </rPr>
      <t>NO2</t>
    </r>
    <r>
      <rPr>
        <sz val="11"/>
        <rFont val="Calibri"/>
        <family val="2"/>
        <scheme val="minor"/>
      </rPr>
      <t>*r54+v79_S</t>
    </r>
    <r>
      <rPr>
        <vertAlign val="subscript"/>
        <sz val="11"/>
        <rFont val="Calibri"/>
        <family val="2"/>
        <scheme val="minor"/>
      </rPr>
      <t>NO2</t>
    </r>
    <r>
      <rPr>
        <sz val="11"/>
        <rFont val="Calibri"/>
        <family val="2"/>
        <scheme val="minor"/>
      </rPr>
      <t>*r79)</t>
    </r>
  </si>
  <si>
    <r>
      <t>i</t>
    </r>
    <r>
      <rPr>
        <vertAlign val="subscript"/>
        <sz val="11"/>
        <rFont val="Calibri"/>
        <family val="2"/>
        <scheme val="minor"/>
      </rPr>
      <t>N,BIO</t>
    </r>
    <r>
      <rPr>
        <sz val="11"/>
        <rFont val="Calibri"/>
        <family val="2"/>
        <scheme val="minor"/>
      </rPr>
      <t>*(r1+r2+r3+r4+r5+r6+r7+r8+r9+r10+r11+r12+r13+r16+r17+r20+r21+r22+r26+r27+r28+r36+r37+r42+r61+r57+r60)-(v41_S</t>
    </r>
    <r>
      <rPr>
        <vertAlign val="subscript"/>
        <sz val="11"/>
        <rFont val="Calibri"/>
        <family val="2"/>
        <scheme val="minor"/>
      </rPr>
      <t>NHx</t>
    </r>
    <r>
      <rPr>
        <sz val="11"/>
        <rFont val="Calibri"/>
        <family val="2"/>
        <scheme val="minor"/>
      </rPr>
      <t>*r41+v54_S</t>
    </r>
    <r>
      <rPr>
        <vertAlign val="subscript"/>
        <sz val="11"/>
        <rFont val="Calibri"/>
        <family val="2"/>
        <scheme val="minor"/>
      </rPr>
      <t>NHx</t>
    </r>
    <r>
      <rPr>
        <sz val="11"/>
        <rFont val="Calibri"/>
        <family val="2"/>
        <scheme val="minor"/>
      </rPr>
      <t>*r54+v100_S</t>
    </r>
    <r>
      <rPr>
        <vertAlign val="subscript"/>
        <sz val="11"/>
        <rFont val="Calibri"/>
        <family val="2"/>
        <scheme val="minor"/>
      </rPr>
      <t>NHx</t>
    </r>
    <r>
      <rPr>
        <sz val="11"/>
        <rFont val="Calibri"/>
        <family val="2"/>
        <scheme val="minor"/>
      </rPr>
      <t>*r100)</t>
    </r>
  </si>
  <si>
    <r>
      <t>-(v83_S</t>
    </r>
    <r>
      <rPr>
        <vertAlign val="subscript"/>
        <sz val="11"/>
        <rFont val="Calibri"/>
        <family val="2"/>
        <scheme val="minor"/>
      </rPr>
      <t>PO4</t>
    </r>
    <r>
      <rPr>
        <sz val="11"/>
        <rFont val="Calibri"/>
        <family val="2"/>
        <scheme val="minor"/>
      </rPr>
      <t>*r83+v84_S</t>
    </r>
    <r>
      <rPr>
        <vertAlign val="subscript"/>
        <sz val="11"/>
        <rFont val="Calibri"/>
        <family val="2"/>
        <scheme val="minor"/>
      </rPr>
      <t>PO4</t>
    </r>
    <r>
      <rPr>
        <sz val="11"/>
        <rFont val="Calibri"/>
        <family val="2"/>
        <scheme val="minor"/>
      </rPr>
      <t>*r84+v94_S</t>
    </r>
    <r>
      <rPr>
        <vertAlign val="subscript"/>
        <sz val="11"/>
        <rFont val="Calibri"/>
        <family val="2"/>
        <scheme val="minor"/>
      </rPr>
      <t>PO4</t>
    </r>
    <r>
      <rPr>
        <sz val="11"/>
        <rFont val="Calibri"/>
        <family val="2"/>
        <scheme val="minor"/>
      </rPr>
      <t>*r94+v95_S</t>
    </r>
    <r>
      <rPr>
        <vertAlign val="subscript"/>
        <sz val="11"/>
        <rFont val="Calibri"/>
        <family val="2"/>
        <scheme val="minor"/>
      </rPr>
      <t>PO4</t>
    </r>
    <r>
      <rPr>
        <sz val="11"/>
        <rFont val="Calibri"/>
        <family val="2"/>
        <scheme val="minor"/>
      </rPr>
      <t>*r95+v98_SPO4*r98+v99_S</t>
    </r>
    <r>
      <rPr>
        <vertAlign val="subscript"/>
        <sz val="11"/>
        <rFont val="Calibri"/>
        <family val="2"/>
        <scheme val="minor"/>
      </rPr>
      <t>PO4</t>
    </r>
    <r>
      <rPr>
        <sz val="11"/>
        <rFont val="Calibri"/>
        <family val="2"/>
        <scheme val="minor"/>
      </rPr>
      <t>*r99+v100_S</t>
    </r>
    <r>
      <rPr>
        <vertAlign val="subscript"/>
        <sz val="11"/>
        <rFont val="Calibri"/>
        <family val="2"/>
        <scheme val="minor"/>
      </rPr>
      <t>PO4</t>
    </r>
    <r>
      <rPr>
        <sz val="11"/>
        <rFont val="Calibri"/>
        <family val="2"/>
        <scheme val="minor"/>
      </rPr>
      <t>*r100+v101_SPO4*r101)</t>
    </r>
  </si>
  <si>
    <r>
      <t>v29_S</t>
    </r>
    <r>
      <rPr>
        <vertAlign val="subscript"/>
        <sz val="11"/>
        <rFont val="Calibri"/>
        <family val="2"/>
        <scheme val="minor"/>
      </rPr>
      <t>PO4</t>
    </r>
    <r>
      <rPr>
        <sz val="11"/>
        <rFont val="Calibri"/>
        <family val="2"/>
        <scheme val="minor"/>
      </rPr>
      <t>*r29+v35_S</t>
    </r>
    <r>
      <rPr>
        <vertAlign val="subscript"/>
        <sz val="11"/>
        <rFont val="Calibri"/>
        <family val="2"/>
        <scheme val="minor"/>
      </rPr>
      <t>PO4</t>
    </r>
    <r>
      <rPr>
        <sz val="11"/>
        <rFont val="Calibri"/>
        <family val="2"/>
        <scheme val="minor"/>
      </rPr>
      <t>*r35+v38_S</t>
    </r>
    <r>
      <rPr>
        <vertAlign val="subscript"/>
        <sz val="11"/>
        <rFont val="Calibri"/>
        <family val="2"/>
        <scheme val="minor"/>
      </rPr>
      <t>PO4</t>
    </r>
    <r>
      <rPr>
        <sz val="11"/>
        <rFont val="Calibri"/>
        <family val="2"/>
        <scheme val="minor"/>
      </rPr>
      <t>*r38+v39_S</t>
    </r>
    <r>
      <rPr>
        <vertAlign val="subscript"/>
        <sz val="11"/>
        <rFont val="Calibri"/>
        <family val="2"/>
        <scheme val="minor"/>
      </rPr>
      <t>PO4</t>
    </r>
    <r>
      <rPr>
        <sz val="11"/>
        <rFont val="Calibri"/>
        <family val="2"/>
        <scheme val="minor"/>
      </rPr>
      <t>*r39+v74_S</t>
    </r>
    <r>
      <rPr>
        <vertAlign val="subscript"/>
        <sz val="11"/>
        <rFont val="Calibri"/>
        <family val="2"/>
        <scheme val="minor"/>
      </rPr>
      <t>PO4</t>
    </r>
    <r>
      <rPr>
        <sz val="11"/>
        <rFont val="Calibri"/>
        <family val="2"/>
        <scheme val="minor"/>
      </rPr>
      <t>*r74+v79_S</t>
    </r>
    <r>
      <rPr>
        <vertAlign val="subscript"/>
        <sz val="11"/>
        <rFont val="Calibri"/>
        <family val="2"/>
        <scheme val="minor"/>
      </rPr>
      <t>PO4</t>
    </r>
    <r>
      <rPr>
        <sz val="11"/>
        <rFont val="Calibri"/>
        <family val="2"/>
        <scheme val="minor"/>
      </rPr>
      <t>*r79+v80_S</t>
    </r>
    <r>
      <rPr>
        <vertAlign val="subscript"/>
        <sz val="11"/>
        <rFont val="Calibri"/>
        <family val="2"/>
        <scheme val="minor"/>
      </rPr>
      <t>PO4</t>
    </r>
    <r>
      <rPr>
        <sz val="11"/>
        <rFont val="Calibri"/>
        <family val="2"/>
        <scheme val="minor"/>
      </rPr>
      <t>*r80+v85_S</t>
    </r>
    <r>
      <rPr>
        <vertAlign val="subscript"/>
        <sz val="11"/>
        <rFont val="Calibri"/>
        <family val="2"/>
        <scheme val="minor"/>
      </rPr>
      <t>PO4</t>
    </r>
    <r>
      <rPr>
        <sz val="11"/>
        <rFont val="Calibri"/>
        <family val="2"/>
        <scheme val="minor"/>
      </rPr>
      <t>*r85+v86_S</t>
    </r>
    <r>
      <rPr>
        <vertAlign val="subscript"/>
        <sz val="11"/>
        <rFont val="Calibri"/>
        <family val="2"/>
        <scheme val="minor"/>
      </rPr>
      <t>PO4</t>
    </r>
    <r>
      <rPr>
        <sz val="11"/>
        <rFont val="Calibri"/>
        <family val="2"/>
        <scheme val="minor"/>
      </rPr>
      <t>*r86+v87_S</t>
    </r>
    <r>
      <rPr>
        <vertAlign val="subscript"/>
        <sz val="11"/>
        <rFont val="Calibri"/>
        <family val="2"/>
        <scheme val="minor"/>
      </rPr>
      <t>PO4</t>
    </r>
    <r>
      <rPr>
        <sz val="11"/>
        <rFont val="Calibri"/>
        <family val="2"/>
        <scheme val="minor"/>
      </rPr>
      <t>*r87+v88_S</t>
    </r>
    <r>
      <rPr>
        <vertAlign val="subscript"/>
        <sz val="11"/>
        <rFont val="Calibri"/>
        <family val="2"/>
        <scheme val="minor"/>
      </rPr>
      <t>PO4</t>
    </r>
    <r>
      <rPr>
        <sz val="11"/>
        <rFont val="Calibri"/>
        <family val="2"/>
        <scheme val="minor"/>
      </rPr>
      <t>*r88+v94_SPO4*r94+v95_S</t>
    </r>
    <r>
      <rPr>
        <vertAlign val="subscript"/>
        <sz val="11"/>
        <rFont val="Calibri"/>
        <family val="2"/>
        <scheme val="minor"/>
      </rPr>
      <t>PO4</t>
    </r>
    <r>
      <rPr>
        <sz val="11"/>
        <rFont val="Calibri"/>
        <family val="2"/>
        <scheme val="minor"/>
      </rPr>
      <t>*r95+v96_SPO4*r96</t>
    </r>
  </si>
  <si>
    <t>Intracellular water of biomass in volatile solids</t>
  </si>
  <si>
    <t>Assuming 80% of biomass cytoplasm is water(wet mass0.8/ dry mass0.2)</t>
  </si>
  <si>
    <r>
      <t>%v.v</t>
    </r>
    <r>
      <rPr>
        <vertAlign val="superscript"/>
        <sz val="11"/>
        <rFont val="Calibri"/>
        <family val="2"/>
        <scheme val="minor"/>
      </rPr>
      <t>-1</t>
    </r>
  </si>
  <si>
    <r>
      <t>S</t>
    </r>
    <r>
      <rPr>
        <vertAlign val="subscript"/>
        <sz val="11"/>
        <rFont val="Calibri"/>
        <family val="2"/>
        <scheme val="minor"/>
      </rPr>
      <t>NHx</t>
    </r>
    <r>
      <rPr>
        <sz val="11"/>
        <rFont val="Calibri"/>
        <family val="2"/>
        <scheme val="minor"/>
      </rPr>
      <t xml:space="preserve"> + 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+i</t>
    </r>
    <r>
      <rPr>
        <vertAlign val="subscript"/>
        <sz val="11"/>
        <rFont val="Calibri"/>
        <family val="2"/>
        <scheme val="minor"/>
      </rPr>
      <t>N,SU</t>
    </r>
    <r>
      <rPr>
        <sz val="11"/>
        <rFont val="Calibri"/>
        <family val="2"/>
        <scheme val="minor"/>
      </rPr>
      <t>*S</t>
    </r>
    <r>
      <rPr>
        <vertAlign val="subscript"/>
        <sz val="11"/>
        <rFont val="Calibri"/>
        <family val="2"/>
        <scheme val="minor"/>
      </rPr>
      <t>U</t>
    </r>
    <r>
      <rPr>
        <sz val="11"/>
        <rFont val="Calibri"/>
        <family val="2"/>
        <scheme val="minor"/>
      </rPr>
      <t xml:space="preserve"> +i</t>
    </r>
    <r>
      <rPr>
        <vertAlign val="subscript"/>
        <sz val="11"/>
        <rFont val="Calibri"/>
        <family val="2"/>
        <scheme val="minor"/>
      </rPr>
      <t>N,CU</t>
    </r>
    <r>
      <rPr>
        <sz val="11"/>
        <rFont val="Calibri"/>
        <family val="2"/>
        <scheme val="minor"/>
      </rPr>
      <t>*C</t>
    </r>
    <r>
      <rPr>
        <vertAlign val="subscript"/>
        <sz val="11"/>
        <rFont val="Calibri"/>
        <family val="2"/>
        <scheme val="minor"/>
      </rPr>
      <t>U</t>
    </r>
    <r>
      <rPr>
        <sz val="11"/>
        <rFont val="Calibri"/>
        <family val="2"/>
        <scheme val="minor"/>
      </rPr>
      <t xml:space="preserve"> + X</t>
    </r>
    <r>
      <rPr>
        <vertAlign val="subscript"/>
        <sz val="11"/>
        <rFont val="Calibri"/>
        <family val="2"/>
        <scheme val="minor"/>
      </rPr>
      <t>N,U</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r>
      <rPr>
        <sz val="11"/>
        <rFont val="Calibri"/>
        <family val="2"/>
        <scheme val="minor"/>
      </rPr>
      <t>+i</t>
    </r>
    <r>
      <rPr>
        <vertAlign val="subscript"/>
        <sz val="11"/>
        <rFont val="Calibri"/>
        <family val="2"/>
        <scheme val="minor"/>
      </rPr>
      <t>N,XE</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i</t>
    </r>
    <r>
      <rPr>
        <vertAlign val="subscript"/>
        <sz val="11"/>
        <rFont val="Calibri"/>
        <family val="2"/>
        <scheme val="minor"/>
      </rPr>
      <t>N,XSTR</t>
    </r>
    <r>
      <rPr>
        <sz val="11"/>
        <rFont val="Calibri"/>
        <family val="2"/>
        <scheme val="minor"/>
      </rPr>
      <t xml:space="preserve"> * X</t>
    </r>
    <r>
      <rPr>
        <vertAlign val="subscript"/>
        <sz val="11"/>
        <rFont val="Calibri"/>
        <family val="2"/>
        <scheme val="minor"/>
      </rPr>
      <t>STR</t>
    </r>
    <r>
      <rPr>
        <sz val="11"/>
        <rFont val="Calibri"/>
        <family val="2"/>
        <scheme val="minor"/>
      </rPr>
      <t xml:space="preserve"> </t>
    </r>
  </si>
  <si>
    <r>
      <t>S</t>
    </r>
    <r>
      <rPr>
        <vertAlign val="subscript"/>
        <sz val="11"/>
        <rFont val="Calibri"/>
        <family val="2"/>
        <scheme val="minor"/>
      </rPr>
      <t>N,B</t>
    </r>
    <r>
      <rPr>
        <sz val="11"/>
        <rFont val="Calibri"/>
        <family val="2"/>
        <scheme val="minor"/>
      </rPr>
      <t xml:space="preserve"> + i</t>
    </r>
    <r>
      <rPr>
        <vertAlign val="subscript"/>
        <sz val="11"/>
        <rFont val="Calibri"/>
        <family val="2"/>
        <scheme val="minor"/>
      </rPr>
      <t>N,CB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N,B</t>
    </r>
    <r>
      <rPr>
        <sz val="11"/>
        <rFont val="Calibri"/>
        <family val="2"/>
        <scheme val="minor"/>
      </rPr>
      <t xml:space="preserve"> + X</t>
    </r>
    <r>
      <rPr>
        <vertAlign val="subscript"/>
        <sz val="11"/>
        <rFont val="Calibri"/>
        <family val="2"/>
        <scheme val="minor"/>
      </rPr>
      <t>N,Be</t>
    </r>
    <r>
      <rPr>
        <sz val="11"/>
        <rFont val="Calibri"/>
        <family val="2"/>
        <scheme val="minor"/>
      </rPr>
      <t xml:space="preserve"> + i</t>
    </r>
    <r>
      <rPr>
        <vertAlign val="subscript"/>
        <sz val="11"/>
        <rFont val="Calibri"/>
        <family val="2"/>
        <scheme val="minor"/>
      </rPr>
      <t>N,BIO</t>
    </r>
    <r>
      <rPr>
        <sz val="11"/>
        <rFont val="Calibri"/>
        <family val="2"/>
        <scheme val="minor"/>
      </rPr>
      <t>*X</t>
    </r>
    <r>
      <rPr>
        <vertAlign val="subscript"/>
        <sz val="11"/>
        <rFont val="Calibri"/>
        <family val="2"/>
        <scheme val="minor"/>
      </rPr>
      <t>BIO</t>
    </r>
  </si>
  <si>
    <r>
      <t>i</t>
    </r>
    <r>
      <rPr>
        <vertAlign val="subscript"/>
        <sz val="11"/>
        <rFont val="Calibri"/>
        <family val="2"/>
        <scheme val="minor"/>
      </rPr>
      <t>P,BIO</t>
    </r>
    <r>
      <rPr>
        <sz val="11"/>
        <rFont val="Calibri"/>
        <family val="2"/>
        <scheme val="minor"/>
      </rPr>
      <t>*(X</t>
    </r>
    <r>
      <rPr>
        <vertAlign val="subscript"/>
        <sz val="11"/>
        <rFont val="Calibri"/>
        <family val="2"/>
        <scheme val="minor"/>
      </rPr>
      <t>BIO</t>
    </r>
    <r>
      <rPr>
        <sz val="11"/>
        <rFont val="Calibri"/>
        <family val="2"/>
        <scheme val="minor"/>
      </rPr>
      <t>+X</t>
    </r>
    <r>
      <rPr>
        <vertAlign val="subscript"/>
        <sz val="11"/>
        <rFont val="Calibri"/>
        <family val="2"/>
        <scheme val="minor"/>
      </rPr>
      <t>E,ana</t>
    </r>
    <r>
      <rPr>
        <sz val="11"/>
        <rFont val="Calibri"/>
        <family val="2"/>
        <scheme val="minor"/>
      </rPr>
      <t>+X</t>
    </r>
    <r>
      <rPr>
        <vertAlign val="subscript"/>
        <sz val="11"/>
        <rFont val="Calibri"/>
        <family val="2"/>
        <scheme val="minor"/>
      </rPr>
      <t>E</t>
    </r>
    <r>
      <rPr>
        <sz val="11"/>
        <rFont val="Calibri"/>
        <family val="2"/>
        <scheme val="minor"/>
      </rPr>
      <t>) + S</t>
    </r>
    <r>
      <rPr>
        <vertAlign val="subscript"/>
        <sz val="11"/>
        <rFont val="Calibri"/>
        <family val="2"/>
        <scheme val="minor"/>
      </rPr>
      <t>PO4</t>
    </r>
    <r>
      <rPr>
        <sz val="11"/>
        <rFont val="Calibri"/>
        <family val="2"/>
        <scheme val="minor"/>
      </rPr>
      <t xml:space="preserve"> + S</t>
    </r>
    <r>
      <rPr>
        <vertAlign val="subscript"/>
        <sz val="11"/>
        <rFont val="Calibri"/>
        <family val="2"/>
        <scheme val="minor"/>
      </rPr>
      <t>P,B</t>
    </r>
    <r>
      <rPr>
        <sz val="11"/>
        <rFont val="Calibri"/>
        <family val="2"/>
        <scheme val="minor"/>
      </rPr>
      <t xml:space="preserve"> + i</t>
    </r>
    <r>
      <rPr>
        <vertAlign val="subscript"/>
        <sz val="11"/>
        <rFont val="Calibri"/>
        <family val="2"/>
        <scheme val="minor"/>
      </rPr>
      <t>P,CB</t>
    </r>
    <r>
      <rPr>
        <sz val="11"/>
        <rFont val="Calibri"/>
        <family val="2"/>
        <scheme val="minor"/>
      </rPr>
      <t>*C</t>
    </r>
    <r>
      <rPr>
        <vertAlign val="subscript"/>
        <sz val="11"/>
        <rFont val="Calibri"/>
        <family val="2"/>
        <scheme val="minor"/>
      </rPr>
      <t>B</t>
    </r>
    <r>
      <rPr>
        <sz val="11"/>
        <rFont val="Calibri"/>
        <family val="2"/>
        <scheme val="minor"/>
      </rPr>
      <t xml:space="preserve"> + X</t>
    </r>
    <r>
      <rPr>
        <vertAlign val="subscript"/>
        <sz val="11"/>
        <rFont val="Calibri"/>
        <family val="2"/>
        <scheme val="minor"/>
      </rPr>
      <t>P,B</t>
    </r>
    <r>
      <rPr>
        <sz val="11"/>
        <rFont val="Calibri"/>
        <family val="2"/>
        <scheme val="minor"/>
      </rPr>
      <t xml:space="preserve"> + X</t>
    </r>
    <r>
      <rPr>
        <vertAlign val="subscript"/>
        <sz val="11"/>
        <rFont val="Calibri"/>
        <family val="2"/>
        <scheme val="minor"/>
      </rPr>
      <t>P,Be</t>
    </r>
    <r>
      <rPr>
        <sz val="11"/>
        <rFont val="Calibri"/>
        <family val="2"/>
        <scheme val="minor"/>
      </rPr>
      <t xml:space="preserve"> + i</t>
    </r>
    <r>
      <rPr>
        <vertAlign val="subscript"/>
        <sz val="11"/>
        <rFont val="Calibri"/>
        <family val="2"/>
        <scheme val="minor"/>
      </rPr>
      <t>P,SU</t>
    </r>
    <r>
      <rPr>
        <sz val="11"/>
        <rFont val="Calibri"/>
        <family val="2"/>
        <scheme val="minor"/>
      </rPr>
      <t>*S</t>
    </r>
    <r>
      <rPr>
        <vertAlign val="subscript"/>
        <sz val="11"/>
        <rFont val="Calibri"/>
        <family val="2"/>
        <scheme val="minor"/>
      </rPr>
      <t>U</t>
    </r>
    <r>
      <rPr>
        <sz val="11"/>
        <rFont val="Calibri"/>
        <family val="2"/>
        <scheme val="minor"/>
      </rPr>
      <t xml:space="preserve"> + X</t>
    </r>
    <r>
      <rPr>
        <vertAlign val="subscript"/>
        <sz val="11"/>
        <rFont val="Calibri"/>
        <family val="2"/>
        <scheme val="minor"/>
      </rPr>
      <t>P,U</t>
    </r>
    <r>
      <rPr>
        <sz val="11"/>
        <rFont val="Calibri"/>
        <family val="2"/>
        <scheme val="minor"/>
      </rPr>
      <t xml:space="preserve"> + i</t>
    </r>
    <r>
      <rPr>
        <vertAlign val="subscript"/>
        <sz val="11"/>
        <rFont val="Calibri"/>
        <family val="2"/>
        <scheme val="minor"/>
      </rPr>
      <t>P,CU</t>
    </r>
    <r>
      <rPr>
        <sz val="11"/>
        <rFont val="Calibri"/>
        <family val="2"/>
        <scheme val="minor"/>
      </rPr>
      <t>*C</t>
    </r>
    <r>
      <rPr>
        <vertAlign val="subscript"/>
        <sz val="11"/>
        <rFont val="Calibri"/>
        <family val="2"/>
        <scheme val="minor"/>
      </rPr>
      <t>U</t>
    </r>
    <r>
      <rPr>
        <sz val="11"/>
        <rFont val="Calibri"/>
        <family val="2"/>
        <scheme val="minor"/>
      </rPr>
      <t xml:space="preserve">  +X</t>
    </r>
    <r>
      <rPr>
        <vertAlign val="subscript"/>
        <sz val="11"/>
        <rFont val="Calibri"/>
        <family val="2"/>
        <scheme val="minor"/>
      </rPr>
      <t>PP</t>
    </r>
    <r>
      <rPr>
        <sz val="11"/>
        <rFont val="Calibri"/>
        <family val="2"/>
        <scheme val="minor"/>
      </rPr>
      <t xml:space="preserve"> + i</t>
    </r>
    <r>
      <rPr>
        <vertAlign val="subscript"/>
        <sz val="11"/>
        <rFont val="Calibri"/>
        <family val="2"/>
        <scheme val="minor"/>
      </rPr>
      <t>P,XSTR</t>
    </r>
    <r>
      <rPr>
        <sz val="11"/>
        <rFont val="Calibri"/>
        <family val="2"/>
        <scheme val="minor"/>
      </rPr>
      <t xml:space="preserve"> * X</t>
    </r>
    <r>
      <rPr>
        <vertAlign val="subscript"/>
        <sz val="11"/>
        <rFont val="Calibri"/>
        <family val="2"/>
        <scheme val="minor"/>
      </rPr>
      <t>STR</t>
    </r>
    <r>
      <rPr>
        <sz val="11"/>
        <rFont val="Calibri"/>
        <family val="2"/>
        <scheme val="minor"/>
      </rPr>
      <t xml:space="preserve"> +X</t>
    </r>
    <r>
      <rPr>
        <vertAlign val="subscript"/>
        <sz val="11"/>
        <rFont val="Calibri"/>
        <family val="2"/>
        <scheme val="minor"/>
      </rPr>
      <t>HFO,P</t>
    </r>
    <r>
      <rPr>
        <sz val="11"/>
        <rFont val="Calibri"/>
        <family val="2"/>
        <charset val="238"/>
        <scheme val="minor"/>
      </rPr>
      <t>+</t>
    </r>
    <r>
      <rPr>
        <sz val="11"/>
        <rFont val="Calibri"/>
        <family val="2"/>
        <scheme val="minor"/>
      </rPr>
      <t>X</t>
    </r>
    <r>
      <rPr>
        <vertAlign val="subscript"/>
        <sz val="11"/>
        <rFont val="Calibri"/>
        <family val="2"/>
        <scheme val="minor"/>
      </rPr>
      <t>HAO,P</t>
    </r>
    <r>
      <rPr>
        <sz val="11"/>
        <rFont val="Calibri"/>
        <family val="2"/>
        <scheme val="minor"/>
      </rPr>
      <t>+i</t>
    </r>
    <r>
      <rPr>
        <vertAlign val="subscript"/>
        <sz val="11"/>
        <rFont val="Calibri"/>
        <family val="2"/>
        <scheme val="minor"/>
      </rPr>
      <t>P,XACP</t>
    </r>
    <r>
      <rPr>
        <sz val="11"/>
        <rFont val="Calibri"/>
        <family val="2"/>
        <scheme val="minor"/>
      </rPr>
      <t xml:space="preserve"> * X</t>
    </r>
    <r>
      <rPr>
        <vertAlign val="subscript"/>
        <sz val="11"/>
        <rFont val="Calibri"/>
        <family val="2"/>
        <scheme val="minor"/>
      </rPr>
      <t>ACP</t>
    </r>
    <r>
      <rPr>
        <sz val="11"/>
        <rFont val="Calibri"/>
        <family val="2"/>
        <scheme val="minor"/>
      </rPr>
      <t>+i</t>
    </r>
    <r>
      <rPr>
        <vertAlign val="subscript"/>
        <sz val="11"/>
        <rFont val="Calibri"/>
        <family val="2"/>
        <scheme val="minor"/>
      </rPr>
      <t>P,XVivi</t>
    </r>
    <r>
      <rPr>
        <sz val="11"/>
        <rFont val="Calibri"/>
        <family val="2"/>
        <scheme val="minor"/>
      </rPr>
      <t xml:space="preserve"> * X</t>
    </r>
    <r>
      <rPr>
        <vertAlign val="subscript"/>
        <sz val="11"/>
        <rFont val="Calibri"/>
        <family val="2"/>
        <scheme val="minor"/>
      </rPr>
      <t>Vivi</t>
    </r>
    <r>
      <rPr>
        <sz val="11"/>
        <rFont val="Calibri"/>
        <family val="2"/>
        <scheme val="minor"/>
      </rPr>
      <t>+i</t>
    </r>
    <r>
      <rPr>
        <vertAlign val="subscript"/>
        <sz val="11"/>
        <rFont val="Calibri"/>
        <family val="2"/>
        <scheme val="minor"/>
      </rPr>
      <t>P,XBSH</t>
    </r>
    <r>
      <rPr>
        <sz val="11"/>
        <rFont val="Calibri"/>
        <family val="2"/>
        <scheme val="minor"/>
      </rPr>
      <t>*X</t>
    </r>
    <r>
      <rPr>
        <vertAlign val="subscript"/>
        <sz val="11"/>
        <rFont val="Calibri"/>
        <family val="2"/>
        <scheme val="minor"/>
      </rPr>
      <t>BSH</t>
    </r>
  </si>
  <si>
    <r>
      <t>q</t>
    </r>
    <r>
      <rPr>
        <vertAlign val="subscript"/>
        <sz val="11"/>
        <rFont val="Calibri"/>
        <family val="2"/>
      </rPr>
      <t>NH2OH,O2</t>
    </r>
    <r>
      <rPr>
        <sz val="11"/>
        <rFont val="Calibri"/>
        <family val="2"/>
      </rPr>
      <t>*S</t>
    </r>
    <r>
      <rPr>
        <vertAlign val="subscript"/>
        <sz val="11"/>
        <rFont val="Calibri"/>
        <family val="2"/>
      </rPr>
      <t>NH2OH</t>
    </r>
    <r>
      <rPr>
        <sz val="11"/>
        <rFont val="Calibri"/>
        <family val="2"/>
      </rPr>
      <t>^2*Msat</t>
    </r>
    <r>
      <rPr>
        <vertAlign val="subscript"/>
        <sz val="11"/>
        <rFont val="Calibri"/>
        <family val="2"/>
      </rPr>
      <t>SO2,KO2,aBIO</t>
    </r>
  </si>
  <si>
    <r>
      <t>K</t>
    </r>
    <r>
      <rPr>
        <vertAlign val="subscript"/>
        <sz val="11"/>
        <color indexed="8"/>
        <rFont val="Calibri"/>
        <family val="2"/>
        <scheme val="minor"/>
      </rPr>
      <t>O2,aBIO</t>
    </r>
  </si>
  <si>
    <r>
      <t>Half-saturation of O</t>
    </r>
    <r>
      <rPr>
        <vertAlign val="subscript"/>
        <sz val="11"/>
        <color rgb="FF000000"/>
        <rFont val="Calibri"/>
        <family val="2"/>
        <scheme val="minor"/>
      </rPr>
      <t>2</t>
    </r>
    <r>
      <rPr>
        <sz val="11"/>
        <color rgb="FF000000"/>
        <rFont val="Calibri"/>
        <family val="2"/>
        <charset val="238"/>
        <scheme val="minor"/>
      </rPr>
      <t xml:space="preserve"> for abiotic oxidation of hydroxylamine</t>
    </r>
  </si>
  <si>
    <r>
      <t>Msat</t>
    </r>
    <r>
      <rPr>
        <vertAlign val="subscript"/>
        <sz val="11"/>
        <rFont val="Calibri"/>
        <family val="2"/>
      </rPr>
      <t>SO2,KO2,aBIO</t>
    </r>
  </si>
  <si>
    <r>
      <t>Saturation term for O</t>
    </r>
    <r>
      <rPr>
        <vertAlign val="subscript"/>
        <sz val="11"/>
        <color rgb="FF000000"/>
        <rFont val="Calibri"/>
        <family val="2"/>
        <scheme val="minor"/>
      </rPr>
      <t>2</t>
    </r>
    <r>
      <rPr>
        <sz val="11"/>
        <color rgb="FF000000"/>
        <rFont val="Calibri"/>
        <family val="2"/>
        <charset val="238"/>
        <scheme val="minor"/>
      </rPr>
      <t xml:space="preserve"> (abiotic NH2OH oxidation)</t>
    </r>
  </si>
  <si>
    <r>
      <t>Msat(S</t>
    </r>
    <r>
      <rPr>
        <vertAlign val="subscript"/>
        <sz val="11"/>
        <rFont val="Calibri"/>
        <family val="2"/>
      </rPr>
      <t>O2</t>
    </r>
    <r>
      <rPr>
        <sz val="11"/>
        <rFont val="Calibri"/>
        <family val="2"/>
      </rPr>
      <t>;K</t>
    </r>
    <r>
      <rPr>
        <vertAlign val="subscript"/>
        <sz val="11"/>
        <rFont val="Calibri"/>
        <family val="2"/>
      </rPr>
      <t>O2,aBIO</t>
    </r>
    <r>
      <rPr>
        <sz val="11"/>
        <rFont val="Calibri"/>
        <family val="2"/>
      </rPr>
      <t>)</t>
    </r>
  </si>
  <si>
    <t>CASTO with Phosphorus accumulating metabolism (PAM)</t>
  </si>
  <si>
    <t>CASTO with Glycogen accumulating metabolism (GAM)</t>
  </si>
  <si>
    <r>
      <t>(i</t>
    </r>
    <r>
      <rPr>
        <vertAlign val="subscript"/>
        <sz val="11"/>
        <rFont val="Calibri"/>
        <family val="2"/>
        <scheme val="minor"/>
      </rPr>
      <t>CV,BIO</t>
    </r>
    <r>
      <rPr>
        <sz val="11"/>
        <rFont val="Calibri"/>
        <family val="2"/>
        <scheme val="minor"/>
      </rPr>
      <t>-i</t>
    </r>
    <r>
      <rPr>
        <vertAlign val="subscript"/>
        <sz val="11"/>
        <rFont val="Calibri"/>
        <family val="2"/>
        <scheme val="minor"/>
      </rPr>
      <t>CV,XE</t>
    </r>
    <r>
      <rPr>
        <sz val="11"/>
        <rFont val="Calibri"/>
        <family val="2"/>
        <scheme val="minor"/>
      </rPr>
      <t>*f</t>
    </r>
    <r>
      <rPr>
        <vertAlign val="subscript"/>
        <sz val="11"/>
        <rFont val="Calibri"/>
        <family val="2"/>
        <scheme val="minor"/>
      </rPr>
      <t>E</t>
    </r>
    <r>
      <rPr>
        <sz val="11"/>
        <rFont val="Calibri"/>
        <family val="2"/>
        <scheme val="minor"/>
      </rPr>
      <t>)/(1-f</t>
    </r>
    <r>
      <rPr>
        <vertAlign val="subscript"/>
        <sz val="11"/>
        <rFont val="Calibri"/>
        <family val="2"/>
        <scheme val="minor"/>
      </rPr>
      <t>E</t>
    </r>
    <r>
      <rPr>
        <sz val="11"/>
        <rFont val="Calibri"/>
        <family val="2"/>
        <scheme val="minor"/>
      </rPr>
      <t>)</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</si>
  <si>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CASTO,H2,ana,high</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</si>
  <si>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r>
      <t>(i</t>
    </r>
    <r>
      <rPr>
        <vertAlign val="subscript"/>
        <sz val="11"/>
        <rFont val="Calibri"/>
        <family val="2"/>
      </rPr>
      <t>CIT,SB</t>
    </r>
    <r>
      <rPr>
        <sz val="11"/>
        <rFont val="Calibri"/>
        <family val="2"/>
      </rPr>
      <t>-i</t>
    </r>
    <r>
      <rPr>
        <vertAlign val="subscript"/>
        <sz val="11"/>
        <rFont val="Calibri"/>
        <family val="2"/>
      </rPr>
      <t>CIT,VFA</t>
    </r>
    <r>
      <rPr>
        <sz val="11"/>
        <rFont val="Calibri"/>
        <family val="2"/>
      </rPr>
      <t>*(1-Y</t>
    </r>
    <r>
      <rPr>
        <vertAlign val="subscript"/>
        <sz val="11"/>
        <rFont val="Calibri"/>
        <family val="2"/>
      </rPr>
      <t>CASTO,SB,ana</t>
    </r>
    <r>
      <rPr>
        <sz val="11"/>
        <rFont val="Calibri"/>
        <family val="2"/>
      </rPr>
      <t>-Y</t>
    </r>
    <r>
      <rPr>
        <vertAlign val="subscript"/>
        <sz val="11"/>
        <rFont val="Calibri"/>
        <family val="2"/>
      </rPr>
      <t>CASTO,H2,ana,low</t>
    </r>
    <r>
      <rPr>
        <sz val="11"/>
        <rFont val="Calibri"/>
        <family val="2"/>
      </rPr>
      <t>)-i</t>
    </r>
    <r>
      <rPr>
        <vertAlign val="subscript"/>
        <sz val="11"/>
        <rFont val="Calibri"/>
        <family val="2"/>
      </rPr>
      <t>CIT,PHA</t>
    </r>
    <r>
      <rPr>
        <sz val="11"/>
        <rFont val="Calibri"/>
        <family val="2"/>
      </rPr>
      <t>*Y</t>
    </r>
    <r>
      <rPr>
        <vertAlign val="subscript"/>
        <sz val="11"/>
        <rFont val="Calibri"/>
        <family val="2"/>
      </rPr>
      <t>CASTO,SB,ana</t>
    </r>
    <r>
      <rPr>
        <sz val="11"/>
        <rFont val="Calibri"/>
        <family val="2"/>
      </rPr>
      <t>)/Y</t>
    </r>
    <r>
      <rPr>
        <vertAlign val="subscript"/>
        <sz val="11"/>
        <rFont val="Calibri"/>
        <family val="2"/>
      </rPr>
      <t>CASTO,SB,ana</t>
    </r>
  </si>
  <si>
    <t>previously 0,30</t>
  </si>
  <si>
    <t>Nitrous acid and free ammonia concentration</t>
  </si>
  <si>
    <r>
      <t>K</t>
    </r>
    <r>
      <rPr>
        <vertAlign val="subscript"/>
        <sz val="11"/>
        <rFont val="Calibri"/>
        <family val="2"/>
        <scheme val="minor"/>
      </rPr>
      <t>ORP,ana</t>
    </r>
  </si>
  <si>
    <t>Half-saturation of anaerobic activity for anaerobic ORP</t>
  </si>
  <si>
    <r>
      <t>ratio</t>
    </r>
    <r>
      <rPr>
        <vertAlign val="subscript"/>
        <sz val="11"/>
        <rFont val="Calibri"/>
        <family val="2"/>
      </rPr>
      <t>AAR,rbCODDR</t>
    </r>
  </si>
  <si>
    <t>rbCODDR to AAR ratio</t>
  </si>
  <si>
    <t>AAR/rbCODDR</t>
  </si>
  <si>
    <r>
      <t>ORP</t>
    </r>
    <r>
      <rPr>
        <vertAlign val="subscript"/>
        <sz val="11"/>
        <rFont val="Calibri"/>
        <family val="2"/>
      </rPr>
      <t>ana</t>
    </r>
  </si>
  <si>
    <t>Oxidation-reduction potential due to anaerobic activity</t>
  </si>
  <si>
    <r>
      <t>ORP</t>
    </r>
    <r>
      <rPr>
        <vertAlign val="subscript"/>
        <sz val="11"/>
        <rFont val="Calibri"/>
        <family val="2"/>
        <scheme val="minor"/>
      </rPr>
      <t xml:space="preserve">base </t>
    </r>
    <r>
      <rPr>
        <sz val="11"/>
        <rFont val="Calibri"/>
        <family val="2"/>
        <scheme val="minor"/>
      </rPr>
      <t>* (ratio</t>
    </r>
    <r>
      <rPr>
        <vertAlign val="subscript"/>
        <sz val="11"/>
        <rFont val="Calibri"/>
        <family val="2"/>
        <scheme val="minor"/>
      </rPr>
      <t>AAR,rbCODDR</t>
    </r>
    <r>
      <rPr>
        <sz val="11"/>
        <rFont val="Calibri"/>
        <family val="2"/>
        <scheme val="minor"/>
      </rPr>
      <t>)/(K</t>
    </r>
    <r>
      <rPr>
        <vertAlign val="subscript"/>
        <sz val="11"/>
        <rFont val="Calibri"/>
        <family val="2"/>
        <scheme val="minor"/>
      </rPr>
      <t xml:space="preserve">ORP,ana </t>
    </r>
    <r>
      <rPr>
        <sz val="11"/>
        <rFont val="Calibri"/>
        <family val="2"/>
        <scheme val="minor"/>
      </rPr>
      <t>+ ratio</t>
    </r>
    <r>
      <rPr>
        <vertAlign val="subscript"/>
        <sz val="11"/>
        <rFont val="Calibri"/>
        <family val="2"/>
        <scheme val="minor"/>
      </rPr>
      <t>AAR,rbCODDR</t>
    </r>
    <r>
      <rPr>
        <sz val="11"/>
        <rFont val="Calibri"/>
        <family val="2"/>
        <scheme val="minor"/>
      </rPr>
      <t>)</t>
    </r>
  </si>
  <si>
    <r>
      <t>Max(ORP</t>
    </r>
    <r>
      <rPr>
        <vertAlign val="subscript"/>
        <sz val="11"/>
        <rFont val="Calibri"/>
        <family val="2"/>
        <scheme val="minor"/>
      </rPr>
      <t>O2;</t>
    </r>
    <r>
      <rPr>
        <sz val="11"/>
        <rFont val="Calibri"/>
        <family val="2"/>
        <scheme val="minor"/>
      </rPr>
      <t>ORP</t>
    </r>
    <r>
      <rPr>
        <vertAlign val="subscript"/>
        <sz val="11"/>
        <rFont val="Calibri"/>
        <family val="2"/>
        <scheme val="minor"/>
      </rPr>
      <t>NOx;</t>
    </r>
    <r>
      <rPr>
        <sz val="11"/>
        <rFont val="Calibri"/>
        <family val="2"/>
        <scheme val="minor"/>
      </rPr>
      <t>ORP</t>
    </r>
    <r>
      <rPr>
        <vertAlign val="subscript"/>
        <sz val="11"/>
        <rFont val="Calibri"/>
        <family val="2"/>
        <scheme val="minor"/>
      </rPr>
      <t>ana</t>
    </r>
    <r>
      <rPr>
        <sz val="11"/>
        <rFont val="Calibri"/>
        <family val="2"/>
        <scheme val="minor"/>
      </rPr>
      <t>)</t>
    </r>
  </si>
  <si>
    <t>rbCODDR</t>
  </si>
  <si>
    <t>rbCOD degradation rate (rbCODDR)</t>
  </si>
  <si>
    <r>
      <t>g COD.m</t>
    </r>
    <r>
      <rPr>
        <vertAlign val="superscript"/>
        <sz val="11"/>
        <rFont val="Calibri"/>
        <family val="2"/>
        <scheme val="minor"/>
      </rPr>
      <t>-3</t>
    </r>
    <r>
      <rPr>
        <sz val="11"/>
        <rFont val="Calibri"/>
        <family val="2"/>
        <scheme val="minor"/>
      </rPr>
      <t>.d</t>
    </r>
    <r>
      <rPr>
        <vertAlign val="superscript"/>
        <sz val="11"/>
        <rFont val="Calibri"/>
        <family val="2"/>
        <scheme val="minor"/>
      </rPr>
      <t>-1</t>
    </r>
  </si>
  <si>
    <t>AAR</t>
  </si>
  <si>
    <t>Anaerobic activity rate (AAR)</t>
  </si>
  <si>
    <r>
      <t>-(v1_S</t>
    </r>
    <r>
      <rPr>
        <vertAlign val="subscript"/>
        <sz val="11"/>
        <rFont val="Calibri"/>
        <family val="2"/>
        <scheme val="minor"/>
      </rPr>
      <t>VFA</t>
    </r>
    <r>
      <rPr>
        <sz val="11"/>
        <rFont val="Calibri"/>
        <family val="2"/>
        <scheme val="minor"/>
      </rPr>
      <t xml:space="preserve"> * r1 + v2_S</t>
    </r>
    <r>
      <rPr>
        <vertAlign val="subscript"/>
        <sz val="11"/>
        <rFont val="Calibri"/>
        <family val="2"/>
        <scheme val="minor"/>
      </rPr>
      <t>VFA</t>
    </r>
    <r>
      <rPr>
        <sz val="11"/>
        <rFont val="Calibri"/>
        <family val="2"/>
        <scheme val="minor"/>
      </rPr>
      <t xml:space="preserve"> * r2 + v3_S</t>
    </r>
    <r>
      <rPr>
        <vertAlign val="subscript"/>
        <sz val="11"/>
        <rFont val="Calibri"/>
        <family val="2"/>
        <scheme val="minor"/>
      </rPr>
      <t>VFA</t>
    </r>
    <r>
      <rPr>
        <sz val="11"/>
        <rFont val="Calibri"/>
        <family val="2"/>
        <scheme val="minor"/>
      </rPr>
      <t xml:space="preserve"> * r3 + v4_SVFA * r4 + v5_SVFA * r5  + v29_S</t>
    </r>
    <r>
      <rPr>
        <vertAlign val="subscript"/>
        <sz val="11"/>
        <rFont val="Calibri"/>
        <family val="2"/>
        <scheme val="minor"/>
      </rPr>
      <t>VFA</t>
    </r>
    <r>
      <rPr>
        <sz val="11"/>
        <rFont val="Calibri"/>
        <family val="2"/>
        <scheme val="minor"/>
      </rPr>
      <t xml:space="preserve"> * 29 + v30_S</t>
    </r>
    <r>
      <rPr>
        <vertAlign val="subscript"/>
        <sz val="11"/>
        <rFont val="Calibri"/>
        <family val="2"/>
        <scheme val="minor"/>
      </rPr>
      <t>VFA</t>
    </r>
    <r>
      <rPr>
        <sz val="11"/>
        <rFont val="Calibri"/>
        <family val="2"/>
        <scheme val="minor"/>
      </rPr>
      <t xml:space="preserve"> * r30 + v57_S</t>
    </r>
    <r>
      <rPr>
        <vertAlign val="subscript"/>
        <sz val="11"/>
        <rFont val="Calibri"/>
        <family val="2"/>
        <scheme val="minor"/>
      </rPr>
      <t>VFA</t>
    </r>
    <r>
      <rPr>
        <sz val="11"/>
        <rFont val="Calibri"/>
        <family val="2"/>
        <scheme val="minor"/>
      </rPr>
      <t xml:space="preserve"> * r57 + v6_S</t>
    </r>
    <r>
      <rPr>
        <vertAlign val="subscript"/>
        <sz val="11"/>
        <rFont val="Calibri"/>
        <family val="2"/>
        <scheme val="minor"/>
      </rPr>
      <t>B</t>
    </r>
    <r>
      <rPr>
        <sz val="11"/>
        <rFont val="Calibri"/>
        <family val="2"/>
        <scheme val="minor"/>
      </rPr>
      <t xml:space="preserve"> * r6 + v7_SB * r7 + v8_SB * r8  + v9_SB * r9 + v10_SB * r10  + v11_SB * r11 + v12_SB * r12 + v36_S</t>
    </r>
    <r>
      <rPr>
        <vertAlign val="subscript"/>
        <sz val="11"/>
        <rFont val="Calibri"/>
        <family val="2"/>
        <scheme val="minor"/>
      </rPr>
      <t>B</t>
    </r>
    <r>
      <rPr>
        <sz val="11"/>
        <rFont val="Calibri"/>
        <family val="2"/>
        <scheme val="minor"/>
      </rPr>
      <t xml:space="preserve"> * r36 + v37_S</t>
    </r>
    <r>
      <rPr>
        <vertAlign val="subscript"/>
        <sz val="11"/>
        <rFont val="Calibri"/>
        <family val="2"/>
        <scheme val="minor"/>
      </rPr>
      <t>B</t>
    </r>
    <r>
      <rPr>
        <sz val="11"/>
        <rFont val="Calibri"/>
        <family val="2"/>
        <scheme val="minor"/>
      </rPr>
      <t xml:space="preserve"> * r37 + v13_S</t>
    </r>
    <r>
      <rPr>
        <vertAlign val="subscript"/>
        <sz val="11"/>
        <rFont val="Calibri"/>
        <family val="2"/>
        <scheme val="minor"/>
      </rPr>
      <t>MEOL</t>
    </r>
    <r>
      <rPr>
        <sz val="11"/>
        <rFont val="Calibri"/>
        <family val="2"/>
        <scheme val="minor"/>
      </rPr>
      <t xml:space="preserve"> * r13 + v16_S</t>
    </r>
    <r>
      <rPr>
        <vertAlign val="subscript"/>
        <sz val="11"/>
        <rFont val="Calibri"/>
        <family val="2"/>
        <scheme val="minor"/>
      </rPr>
      <t>MEOL</t>
    </r>
    <r>
      <rPr>
        <sz val="11"/>
        <rFont val="Calibri"/>
        <family val="2"/>
        <scheme val="minor"/>
      </rPr>
      <t xml:space="preserve"> * r16 + v17_S</t>
    </r>
    <r>
      <rPr>
        <vertAlign val="subscript"/>
        <sz val="11"/>
        <rFont val="Calibri"/>
        <family val="2"/>
        <scheme val="minor"/>
      </rPr>
      <t>MEOL</t>
    </r>
    <r>
      <rPr>
        <sz val="11"/>
        <rFont val="Calibri"/>
        <family val="2"/>
        <scheme val="minor"/>
      </rPr>
      <t xml:space="preserve"> * r17 )</t>
    </r>
  </si>
  <si>
    <r>
      <t>v11_S</t>
    </r>
    <r>
      <rPr>
        <vertAlign val="subscript"/>
        <sz val="11"/>
        <rFont val="Calibri"/>
        <family val="2"/>
        <scheme val="minor"/>
      </rPr>
      <t>H2</t>
    </r>
    <r>
      <rPr>
        <sz val="11"/>
        <rFont val="Calibri"/>
        <family val="2"/>
        <scheme val="minor"/>
      </rPr>
      <t xml:space="preserve"> * r11 + v12_S</t>
    </r>
    <r>
      <rPr>
        <vertAlign val="subscript"/>
        <sz val="11"/>
        <rFont val="Calibri"/>
        <family val="2"/>
        <scheme val="minor"/>
      </rPr>
      <t>H2</t>
    </r>
    <r>
      <rPr>
        <sz val="11"/>
        <rFont val="Calibri"/>
        <family val="2"/>
        <scheme val="minor"/>
      </rPr>
      <t xml:space="preserve"> * r12 + v36_S</t>
    </r>
    <r>
      <rPr>
        <vertAlign val="subscript"/>
        <sz val="11"/>
        <rFont val="Calibri"/>
        <family val="2"/>
        <scheme val="minor"/>
      </rPr>
      <t>H2</t>
    </r>
    <r>
      <rPr>
        <sz val="11"/>
        <rFont val="Calibri"/>
        <family val="2"/>
        <scheme val="minor"/>
      </rPr>
      <t xml:space="preserve"> * r36 + v37_S</t>
    </r>
    <r>
      <rPr>
        <vertAlign val="subscript"/>
        <sz val="11"/>
        <rFont val="Calibri"/>
        <family val="2"/>
        <scheme val="minor"/>
      </rPr>
      <t>H2</t>
    </r>
    <r>
      <rPr>
        <sz val="11"/>
        <rFont val="Calibri"/>
        <family val="2"/>
        <scheme val="minor"/>
      </rPr>
      <t xml:space="preserve"> * r37 + v57_S</t>
    </r>
    <r>
      <rPr>
        <vertAlign val="subscript"/>
        <sz val="11"/>
        <rFont val="Calibri"/>
        <family val="2"/>
        <scheme val="minor"/>
      </rPr>
      <t>CH4</t>
    </r>
    <r>
      <rPr>
        <sz val="11"/>
        <rFont val="Calibri"/>
        <family val="2"/>
        <scheme val="minor"/>
      </rPr>
      <t xml:space="preserve"> * r57 + v60_S</t>
    </r>
    <r>
      <rPr>
        <vertAlign val="subscript"/>
        <sz val="11"/>
        <rFont val="Calibri"/>
        <family val="2"/>
        <scheme val="minor"/>
      </rPr>
      <t>CH4</t>
    </r>
    <r>
      <rPr>
        <sz val="11"/>
        <rFont val="Calibri"/>
        <family val="2"/>
        <scheme val="minor"/>
      </rPr>
      <t xml:space="preserve"> * r60</t>
    </r>
  </si>
  <si>
    <r>
      <t>X</t>
    </r>
    <r>
      <rPr>
        <vertAlign val="subscript"/>
        <sz val="11"/>
        <rFont val="Calibri"/>
        <family val="2"/>
      </rPr>
      <t>B</t>
    </r>
    <r>
      <rPr>
        <sz val="11"/>
        <rFont val="Calibri"/>
        <family val="2"/>
      </rPr>
      <t xml:space="preserve"> + X</t>
    </r>
    <r>
      <rPr>
        <vertAlign val="subscript"/>
        <sz val="11"/>
        <rFont val="Calibri"/>
        <family val="2"/>
      </rPr>
      <t>B,e</t>
    </r>
    <r>
      <rPr>
        <sz val="11"/>
        <rFont val="Calibri"/>
        <family val="2"/>
      </rPr>
      <t xml:space="preserve"> + C</t>
    </r>
    <r>
      <rPr>
        <vertAlign val="subscript"/>
        <sz val="11"/>
        <rFont val="Calibri"/>
        <family val="2"/>
      </rPr>
      <t>B</t>
    </r>
  </si>
  <si>
    <r>
      <t>S</t>
    </r>
    <r>
      <rPr>
        <vertAlign val="subscript"/>
        <sz val="11"/>
        <rFont val="Calibri"/>
        <family val="2"/>
      </rPr>
      <t>NOx,Tot</t>
    </r>
  </si>
  <si>
    <r>
      <t>ORP</t>
    </r>
    <r>
      <rPr>
        <vertAlign val="subscript"/>
        <sz val="11"/>
        <rFont val="Calibri"/>
        <family val="2"/>
        <scheme val="minor"/>
      </rPr>
      <t>base</t>
    </r>
    <r>
      <rPr>
        <sz val="11"/>
        <rFont val="Calibri"/>
        <family val="2"/>
        <scheme val="minor"/>
      </rPr>
      <t>+(ORP</t>
    </r>
    <r>
      <rPr>
        <vertAlign val="subscript"/>
        <sz val="11"/>
        <rFont val="Calibri"/>
        <family val="2"/>
        <scheme val="minor"/>
      </rPr>
      <t>max,SNOx</t>
    </r>
    <r>
      <rPr>
        <sz val="11"/>
        <rFont val="Calibri"/>
        <family val="2"/>
        <scheme val="minor"/>
      </rPr>
      <t>-ORP</t>
    </r>
    <r>
      <rPr>
        <vertAlign val="subscript"/>
        <sz val="11"/>
        <rFont val="Calibri"/>
        <family val="2"/>
        <scheme val="minor"/>
      </rPr>
      <t>base</t>
    </r>
    <r>
      <rPr>
        <sz val="11"/>
        <rFont val="Calibri"/>
        <family val="2"/>
        <charset val="238"/>
        <scheme val="minor"/>
      </rPr>
      <t>)</t>
    </r>
    <r>
      <rPr>
        <sz val="11"/>
        <rFont val="Calibri"/>
        <family val="2"/>
        <scheme val="minor"/>
      </rPr>
      <t>*S</t>
    </r>
    <r>
      <rPr>
        <vertAlign val="subscript"/>
        <sz val="11"/>
        <rFont val="Calibri"/>
        <family val="2"/>
        <scheme val="minor"/>
      </rPr>
      <t>NOx,Tot</t>
    </r>
    <r>
      <rPr>
        <sz val="11"/>
        <rFont val="Calibri"/>
        <family val="2"/>
        <scheme val="minor"/>
      </rPr>
      <t>/(K</t>
    </r>
    <r>
      <rPr>
        <vertAlign val="subscript"/>
        <sz val="11"/>
        <rFont val="Calibri"/>
        <family val="2"/>
        <scheme val="minor"/>
      </rPr>
      <t>ORP,SNOx</t>
    </r>
    <r>
      <rPr>
        <sz val="11"/>
        <rFont val="Calibri"/>
        <family val="2"/>
        <scheme val="minor"/>
      </rPr>
      <t>+S</t>
    </r>
    <r>
      <rPr>
        <vertAlign val="subscript"/>
        <sz val="11"/>
        <rFont val="Calibri"/>
        <family val="2"/>
        <scheme val="minor"/>
      </rPr>
      <t>NOx,Tot</t>
    </r>
    <r>
      <rPr>
        <sz val="11"/>
        <rFont val="Calibri"/>
        <family val="2"/>
        <scheme val="minor"/>
      </rPr>
      <t>)</t>
    </r>
  </si>
  <si>
    <r>
      <t>K</t>
    </r>
    <r>
      <rPr>
        <vertAlign val="subscript"/>
        <sz val="11"/>
        <rFont val="Calibri"/>
        <family val="2"/>
        <scheme val="minor"/>
      </rPr>
      <t>sp,CaCO3,param</t>
    </r>
    <r>
      <rPr>
        <sz val="11"/>
        <rFont val="Calibri"/>
        <family val="2"/>
        <scheme val="minor"/>
      </rPr>
      <t>/f</t>
    </r>
    <r>
      <rPr>
        <vertAlign val="subscript"/>
        <sz val="11"/>
        <rFont val="Calibri"/>
        <family val="2"/>
        <scheme val="minor"/>
      </rPr>
      <t>di</t>
    </r>
  </si>
  <si>
    <r>
      <t>K</t>
    </r>
    <r>
      <rPr>
        <vertAlign val="subscript"/>
        <sz val="11"/>
        <rFont val="Calibri"/>
        <family val="2"/>
        <scheme val="minor"/>
      </rPr>
      <t>sp,STR,param</t>
    </r>
    <r>
      <rPr>
        <sz val="11"/>
        <rFont val="Calibri"/>
        <family val="2"/>
        <scheme val="minor"/>
      </rPr>
      <t>/(f</t>
    </r>
    <r>
      <rPr>
        <vertAlign val="subscript"/>
        <sz val="11"/>
        <rFont val="Calibri"/>
        <family val="2"/>
        <scheme val="minor"/>
      </rPr>
      <t>di</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mono</t>
    </r>
    <r>
      <rPr>
        <sz val="11"/>
        <rFont val="Calibri"/>
        <family val="2"/>
        <scheme val="minor"/>
      </rPr>
      <t>^</t>
    </r>
    <r>
      <rPr>
        <vertAlign val="superscript"/>
        <sz val="11"/>
        <rFont val="Calibri"/>
        <family val="2"/>
        <scheme val="minor"/>
      </rPr>
      <t>(1/3)</t>
    </r>
    <r>
      <rPr>
        <sz val="11"/>
        <rFont val="Calibri"/>
        <family val="2"/>
        <scheme val="minor"/>
      </rPr>
      <t>*f</t>
    </r>
    <r>
      <rPr>
        <vertAlign val="subscript"/>
        <sz val="11"/>
        <rFont val="Calibri"/>
        <family val="2"/>
        <scheme val="minor"/>
      </rPr>
      <t>tri</t>
    </r>
    <r>
      <rPr>
        <sz val="11"/>
        <rFont val="Calibri"/>
        <family val="2"/>
        <scheme val="minor"/>
      </rPr>
      <t>^</t>
    </r>
    <r>
      <rPr>
        <vertAlign val="superscript"/>
        <sz val="11"/>
        <rFont val="Calibri"/>
        <family val="2"/>
        <scheme val="minor"/>
      </rPr>
      <t>(1/3)</t>
    </r>
    <r>
      <rPr>
        <sz val="11"/>
        <rFont val="Calibri"/>
        <family val="2"/>
        <charset val="238"/>
        <scheme val="minor"/>
      </rPr>
      <t>)</t>
    </r>
  </si>
  <si>
    <r>
      <t>K</t>
    </r>
    <r>
      <rPr>
        <vertAlign val="subscript"/>
        <sz val="11"/>
        <rFont val="Calibri"/>
        <family val="2"/>
        <scheme val="minor"/>
      </rPr>
      <t>sp,Vivi,param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</si>
  <si>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r>
      <t>K</t>
    </r>
    <r>
      <rPr>
        <vertAlign val="subscript"/>
        <sz val="11"/>
        <rFont val="Calibri"/>
        <family val="2"/>
        <scheme val="minor"/>
      </rPr>
      <t>sp,ACP,param</t>
    </r>
    <r>
      <rPr>
        <sz val="11"/>
        <rFont val="Calibri"/>
        <family val="2"/>
        <scheme val="minor"/>
      </rPr>
      <t>/(f</t>
    </r>
    <r>
      <rPr>
        <vertAlign val="subscript"/>
        <sz val="11"/>
        <rFont val="Calibri"/>
        <family val="2"/>
        <scheme val="minor"/>
      </rPr>
      <t>di</t>
    </r>
    <r>
      <rPr>
        <vertAlign val="superscript"/>
        <sz val="11"/>
        <rFont val="Calibri"/>
        <family val="2"/>
        <scheme val="minor"/>
      </rPr>
      <t>^(3/5)</t>
    </r>
    <r>
      <rPr>
        <sz val="11"/>
        <rFont val="Calibri"/>
        <family val="2"/>
        <scheme val="minor"/>
      </rPr>
      <t>*f</t>
    </r>
    <r>
      <rPr>
        <vertAlign val="subscript"/>
        <sz val="11"/>
        <rFont val="Calibri"/>
        <family val="2"/>
        <scheme val="minor"/>
      </rPr>
      <t>tri</t>
    </r>
    <r>
      <rPr>
        <vertAlign val="superscript"/>
        <sz val="11"/>
        <rFont val="Calibri"/>
        <family val="2"/>
        <scheme val="minor"/>
      </rPr>
      <t>^(2/5)</t>
    </r>
    <r>
      <rPr>
        <sz val="11"/>
        <rFont val="Calibri"/>
        <family val="2"/>
        <scheme val="minor"/>
      </rPr>
      <t>)</t>
    </r>
  </si>
  <si>
    <t>(=1.25 g N.m-3 in Sumo2)</t>
  </si>
  <si>
    <r>
      <t>Nitrate, nitrite, nitric oxide and hydroxylamine (NO</t>
    </r>
    <r>
      <rPr>
        <vertAlign val="subscript"/>
        <sz val="11"/>
        <color rgb="FF000000"/>
        <rFont val="Calibri"/>
        <family val="2"/>
        <scheme val="minor"/>
      </rPr>
      <t>x</t>
    </r>
    <r>
      <rPr>
        <sz val="11"/>
        <color rgb="FF000000"/>
        <rFont val="Calibri"/>
        <family val="2"/>
        <charset val="238"/>
        <scheme val="minor"/>
      </rPr>
      <t>)</t>
    </r>
  </si>
  <si>
    <r>
      <t>S</t>
    </r>
    <r>
      <rPr>
        <vertAlign val="subscript"/>
        <sz val="11"/>
        <rFont val="Calibri"/>
        <family val="2"/>
        <charset val="238"/>
      </rPr>
      <t>NO2</t>
    </r>
    <r>
      <rPr>
        <sz val="11"/>
        <rFont val="Calibri"/>
        <family val="2"/>
      </rPr>
      <t xml:space="preserve"> + S</t>
    </r>
    <r>
      <rPr>
        <vertAlign val="subscript"/>
        <sz val="11"/>
        <rFont val="Calibri"/>
        <family val="2"/>
        <charset val="238"/>
      </rPr>
      <t>NO3</t>
    </r>
    <r>
      <rPr>
        <sz val="11"/>
        <rFont val="Calibri"/>
        <family val="2"/>
      </rPr>
      <t xml:space="preserve"> + S</t>
    </r>
    <r>
      <rPr>
        <vertAlign val="subscript"/>
        <sz val="11"/>
        <rFont val="Calibri"/>
        <family val="2"/>
      </rPr>
      <t>NO</t>
    </r>
    <r>
      <rPr>
        <sz val="11"/>
        <rFont val="Calibri"/>
        <family val="2"/>
      </rPr>
      <t xml:space="preserve"> + S</t>
    </r>
    <r>
      <rPr>
        <vertAlign val="subscript"/>
        <sz val="11"/>
        <rFont val="Calibri"/>
        <family val="2"/>
      </rPr>
      <t>NH2OH</t>
    </r>
  </si>
  <si>
    <r>
      <t>η</t>
    </r>
    <r>
      <rPr>
        <vertAlign val="subscript"/>
        <sz val="11"/>
        <color rgb="FF000000"/>
        <rFont val="Calibri"/>
        <family val="2"/>
        <scheme val="minor"/>
      </rPr>
      <t>NH2OH,dispr,ana</t>
    </r>
  </si>
  <si>
    <t>Factor for hydroxylamine disproportionation under anaerobic conditions</t>
  </si>
  <si>
    <r>
      <t>Minh</t>
    </r>
    <r>
      <rPr>
        <vertAlign val="subscript"/>
        <sz val="11"/>
        <rFont val="Calibri"/>
        <family val="2"/>
      </rPr>
      <t>SO2,KO2,aBIO</t>
    </r>
  </si>
  <si>
    <r>
      <t>Inhibition term for O</t>
    </r>
    <r>
      <rPr>
        <vertAlign val="subscript"/>
        <sz val="11"/>
        <color rgb="FF000000"/>
        <rFont val="Calibri"/>
        <family val="2"/>
        <scheme val="minor"/>
      </rPr>
      <t>2</t>
    </r>
    <r>
      <rPr>
        <sz val="11"/>
        <color rgb="FF000000"/>
        <rFont val="Calibri"/>
        <family val="2"/>
        <charset val="238"/>
        <scheme val="minor"/>
      </rPr>
      <t xml:space="preserve"> (abiotic NH2OH disproportionation)</t>
    </r>
  </si>
  <si>
    <r>
      <t>Minh(S</t>
    </r>
    <r>
      <rPr>
        <vertAlign val="subscript"/>
        <sz val="11"/>
        <rFont val="Calibri"/>
        <family val="2"/>
      </rPr>
      <t>O2</t>
    </r>
    <r>
      <rPr>
        <sz val="11"/>
        <rFont val="Calibri"/>
        <family val="2"/>
      </rPr>
      <t>;K</t>
    </r>
    <r>
      <rPr>
        <vertAlign val="subscript"/>
        <sz val="11"/>
        <rFont val="Calibri"/>
        <family val="2"/>
      </rPr>
      <t>O2,aBIO</t>
    </r>
    <r>
      <rPr>
        <sz val="11"/>
        <rFont val="Calibri"/>
        <family val="2"/>
      </rPr>
      <t>)</t>
    </r>
  </si>
  <si>
    <r>
      <t>q</t>
    </r>
    <r>
      <rPr>
        <vertAlign val="subscript"/>
        <sz val="11"/>
        <rFont val="Calibri"/>
        <family val="2"/>
      </rPr>
      <t>NH2OH</t>
    </r>
    <r>
      <rPr>
        <sz val="11"/>
        <rFont val="Calibri"/>
        <family val="2"/>
      </rPr>
      <t>*S</t>
    </r>
    <r>
      <rPr>
        <vertAlign val="subscript"/>
        <sz val="11"/>
        <rFont val="Calibri"/>
        <family val="2"/>
      </rPr>
      <t>NH2OH</t>
    </r>
    <r>
      <rPr>
        <sz val="11"/>
        <rFont val="Calibri"/>
        <family val="2"/>
      </rPr>
      <t>*(1+η</t>
    </r>
    <r>
      <rPr>
        <vertAlign val="subscript"/>
        <sz val="11"/>
        <rFont val="Calibri"/>
        <family val="2"/>
      </rPr>
      <t>NH2OH,dispr,ana</t>
    </r>
    <r>
      <rPr>
        <sz val="11"/>
        <rFont val="Calibri"/>
        <family val="2"/>
      </rPr>
      <t>*Minh</t>
    </r>
    <r>
      <rPr>
        <vertAlign val="subscript"/>
        <sz val="11"/>
        <rFont val="Calibri"/>
        <family val="2"/>
      </rPr>
      <t>SO2,KO2,aBIO</t>
    </r>
    <r>
      <rPr>
        <sz val="11"/>
        <rFont val="Calibri"/>
        <family val="2"/>
      </rPr>
      <t>*Minh</t>
    </r>
    <r>
      <rPr>
        <vertAlign val="subscript"/>
        <sz val="11"/>
        <rFont val="Calibri"/>
        <family val="2"/>
      </rPr>
      <t>SNOx,KNOx,aBIO</t>
    </r>
    <r>
      <rPr>
        <sz val="11"/>
        <rFont val="Calibri"/>
        <family val="2"/>
      </rPr>
      <t>)</t>
    </r>
  </si>
  <si>
    <r>
      <t>Inhibition term for NO</t>
    </r>
    <r>
      <rPr>
        <vertAlign val="subscript"/>
        <sz val="11"/>
        <color rgb="FF000000"/>
        <rFont val="Calibri"/>
        <family val="2"/>
        <scheme val="minor"/>
      </rPr>
      <t>x</t>
    </r>
    <r>
      <rPr>
        <sz val="11"/>
        <color rgb="FF000000"/>
        <rFont val="Calibri"/>
        <family val="2"/>
        <charset val="238"/>
        <scheme val="minor"/>
      </rPr>
      <t xml:space="preserve"> (abiotic NH2OH disproportionation)</t>
    </r>
  </si>
  <si>
    <r>
      <t>Minh(S</t>
    </r>
    <r>
      <rPr>
        <vertAlign val="subscript"/>
        <sz val="11"/>
        <rFont val="Calibri"/>
        <family val="2"/>
      </rPr>
      <t>NOx</t>
    </r>
    <r>
      <rPr>
        <sz val="11"/>
        <rFont val="Calibri"/>
        <family val="2"/>
      </rPr>
      <t>;K</t>
    </r>
    <r>
      <rPr>
        <vertAlign val="subscript"/>
        <sz val="11"/>
        <rFont val="Calibri"/>
        <family val="2"/>
      </rPr>
      <t>NOx,aBIO</t>
    </r>
    <r>
      <rPr>
        <sz val="11"/>
        <rFont val="Calibri"/>
        <family val="2"/>
      </rPr>
      <t>)</t>
    </r>
  </si>
  <si>
    <r>
      <t>K</t>
    </r>
    <r>
      <rPr>
        <vertAlign val="subscript"/>
        <sz val="11"/>
        <color indexed="8"/>
        <rFont val="Calibri"/>
        <family val="2"/>
        <scheme val="minor"/>
      </rPr>
      <t>NOx,aBIO</t>
    </r>
  </si>
  <si>
    <r>
      <t>Half-saturation of NO</t>
    </r>
    <r>
      <rPr>
        <vertAlign val="subscript"/>
        <sz val="11"/>
        <color rgb="FF000000"/>
        <rFont val="Calibri"/>
        <family val="2"/>
        <scheme val="minor"/>
      </rPr>
      <t>x</t>
    </r>
    <r>
      <rPr>
        <sz val="11"/>
        <color rgb="FF000000"/>
        <rFont val="Calibri"/>
        <family val="2"/>
        <charset val="238"/>
        <scheme val="minor"/>
      </rPr>
      <t xml:space="preserve"> for abiotic disproportionation of hydroxylamine</t>
    </r>
  </si>
  <si>
    <r>
      <t>Minh</t>
    </r>
    <r>
      <rPr>
        <vertAlign val="subscript"/>
        <sz val="11"/>
        <rFont val="Calibri"/>
        <family val="2"/>
      </rPr>
      <t>SNOx,KNOx,aBIO</t>
    </r>
  </si>
  <si>
    <t>Abiotic disproportionation into NHx and N2O is added as described in Su et al. (2019) but an increased rate under anaerobic conditions is added to deplete hydroxylamine under anaerobic conditions.</t>
  </si>
  <si>
    <t xml:space="preserve">Abiotic oxidation of hydroxylamine with nitrite is added as an abiotic N2O emission pathway as described in Su et al. (2019), with a rate equation in function of pH, SNO2 and SNH2O2. </t>
  </si>
  <si>
    <t>Hydroxylamine inhibition on NOB is added in accordance with Jofra-Soler et al (2021).</t>
  </si>
  <si>
    <t>Half-saturation of O2 for NHx oxidation by AOBs (Sidestream)</t>
  </si>
  <si>
    <t>Half-saturation of O2 for NH2OH oxidation by AOBs (Sidestream)</t>
  </si>
  <si>
    <t>Half-saturation of O2 for NHx oxidation by AOBs (AS)</t>
  </si>
  <si>
    <t>Half-saturation of O2 for NH2OH oxidation by AOBs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</si>
</sst>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164" formatCode="0.0"/>
    <numFmt numFmtId="165" formatCode="0.0000"/>
    <numFmt numFmtId="166" formatCode="0.000"/>
    <numFmt numFmtId="167" formatCode="0.000E+00"/>
    <numFmt numFmtId="168" formatCode="0.00000"/>
    <numFmt numFmtId="169" formatCode="0.000000"/>
  </numFmts>
  <fonts count="107"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vertAlign val="subscript"/>
      <sz val="11"/>
      <color indexed="8"/>
      <name val="Calibri"/>
      <family val="2"/>
    </font>
    <font>
      <vertAlign val="subscript"/>
      <sz val="11"/>
      <color indexed="8"/>
      <name val="Calibri"/>
      <family val="2"/>
      <scheme val="minor"/>
    </font>
    <font>
      <u/>
      <sz val="11"/>
      <color theme="10"/>
      <name val="Calibri"/>
      <family val="2"/>
    </font>
    <font>
      <sz val="11"/>
      <color indexed="8"/>
      <name val="Calibri"/>
      <family val="2"/>
      <scheme val="minor"/>
    </font>
    <font>
      <vertAlign val="subscript"/>
      <sz val="11"/>
      <name val="Calibri"/>
      <family val="2"/>
    </font>
    <font>
      <sz val="11"/>
      <color rgb="FF00B050"/>
      <name val="Calibri"/>
      <family val="2"/>
    </font>
    <font>
      <b/>
      <sz val="11"/>
      <color indexed="8"/>
      <name val="Calibri"/>
      <family val="2"/>
      <scheme val="minor"/>
    </font>
    <font>
      <b/>
      <sz val="11"/>
      <name val="Calibri"/>
      <family val="2"/>
      <scheme val="minor"/>
    </font>
    <font>
      <vertAlign val="subscript"/>
      <sz val="11"/>
      <name val="Calibri"/>
      <family val="2"/>
      <scheme val="minor"/>
    </font>
    <font>
      <vertAlign val="superscript"/>
      <sz val="11"/>
      <name val="Calibri"/>
      <family val="2"/>
    </font>
    <font>
      <vertAlign val="superscript"/>
      <sz val="11"/>
      <name val="Calibri"/>
      <family val="2"/>
      <scheme val="minor"/>
    </font>
    <font>
      <b/>
      <sz val="12"/>
      <name val="Calibri"/>
      <family val="2"/>
      <scheme val="minor"/>
    </font>
    <font>
      <b/>
      <vertAlign val="subscript"/>
      <sz val="12"/>
      <name val="Calibri"/>
      <family val="2"/>
      <scheme val="minor"/>
    </font>
    <font>
      <vertAlign val="subscript"/>
      <sz val="11"/>
      <name val="Calibri"/>
      <family val="2"/>
      <charset val="238"/>
      <scheme val="minor"/>
    </font>
    <font>
      <b/>
      <i/>
      <sz val="11"/>
      <name val="Calibri"/>
      <family val="2"/>
      <scheme val="minor"/>
    </font>
    <font>
      <b/>
      <vertAlign val="superscript"/>
      <sz val="11"/>
      <name val="Calibri"/>
      <family val="2"/>
    </font>
    <font>
      <b/>
      <vertAlign val="subscript"/>
      <sz val="11"/>
      <name val="Calibri"/>
      <family val="2"/>
    </font>
    <font>
      <b/>
      <sz val="11"/>
      <name val="Calibri"/>
      <family val="2"/>
      <charset val="238"/>
    </font>
    <font>
      <b/>
      <vertAlign val="subscript"/>
      <sz val="11"/>
      <name val="Calibri"/>
      <family val="2"/>
      <charset val="238"/>
    </font>
    <font>
      <vertAlign val="subscript"/>
      <sz val="11"/>
      <name val="Calibri"/>
      <family val="2"/>
      <charset val="238"/>
    </font>
    <font>
      <b/>
      <vertAlign val="subscript"/>
      <sz val="11"/>
      <name val="Calibri"/>
      <family val="2"/>
      <charset val="238"/>
      <scheme val="minor"/>
    </font>
    <font>
      <vertAlign val="superscript"/>
      <sz val="8"/>
      <name val="Arial"/>
      <family val="2"/>
    </font>
    <font>
      <b/>
      <vertAlign val="subscript"/>
      <sz val="11"/>
      <name val="Calibri"/>
      <family val="2"/>
      <scheme val="minor"/>
    </font>
    <font>
      <b/>
      <sz val="11"/>
      <name val="Calibri"/>
      <family val="2"/>
      <charset val="238"/>
      <scheme val="minor"/>
    </font>
    <font>
      <vertAlign val="superscript"/>
      <sz val="11"/>
      <color indexed="8"/>
      <name val="Calibri"/>
      <family val="2"/>
      <scheme val="minor"/>
    </font>
    <font>
      <sz val="11"/>
      <color rgb="FF0082C8"/>
      <name val="Calibri"/>
      <family val="2"/>
      <scheme val="minor"/>
    </font>
    <font>
      <sz val="11"/>
      <color rgb="FFFF0000"/>
      <name val="Calibri"/>
      <family val="2"/>
      <scheme val="minor"/>
    </font>
    <font>
      <vertAlign val="subscript"/>
      <sz val="11"/>
      <color theme="1"/>
      <name val="Calibri"/>
      <family val="2"/>
      <scheme val="minor"/>
    </font>
    <font>
      <vertAlign val="superscript"/>
      <sz val="11"/>
      <color theme="1"/>
      <name val="Calibri"/>
      <family val="2"/>
      <scheme val="minor"/>
    </font>
    <font>
      <i/>
      <vertAlign val="subscript"/>
      <sz val="11"/>
      <name val="Calibri"/>
      <family val="2"/>
    </font>
    <font>
      <b/>
      <sz val="11"/>
      <color indexed="9"/>
      <name val="Calibri"/>
      <family val="2"/>
      <scheme val="minor"/>
    </font>
    <font>
      <sz val="11"/>
      <color rgb="FF00B050"/>
      <name val="Calibri"/>
      <family val="2"/>
      <scheme val="minor"/>
    </font>
    <font>
      <i/>
      <sz val="11"/>
      <name val="Calibri"/>
      <family val="2"/>
      <scheme val="minor"/>
    </font>
    <font>
      <i/>
      <vertAlign val="subscript"/>
      <sz val="11"/>
      <name val="Calibri"/>
      <family val="2"/>
      <scheme val="minor"/>
    </font>
    <font>
      <vertAlign val="subscript"/>
      <sz val="12.65"/>
      <name val="Calibri"/>
      <family val="2"/>
    </font>
    <font>
      <vertAlign val="superscript"/>
      <sz val="11"/>
      <name val="Calibri"/>
      <family val="2"/>
      <charset val="238"/>
      <scheme val="minor"/>
    </font>
    <font>
      <vertAlign val="superscript"/>
      <sz val="11"/>
      <name val="Calibri"/>
      <family val="2"/>
      <charset val="238"/>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
      <sz val="11"/>
      <color rgb="FF000000"/>
      <name val="Calibri"/>
      <family val="2"/>
    </font>
    <font>
      <sz val="11"/>
      <name val="Calibri"/>
      <family val="2"/>
      <charset val="238"/>
      <scheme val="minor"/>
    </font>
    <font>
      <sz val="11"/>
      <color rgb="FF000000"/>
      <name val="Calibri"/>
      <family val="2"/>
      <scheme val="minor"/>
    </font>
    <font>
      <vertAlign val="subscript"/>
      <sz val="11"/>
      <color indexed="8"/>
      <name val="Calibri"/>
      <family val="2"/>
      <charset val="238"/>
      <scheme val="minor"/>
    </font>
    <font>
      <vertAlign val="subscript"/>
      <sz val="11"/>
      <color rgb="FF000000"/>
      <name val="Calibri"/>
      <family val="2"/>
      <charset val="238"/>
      <scheme val="minor"/>
    </font>
    <font>
      <sz val="11"/>
      <name val="Calibri"/>
      <family val="2"/>
      <charset val="238"/>
    </font>
    <font>
      <vertAlign val="subscript"/>
      <sz val="11"/>
      <color rgb="FF000000"/>
      <name val="Calibri"/>
      <family val="2"/>
    </font>
    <font>
      <vertAlign val="superscript"/>
      <sz val="11"/>
      <color theme="1"/>
      <name val="Calibri"/>
      <family val="2"/>
      <charset val="238"/>
      <scheme val="minor"/>
    </font>
    <font>
      <vertAlign val="subscript"/>
      <sz val="11"/>
      <color rgb="FF000000"/>
      <name val="Calibri"/>
      <family val="2"/>
      <charset val="238"/>
    </font>
    <font>
      <sz val="11"/>
      <color rgb="FF000000"/>
      <name val="Calibri"/>
      <family val="2"/>
      <charset val="238"/>
    </font>
    <font>
      <vertAlign val="subscript"/>
      <sz val="9.35"/>
      <name val="Calibri"/>
      <family val="2"/>
      <charset val="238"/>
    </font>
    <font>
      <sz val="11"/>
      <color indexed="8"/>
      <name val="Calibri"/>
      <family val="2"/>
      <charset val="238"/>
      <scheme val="minor"/>
    </font>
    <font>
      <vertAlign val="superscript"/>
      <sz val="11"/>
      <color indexed="8"/>
      <name val="Calibri"/>
      <family val="2"/>
      <charset val="238"/>
      <scheme val="minor"/>
    </font>
    <font>
      <b/>
      <vertAlign val="subscript"/>
      <sz val="12"/>
      <name val="Calibri"/>
      <family val="2"/>
      <charset val="238"/>
      <scheme val="minor"/>
    </font>
    <font>
      <vertAlign val="superscript"/>
      <sz val="11"/>
      <color indexed="8"/>
      <name val="Calibri"/>
      <family val="2"/>
      <charset val="238"/>
    </font>
    <font>
      <vertAlign val="superscript"/>
      <sz val="11"/>
      <color indexed="8"/>
      <name val="Calibri"/>
      <family val="2"/>
    </font>
    <font>
      <b/>
      <i/>
      <sz val="11"/>
      <color theme="0" tint="-0.499984740745262"/>
      <name val="Calibri"/>
      <family val="2"/>
      <scheme val="minor"/>
    </font>
    <font>
      <sz val="11"/>
      <color rgb="FF9C5700"/>
      <name val="Calibri"/>
      <family val="2"/>
      <charset val="238"/>
      <scheme val="minor"/>
    </font>
  </fonts>
  <fills count="51">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9" tint="0.79995117038483843"/>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99"/>
        <bgColor indexed="64"/>
      </patternFill>
    </fill>
    <fill>
      <patternFill patternType="solid">
        <fgColor rgb="FF2B8DD5"/>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indexed="9"/>
        <bgColor indexed="64"/>
      </patternFill>
    </fill>
    <fill>
      <patternFill patternType="solid">
        <fgColor rgb="FFDCE6F1"/>
        <bgColor indexed="64"/>
      </patternFill>
    </fill>
    <fill>
      <patternFill patternType="solid">
        <fgColor rgb="FFB8CCE4"/>
        <bgColor indexed="64"/>
      </patternFill>
    </fill>
    <fill>
      <patternFill patternType="solid">
        <fgColor rgb="FFF2F2F2"/>
        <bgColor indexed="64"/>
      </patternFill>
    </fill>
    <fill>
      <patternFill patternType="solid">
        <fgColor rgb="FFF2DCDB"/>
        <bgColor indexed="64"/>
      </patternFill>
    </fill>
    <fill>
      <patternFill patternType="solid">
        <fgColor rgb="FFDDD9C4"/>
        <bgColor indexed="64"/>
      </patternFill>
    </fill>
    <fill>
      <patternFill patternType="solid">
        <fgColor rgb="FFC4BD97"/>
        <bgColor indexed="64"/>
      </patternFill>
    </fill>
    <fill>
      <patternFill patternType="solid">
        <fgColor rgb="FFEBF1DE"/>
        <bgColor indexed="64"/>
      </patternFill>
    </fill>
    <fill>
      <patternFill patternType="solid">
        <fgColor rgb="FFFDE9D9"/>
        <bgColor indexed="64"/>
      </patternFill>
    </fill>
    <fill>
      <patternFill patternType="solid">
        <fgColor rgb="FFFCD5B4"/>
        <bgColor indexed="64"/>
      </patternFill>
    </fill>
    <fill>
      <patternFill patternType="solid">
        <fgColor rgb="FFC4D79B"/>
        <bgColor indexed="64"/>
      </patternFill>
    </fill>
    <fill>
      <patternFill patternType="solid">
        <fgColor rgb="FFB7DEE8"/>
        <bgColor indexed="64"/>
      </patternFill>
    </fill>
    <fill>
      <patternFill patternType="solid">
        <fgColor rgb="FFC0C0C0"/>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6" tint="-0.249977111117893"/>
        <bgColor indexed="64"/>
      </patternFill>
    </fill>
    <fill>
      <patternFill patternType="solid">
        <fgColor rgb="FF2B8DD5"/>
        <bgColor indexed="9"/>
      </patternFill>
    </fill>
    <fill>
      <patternFill patternType="solid">
        <fgColor rgb="FF76933C"/>
        <bgColor indexed="64"/>
      </patternFill>
    </fill>
    <fill>
      <patternFill patternType="solid">
        <fgColor rgb="FFFFFF66"/>
        <bgColor indexed="64"/>
      </patternFill>
    </fill>
    <fill>
      <patternFill patternType="solid">
        <fgColor indexed="13"/>
        <bgColor indexed="64"/>
      </patternFill>
    </fill>
    <fill>
      <patternFill patternType="solid">
        <fgColor indexed="11"/>
        <bgColor indexed="64"/>
      </patternFill>
    </fill>
    <fill>
      <patternFill patternType="solid">
        <fgColor theme="7" tint="0.79998168889431442"/>
        <bgColor indexed="64"/>
      </patternFill>
    </fill>
    <fill>
      <patternFill patternType="solid">
        <fgColor rgb="FFE4DFEC"/>
        <bgColor indexed="64"/>
      </patternFill>
    </fill>
    <fill>
      <patternFill patternType="solid">
        <fgColor rgb="FFFFEB9C"/>
      </patternFill>
    </fill>
    <fill>
      <patternFill patternType="solid">
        <fgColor theme="9"/>
        <bgColor indexed="64"/>
      </patternFill>
    </fill>
  </fills>
  <borders count="217">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8"/>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8"/>
      </left>
      <right style="medium">
        <color indexed="8"/>
      </right>
      <top style="medium">
        <color indexed="8"/>
      </top>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auto="1"/>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medium">
        <color indexed="64"/>
      </right>
      <top style="medium">
        <color auto="1"/>
      </top>
      <bottom style="thin">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auto="1"/>
      </left>
      <right style="thin">
        <color auto="1"/>
      </right>
      <top style="medium">
        <color auto="1"/>
      </top>
      <bottom style="medium">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23"/>
      </left>
      <right style="thin">
        <color indexed="23"/>
      </right>
      <top/>
      <bottom style="thin">
        <color indexed="23"/>
      </bottom>
      <diagonal/>
    </border>
    <border>
      <left style="thin">
        <color auto="1"/>
      </left>
      <right style="thin">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medium">
        <color auto="1"/>
      </top>
      <bottom style="thin">
        <color auto="1"/>
      </bottom>
      <diagonal/>
    </border>
    <border>
      <left/>
      <right style="medium">
        <color indexed="64"/>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8"/>
      </left>
      <right style="medium">
        <color indexed="8"/>
      </right>
      <top style="medium">
        <color indexed="8"/>
      </top>
      <bottom/>
      <diagonal/>
    </border>
    <border>
      <left style="thin">
        <color auto="1"/>
      </left>
      <right style="thin">
        <color auto="1"/>
      </right>
      <top style="thin">
        <color auto="1"/>
      </top>
      <bottom style="medium">
        <color auto="1"/>
      </bottom>
      <diagonal/>
    </border>
    <border>
      <left/>
      <right style="thin">
        <color indexed="64"/>
      </right>
      <top style="thin">
        <color indexed="64"/>
      </top>
      <bottom style="thin">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medium">
        <color auto="1"/>
      </top>
      <bottom style="medium">
        <color auto="1"/>
      </bottom>
      <diagonal/>
    </border>
    <border>
      <left style="medium">
        <color auto="1"/>
      </left>
      <right style="medium">
        <color indexed="64"/>
      </right>
      <top style="medium">
        <color auto="1"/>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8"/>
      </left>
      <right style="medium">
        <color indexed="8"/>
      </right>
      <top style="medium">
        <color indexed="8"/>
      </top>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medium">
        <color indexed="9"/>
      </right>
      <top style="thin">
        <color indexed="9"/>
      </top>
      <bottom/>
      <diagonal/>
    </border>
    <border>
      <left style="medium">
        <color indexed="9"/>
      </left>
      <right style="medium">
        <color indexed="9"/>
      </right>
      <top/>
      <bottom/>
      <diagonal/>
    </border>
    <border>
      <left style="medium">
        <color indexed="9"/>
      </left>
      <right style="medium">
        <color indexed="9"/>
      </right>
      <top style="thin">
        <color indexed="9"/>
      </top>
      <bottom/>
      <diagonal/>
    </border>
    <border>
      <left style="medium">
        <color indexed="9"/>
      </left>
      <right style="thin">
        <color indexed="23"/>
      </right>
      <top style="thin">
        <color indexed="9"/>
      </top>
      <bottom/>
      <diagonal/>
    </border>
    <border>
      <left style="thin">
        <color indexed="23"/>
      </left>
      <right style="thin">
        <color indexed="23"/>
      </right>
      <top style="thin">
        <color indexed="23"/>
      </top>
      <bottom style="thin">
        <color indexed="23"/>
      </bottom>
      <diagonal/>
    </border>
    <border>
      <left style="medium">
        <color indexed="8"/>
      </left>
      <right style="medium">
        <color indexed="8"/>
      </right>
      <top style="medium">
        <color indexed="8"/>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style="medium">
        <color auto="1"/>
      </bottom>
      <diagonal/>
    </border>
    <border>
      <left style="thin">
        <color indexed="64"/>
      </left>
      <right style="thin">
        <color indexed="64"/>
      </right>
      <top style="thin">
        <color indexed="64"/>
      </top>
      <bottom style="medium">
        <color indexed="64"/>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indexed="8"/>
      </left>
      <right style="medium">
        <color indexed="8"/>
      </right>
      <top style="medium">
        <color indexed="8"/>
      </top>
      <bottom/>
      <diagonal/>
    </border>
    <border>
      <left style="medium">
        <color auto="1"/>
      </left>
      <right style="medium">
        <color indexed="64"/>
      </right>
      <top style="medium">
        <color auto="1"/>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8"/>
      </left>
      <right style="medium">
        <color indexed="8"/>
      </right>
      <top style="medium">
        <color indexed="8"/>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medium">
        <color auto="1"/>
      </right>
      <top style="medium">
        <color auto="1"/>
      </top>
      <bottom style="thin">
        <color auto="1"/>
      </bottom>
      <diagonal/>
    </border>
    <border>
      <left style="thin">
        <color indexed="64"/>
      </left>
      <right style="thin">
        <color indexed="64"/>
      </right>
      <top style="thin">
        <color indexed="64"/>
      </top>
      <bottom/>
      <diagonal/>
    </border>
  </borders>
  <cellStyleXfs count="302">
    <xf numFmtId="0" fontId="0" fillId="0" borderId="0"/>
    <xf numFmtId="0" fontId="27" fillId="0" borderId="0"/>
    <xf numFmtId="0" fontId="44" fillId="0" borderId="0"/>
    <xf numFmtId="0" fontId="26" fillId="0" borderId="0"/>
    <xf numFmtId="0" fontId="51" fillId="0" borderId="0" applyNumberFormat="0" applyFill="0" applyBorder="0" applyAlignment="0" applyProtection="0">
      <alignment vertical="top"/>
      <protection locked="0"/>
    </xf>
    <xf numFmtId="0" fontId="25" fillId="0" borderId="0"/>
    <xf numFmtId="0" fontId="42" fillId="0" borderId="0"/>
    <xf numFmtId="0" fontId="24" fillId="0" borderId="0"/>
    <xf numFmtId="0" fontId="24" fillId="0" borderId="0"/>
    <xf numFmtId="0" fontId="24" fillId="0" borderId="0"/>
    <xf numFmtId="0" fontId="23" fillId="0" borderId="0"/>
    <xf numFmtId="0" fontId="22" fillId="0" borderId="0"/>
    <xf numFmtId="0" fontId="21" fillId="0" borderId="0"/>
    <xf numFmtId="0" fontId="21" fillId="0" borderId="0"/>
    <xf numFmtId="0" fontId="21"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42" fillId="0" borderId="0"/>
    <xf numFmtId="0" fontId="17" fillId="0" borderId="0"/>
    <xf numFmtId="0" fontId="17" fillId="0" borderId="0"/>
    <xf numFmtId="0" fontId="17" fillId="0" borderId="0"/>
    <xf numFmtId="0" fontId="17"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42"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2" fillId="0" borderId="0"/>
    <xf numFmtId="0" fontId="11" fillId="0" borderId="0"/>
    <xf numFmtId="0" fontId="11"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06" fillId="49" borderId="0" applyNumberFormat="0" applyBorder="0" applyAlignment="0" applyProtection="0"/>
  </cellStyleXfs>
  <cellXfs count="2520">
    <xf numFmtId="0" fontId="0" fillId="0" borderId="0" xfId="0"/>
    <xf numFmtId="0" fontId="28" fillId="0" borderId="0" xfId="0" applyFont="1"/>
    <xf numFmtId="0" fontId="28"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32" fillId="0" borderId="0" xfId="0" applyFont="1" applyAlignment="1">
      <alignment horizontal="center" vertical="center"/>
    </xf>
    <xf numFmtId="0" fontId="0" fillId="0" borderId="6" xfId="0" applyBorder="1"/>
    <xf numFmtId="0" fontId="0" fillId="0" borderId="0" xfId="0" applyAlignment="1">
      <alignment horizontal="center" vertical="center" wrapText="1"/>
    </xf>
    <xf numFmtId="0" fontId="36" fillId="0" borderId="0" xfId="0" applyFont="1"/>
    <xf numFmtId="0" fontId="0" fillId="0" borderId="0" xfId="0" applyAlignment="1">
      <alignment vertical="top"/>
    </xf>
    <xf numFmtId="0" fontId="0" fillId="2" borderId="0" xfId="0" applyFill="1"/>
    <xf numFmtId="0" fontId="33" fillId="3" borderId="16" xfId="0" applyFont="1" applyFill="1" applyBorder="1"/>
    <xf numFmtId="0" fontId="33" fillId="3" borderId="17" xfId="0" applyFont="1" applyFill="1" applyBorder="1"/>
    <xf numFmtId="0" fontId="33" fillId="3" borderId="18" xfId="0" applyFont="1" applyFill="1" applyBorder="1"/>
    <xf numFmtId="0" fontId="34" fillId="0" borderId="0" xfId="0" applyFont="1" applyAlignment="1">
      <alignment horizontal="left" vertical="center"/>
    </xf>
    <xf numFmtId="0" fontId="34" fillId="0" borderId="30" xfId="0" applyFont="1" applyBorder="1" applyAlignment="1">
      <alignment horizontal="left" vertical="center"/>
    </xf>
    <xf numFmtId="0" fontId="34" fillId="0" borderId="4" xfId="0" applyFont="1" applyBorder="1" applyAlignment="1">
      <alignment horizontal="left" vertical="center"/>
    </xf>
    <xf numFmtId="0" fontId="34" fillId="0" borderId="17" xfId="0" applyFont="1" applyBorder="1" applyAlignment="1">
      <alignment horizontal="left" vertical="center"/>
    </xf>
    <xf numFmtId="0" fontId="34" fillId="0" borderId="28" xfId="0" applyFont="1" applyBorder="1" applyAlignment="1">
      <alignment horizontal="left" vertical="center"/>
    </xf>
    <xf numFmtId="0" fontId="34" fillId="0" borderId="27" xfId="0" applyFont="1" applyBorder="1" applyAlignment="1">
      <alignment horizontal="left" vertical="center"/>
    </xf>
    <xf numFmtId="0" fontId="34" fillId="0" borderId="0" xfId="1" applyFont="1"/>
    <xf numFmtId="0" fontId="27" fillId="0" borderId="0" xfId="1"/>
    <xf numFmtId="0" fontId="43" fillId="4" borderId="2" xfId="1" applyFont="1" applyFill="1" applyBorder="1"/>
    <xf numFmtId="0" fontId="34" fillId="4" borderId="12" xfId="1" applyFont="1" applyFill="1" applyBorder="1" applyAlignment="1">
      <alignment horizontal="center" vertical="center"/>
    </xf>
    <xf numFmtId="0" fontId="34" fillId="4" borderId="3" xfId="1" applyFont="1" applyFill="1" applyBorder="1" applyAlignment="1">
      <alignment horizontal="center" vertical="center"/>
    </xf>
    <xf numFmtId="0" fontId="34" fillId="4" borderId="2" xfId="1" applyFont="1" applyFill="1" applyBorder="1"/>
    <xf numFmtId="0" fontId="27" fillId="4" borderId="12" xfId="1" applyFill="1" applyBorder="1" applyAlignment="1">
      <alignment horizontal="center" vertical="center"/>
    </xf>
    <xf numFmtId="0" fontId="27" fillId="4" borderId="3" xfId="1" applyFill="1" applyBorder="1" applyAlignment="1">
      <alignment horizontal="center" vertical="center"/>
    </xf>
    <xf numFmtId="0" fontId="27" fillId="0" borderId="0" xfId="1" applyAlignment="1">
      <alignment horizontal="center" vertical="center"/>
    </xf>
    <xf numFmtId="0" fontId="34" fillId="4" borderId="31" xfId="1" applyFont="1" applyFill="1" applyBorder="1"/>
    <xf numFmtId="0" fontId="27" fillId="4" borderId="0" xfId="1" applyFill="1" applyAlignment="1">
      <alignment horizontal="center" vertical="center"/>
    </xf>
    <xf numFmtId="0" fontId="27" fillId="4" borderId="20" xfId="1" applyFill="1" applyBorder="1" applyAlignment="1">
      <alignment horizontal="center" vertical="center"/>
    </xf>
    <xf numFmtId="0" fontId="34" fillId="4" borderId="32" xfId="1" applyFont="1" applyFill="1" applyBorder="1"/>
    <xf numFmtId="0" fontId="27" fillId="4" borderId="22" xfId="1" applyFill="1" applyBorder="1" applyAlignment="1">
      <alignment horizontal="center" vertical="center"/>
    </xf>
    <xf numFmtId="0" fontId="27" fillId="4" borderId="23" xfId="1" applyFill="1" applyBorder="1" applyAlignment="1">
      <alignment horizontal="center" vertical="center"/>
    </xf>
    <xf numFmtId="0" fontId="27" fillId="4" borderId="4" xfId="1" applyFill="1" applyBorder="1" applyAlignment="1">
      <alignment horizontal="center" vertical="center"/>
    </xf>
    <xf numFmtId="0" fontId="27" fillId="4" borderId="32" xfId="1" applyFill="1" applyBorder="1" applyAlignment="1">
      <alignment horizontal="center" vertical="center"/>
    </xf>
    <xf numFmtId="0" fontId="34" fillId="4" borderId="4" xfId="1" applyFont="1" applyFill="1" applyBorder="1"/>
    <xf numFmtId="0" fontId="27" fillId="4" borderId="27" xfId="1" applyFill="1" applyBorder="1" applyAlignment="1">
      <alignment horizontal="center" vertical="center"/>
    </xf>
    <xf numFmtId="11" fontId="27" fillId="4" borderId="22" xfId="1" applyNumberFormat="1" applyFill="1" applyBorder="1" applyAlignment="1">
      <alignment horizontal="center" vertical="center"/>
    </xf>
    <xf numFmtId="0" fontId="27" fillId="4" borderId="34" xfId="1" applyFill="1" applyBorder="1" applyAlignment="1">
      <alignment horizontal="center" vertical="center"/>
    </xf>
    <xf numFmtId="0" fontId="46" fillId="0" borderId="14" xfId="2" applyFont="1" applyBorder="1" applyAlignment="1">
      <alignment horizontal="left" vertical="center" wrapText="1"/>
    </xf>
    <xf numFmtId="0" fontId="46" fillId="0" borderId="14" xfId="2" applyFont="1" applyBorder="1" applyAlignment="1">
      <alignment horizontal="center" vertical="center" wrapText="1"/>
    </xf>
    <xf numFmtId="0" fontId="0" fillId="0" borderId="14" xfId="0" applyBorder="1" applyAlignment="1">
      <alignment horizontal="center" vertical="center" wrapText="1"/>
    </xf>
    <xf numFmtId="0" fontId="42" fillId="0" borderId="14" xfId="0" applyFont="1" applyBorder="1" applyAlignment="1">
      <alignment horizontal="center" vertical="center"/>
    </xf>
    <xf numFmtId="0" fontId="0" fillId="6" borderId="0" xfId="0" applyFill="1"/>
    <xf numFmtId="0" fontId="32" fillId="6" borderId="0" xfId="0" applyFont="1" applyFill="1" applyAlignment="1">
      <alignment horizontal="center" vertical="center" wrapText="1"/>
    </xf>
    <xf numFmtId="0" fontId="38" fillId="6" borderId="0" xfId="0" applyFont="1" applyFill="1" applyAlignment="1">
      <alignment horizontal="center" vertical="center" wrapText="1"/>
    </xf>
    <xf numFmtId="0" fontId="32" fillId="6" borderId="0" xfId="0" applyFont="1" applyFill="1" applyAlignment="1">
      <alignment horizontal="center" vertical="center"/>
    </xf>
    <xf numFmtId="0" fontId="31" fillId="6" borderId="0" xfId="0" applyFont="1" applyFill="1" applyAlignment="1">
      <alignment horizontal="center" vertical="center"/>
    </xf>
    <xf numFmtId="0" fontId="39" fillId="7" borderId="0" xfId="0" applyFont="1" applyFill="1"/>
    <xf numFmtId="0" fontId="0" fillId="7" borderId="0" xfId="0" applyFill="1"/>
    <xf numFmtId="0" fontId="28" fillId="7" borderId="1" xfId="0" applyFont="1" applyFill="1" applyBorder="1" applyAlignment="1">
      <alignment horizontal="center" vertical="center" wrapText="1"/>
    </xf>
    <xf numFmtId="0" fontId="28" fillId="7" borderId="4" xfId="0" applyFont="1" applyFill="1" applyBorder="1" applyAlignment="1">
      <alignment horizontal="center" vertical="center"/>
    </xf>
    <xf numFmtId="0" fontId="28" fillId="7" borderId="33" xfId="0" applyFont="1" applyFill="1" applyBorder="1" applyAlignment="1">
      <alignment horizontal="center" vertical="center" wrapText="1"/>
    </xf>
    <xf numFmtId="0" fontId="34" fillId="7" borderId="30" xfId="0" applyFont="1" applyFill="1" applyBorder="1" applyAlignment="1">
      <alignment horizontal="left" vertical="center"/>
    </xf>
    <xf numFmtId="0" fontId="34" fillId="7" borderId="4" xfId="0" applyFont="1" applyFill="1" applyBorder="1" applyAlignment="1">
      <alignment horizontal="left" vertical="center"/>
    </xf>
    <xf numFmtId="0" fontId="34" fillId="7" borderId="17" xfId="0" applyFont="1" applyFill="1" applyBorder="1" applyAlignment="1">
      <alignment horizontal="left" vertical="center"/>
    </xf>
    <xf numFmtId="0" fontId="34" fillId="7" borderId="28" xfId="0" applyFont="1" applyFill="1" applyBorder="1" applyAlignment="1">
      <alignment horizontal="left" vertical="center"/>
    </xf>
    <xf numFmtId="0" fontId="34" fillId="7" borderId="27" xfId="0" applyFont="1" applyFill="1" applyBorder="1" applyAlignment="1">
      <alignment horizontal="left" vertical="center"/>
    </xf>
    <xf numFmtId="0" fontId="34" fillId="7" borderId="24" xfId="0" applyFont="1" applyFill="1" applyBorder="1" applyAlignment="1">
      <alignment horizontal="left" vertical="center" wrapText="1"/>
    </xf>
    <xf numFmtId="0" fontId="34" fillId="7" borderId="0" xfId="0" applyFont="1" applyFill="1" applyAlignment="1">
      <alignment horizontal="left" vertical="center"/>
    </xf>
    <xf numFmtId="0" fontId="28" fillId="7" borderId="5" xfId="0" applyFont="1" applyFill="1" applyBorder="1" applyAlignment="1">
      <alignment vertical="top" wrapText="1"/>
    </xf>
    <xf numFmtId="0" fontId="34" fillId="7" borderId="25" xfId="0" applyFont="1" applyFill="1" applyBorder="1" applyAlignment="1">
      <alignment horizontal="left" vertical="center"/>
    </xf>
    <xf numFmtId="0" fontId="34" fillId="7" borderId="2" xfId="0" applyFont="1" applyFill="1" applyBorder="1" applyAlignment="1">
      <alignment horizontal="left" vertical="center"/>
    </xf>
    <xf numFmtId="0" fontId="34" fillId="7" borderId="3" xfId="0" applyFont="1" applyFill="1" applyBorder="1" applyAlignment="1">
      <alignment horizontal="left" vertical="center"/>
    </xf>
    <xf numFmtId="0" fontId="34" fillId="7" borderId="12" xfId="0" applyFont="1" applyFill="1" applyBorder="1" applyAlignment="1">
      <alignment horizontal="left" vertical="center"/>
    </xf>
    <xf numFmtId="0" fontId="34" fillId="7" borderId="15" xfId="0" applyFont="1" applyFill="1" applyBorder="1" applyAlignment="1">
      <alignment horizontal="left" vertical="center"/>
    </xf>
    <xf numFmtId="0" fontId="0" fillId="0" borderId="0" xfId="0" applyAlignment="1">
      <alignment horizontal="left"/>
    </xf>
    <xf numFmtId="0" fontId="28" fillId="7" borderId="27" xfId="0" applyFont="1" applyFill="1" applyBorder="1" applyAlignment="1">
      <alignment horizontal="center" vertical="center" wrapText="1"/>
    </xf>
    <xf numFmtId="0" fontId="28" fillId="0" borderId="0" xfId="0" applyFont="1" applyAlignment="1">
      <alignment horizontal="center" vertical="center"/>
    </xf>
    <xf numFmtId="0" fontId="0" fillId="6" borderId="0" xfId="0" applyFill="1" applyAlignment="1">
      <alignment horizontal="left"/>
    </xf>
    <xf numFmtId="0" fontId="48" fillId="0" borderId="6" xfId="0" applyFont="1" applyBorder="1"/>
    <xf numFmtId="0" fontId="48" fillId="0" borderId="6" xfId="0" applyFont="1" applyBorder="1" applyAlignment="1">
      <alignment wrapText="1"/>
    </xf>
    <xf numFmtId="0" fontId="49" fillId="6" borderId="0" xfId="0" applyFont="1" applyFill="1"/>
    <xf numFmtId="0" fontId="28" fillId="7" borderId="26" xfId="0" applyFont="1" applyFill="1" applyBorder="1" applyAlignment="1">
      <alignment horizontal="center" vertical="center" wrapText="1"/>
    </xf>
    <xf numFmtId="0" fontId="48" fillId="0" borderId="6" xfId="0" applyFont="1" applyBorder="1" applyAlignment="1">
      <alignment vertical="center"/>
    </xf>
    <xf numFmtId="0" fontId="34" fillId="0" borderId="0" xfId="3" applyFont="1" applyAlignment="1">
      <alignment horizontal="center" vertical="center" wrapText="1"/>
    </xf>
    <xf numFmtId="0" fontId="45" fillId="6" borderId="0" xfId="0" applyFont="1" applyFill="1"/>
    <xf numFmtId="0" fontId="45" fillId="0" borderId="0" xfId="0" applyFont="1"/>
    <xf numFmtId="0" fontId="48" fillId="0" borderId="6" xfId="0" applyFont="1" applyBorder="1" applyAlignment="1">
      <alignment horizontal="left" vertical="center"/>
    </xf>
    <xf numFmtId="11" fontId="48" fillId="0" borderId="14" xfId="0" applyNumberFormat="1" applyFont="1" applyBorder="1" applyAlignment="1">
      <alignment horizontal="center" vertical="center"/>
    </xf>
    <xf numFmtId="0" fontId="45" fillId="0" borderId="6" xfId="0" applyFont="1" applyBorder="1"/>
    <xf numFmtId="0" fontId="45" fillId="0" borderId="8" xfId="0" applyFont="1" applyBorder="1"/>
    <xf numFmtId="0" fontId="45" fillId="0" borderId="11" xfId="0" applyFont="1" applyBorder="1"/>
    <xf numFmtId="0" fontId="48" fillId="0" borderId="14" xfId="0" applyFont="1" applyBorder="1" applyAlignment="1">
      <alignment horizontal="center" vertical="center"/>
    </xf>
    <xf numFmtId="0" fontId="45" fillId="0" borderId="39" xfId="0" applyFont="1" applyBorder="1"/>
    <xf numFmtId="0" fontId="48" fillId="0" borderId="14" xfId="0" applyFont="1" applyBorder="1" applyAlignment="1">
      <alignment horizontal="left" vertical="center"/>
    </xf>
    <xf numFmtId="0" fontId="48" fillId="0" borderId="39" xfId="0" applyFont="1" applyBorder="1" applyAlignment="1">
      <alignment horizontal="center" vertical="center"/>
    </xf>
    <xf numFmtId="0" fontId="47" fillId="0" borderId="7" xfId="0" applyFont="1" applyBorder="1" applyAlignment="1">
      <alignment horizontal="center" vertical="center"/>
    </xf>
    <xf numFmtId="0" fontId="48" fillId="0" borderId="6" xfId="0" applyFont="1" applyBorder="1" applyAlignment="1">
      <alignment horizontal="center" vertical="center"/>
    </xf>
    <xf numFmtId="0" fontId="48" fillId="0" borderId="8" xfId="0" applyFont="1" applyBorder="1" applyAlignment="1">
      <alignment horizontal="center" vertical="center"/>
    </xf>
    <xf numFmtId="0" fontId="47" fillId="0" borderId="7" xfId="0" applyFont="1" applyBorder="1" applyAlignment="1">
      <alignment horizontal="center" vertical="center" wrapText="1"/>
    </xf>
    <xf numFmtId="0" fontId="47" fillId="0" borderId="9" xfId="0" applyFont="1" applyBorder="1" applyAlignment="1">
      <alignment horizontal="center" vertical="center" wrapText="1"/>
    </xf>
    <xf numFmtId="0" fontId="45" fillId="0" borderId="10" xfId="0" applyFont="1" applyBorder="1"/>
    <xf numFmtId="0" fontId="48" fillId="0" borderId="10" xfId="0" applyFont="1" applyBorder="1" applyAlignment="1">
      <alignment horizontal="center" vertical="center"/>
    </xf>
    <xf numFmtId="0" fontId="45" fillId="0" borderId="6" xfId="0" applyFont="1" applyBorder="1" applyAlignment="1">
      <alignment horizontal="center"/>
    </xf>
    <xf numFmtId="0" fontId="45" fillId="0" borderId="10" xfId="0" applyFont="1" applyBorder="1" applyAlignment="1">
      <alignment horizontal="center"/>
    </xf>
    <xf numFmtId="0" fontId="28" fillId="6" borderId="0" xfId="0" applyFont="1" applyFill="1" applyAlignment="1">
      <alignment horizontal="center" vertical="center" wrapText="1"/>
    </xf>
    <xf numFmtId="0" fontId="55" fillId="6" borderId="0" xfId="0" applyFont="1" applyFill="1" applyAlignment="1">
      <alignment horizontal="center" vertical="center" wrapText="1"/>
    </xf>
    <xf numFmtId="0" fontId="52" fillId="6" borderId="0" xfId="0" applyFont="1" applyFill="1" applyAlignment="1">
      <alignment horizontal="center" vertical="center"/>
    </xf>
    <xf numFmtId="0" fontId="55" fillId="0" borderId="0" xfId="0" applyFont="1" applyAlignment="1">
      <alignment horizontal="center" vertical="center"/>
    </xf>
    <xf numFmtId="0" fontId="52" fillId="0" borderId="0" xfId="0" applyFont="1" applyAlignment="1">
      <alignment horizontal="center" vertical="center"/>
    </xf>
    <xf numFmtId="0" fontId="52" fillId="0" borderId="0" xfId="0" applyFont="1" applyAlignment="1">
      <alignment horizontal="left" vertical="center" wrapText="1"/>
    </xf>
    <xf numFmtId="0" fontId="52" fillId="0" borderId="0" xfId="0" applyFont="1" applyAlignment="1">
      <alignment horizontal="center" vertical="center" wrapText="1"/>
    </xf>
    <xf numFmtId="0" fontId="52" fillId="9" borderId="6" xfId="0" applyFont="1" applyFill="1" applyBorder="1" applyAlignment="1">
      <alignment horizontal="center" vertical="center" wrapText="1"/>
    </xf>
    <xf numFmtId="0" fontId="52" fillId="9" borderId="6" xfId="0" applyFont="1" applyFill="1" applyBorder="1" applyAlignment="1">
      <alignment horizontal="left" vertical="center" wrapText="1"/>
    </xf>
    <xf numFmtId="164" fontId="52" fillId="9" borderId="6" xfId="0" applyNumberFormat="1" applyFont="1" applyFill="1" applyBorder="1" applyAlignment="1">
      <alignment horizontal="center" vertical="center" wrapText="1"/>
    </xf>
    <xf numFmtId="166" fontId="52" fillId="9" borderId="6" xfId="0" applyNumberFormat="1" applyFont="1" applyFill="1" applyBorder="1" applyAlignment="1">
      <alignment horizontal="center" vertical="center" wrapText="1"/>
    </xf>
    <xf numFmtId="2" fontId="52" fillId="9" borderId="6" xfId="0" applyNumberFormat="1" applyFont="1" applyFill="1" applyBorder="1" applyAlignment="1">
      <alignment horizontal="center" vertical="center" wrapText="1"/>
    </xf>
    <xf numFmtId="0" fontId="52" fillId="9" borderId="6" xfId="0" quotePrefix="1" applyFont="1" applyFill="1" applyBorder="1" applyAlignment="1">
      <alignment horizontal="center" vertical="center" wrapText="1"/>
    </xf>
    <xf numFmtId="165" fontId="52" fillId="9" borderId="6" xfId="0" applyNumberFormat="1" applyFont="1" applyFill="1" applyBorder="1" applyAlignment="1">
      <alignment horizontal="center" vertical="center" wrapText="1"/>
    </xf>
    <xf numFmtId="0" fontId="52" fillId="0" borderId="0" xfId="0" applyFont="1" applyAlignment="1">
      <alignment horizontal="left" vertical="center"/>
    </xf>
    <xf numFmtId="0" fontId="55" fillId="7" borderId="48" xfId="0" applyFont="1" applyFill="1" applyBorder="1" applyAlignment="1">
      <alignment horizontal="center" vertical="center" wrapText="1"/>
    </xf>
    <xf numFmtId="0" fontId="45" fillId="0" borderId="0" xfId="0" applyFont="1" applyAlignment="1">
      <alignment horizontal="center" vertical="center"/>
    </xf>
    <xf numFmtId="0" fontId="52" fillId="0" borderId="0" xfId="0" applyFont="1"/>
    <xf numFmtId="0" fontId="55" fillId="7" borderId="45" xfId="0" applyFont="1" applyFill="1" applyBorder="1" applyAlignment="1">
      <alignment horizontal="center" vertical="center" wrapText="1"/>
    </xf>
    <xf numFmtId="0" fontId="0" fillId="6" borderId="0" xfId="0" applyFill="1" applyAlignment="1">
      <alignment horizontal="left" vertical="center"/>
    </xf>
    <xf numFmtId="0" fontId="56" fillId="7" borderId="51" xfId="0" applyFont="1" applyFill="1" applyBorder="1" applyAlignment="1">
      <alignment horizontal="center" vertical="center" wrapText="1"/>
    </xf>
    <xf numFmtId="0" fontId="28" fillId="0" borderId="0" xfId="0" applyFont="1" applyAlignment="1">
      <alignment vertical="top" wrapText="1"/>
    </xf>
    <xf numFmtId="0" fontId="56" fillId="7" borderId="51" xfId="0" applyFont="1" applyFill="1" applyBorder="1" applyAlignment="1">
      <alignment horizontal="center" vertical="center"/>
    </xf>
    <xf numFmtId="0" fontId="42" fillId="0" borderId="0" xfId="22"/>
    <xf numFmtId="0" fontId="45" fillId="0" borderId="0" xfId="0" applyFont="1" applyAlignment="1">
      <alignment horizontal="center" vertical="center" wrapText="1"/>
    </xf>
    <xf numFmtId="0" fontId="47" fillId="7" borderId="30" xfId="0" applyFont="1" applyFill="1" applyBorder="1" applyAlignment="1">
      <alignment horizontal="center" vertical="center" wrapText="1"/>
    </xf>
    <xf numFmtId="0" fontId="48" fillId="11" borderId="6" xfId="0" applyFont="1" applyFill="1" applyBorder="1" applyAlignment="1">
      <alignment horizontal="center" vertical="center" wrapText="1"/>
    </xf>
    <xf numFmtId="0" fontId="48" fillId="0" borderId="0" xfId="0" applyFont="1" applyAlignment="1">
      <alignment horizontal="left" vertical="center"/>
    </xf>
    <xf numFmtId="164" fontId="48" fillId="0" borderId="0" xfId="0" applyNumberFormat="1" applyFont="1" applyAlignment="1">
      <alignment horizontal="center" vertical="center" wrapText="1"/>
    </xf>
    <xf numFmtId="0" fontId="48" fillId="0" borderId="0" xfId="0" applyFont="1" applyAlignment="1">
      <alignment horizontal="center" vertical="center" wrapText="1"/>
    </xf>
    <xf numFmtId="0" fontId="52" fillId="6" borderId="0" xfId="0" applyFont="1" applyFill="1" applyAlignment="1">
      <alignment horizontal="left" vertical="center"/>
    </xf>
    <xf numFmtId="0" fontId="55" fillId="7" borderId="33" xfId="0" applyFont="1" applyFill="1" applyBorder="1" applyAlignment="1">
      <alignment horizontal="left" vertical="center" wrapText="1"/>
    </xf>
    <xf numFmtId="0" fontId="48" fillId="0" borderId="0" xfId="0" applyFont="1" applyAlignment="1">
      <alignment horizontal="left" vertical="center" wrapText="1"/>
    </xf>
    <xf numFmtId="0" fontId="56" fillId="7" borderId="51" xfId="0" applyFont="1" applyFill="1" applyBorder="1" applyAlignment="1">
      <alignment horizontal="left" vertical="center" wrapText="1"/>
    </xf>
    <xf numFmtId="0" fontId="52" fillId="8" borderId="7" xfId="0" applyFont="1" applyFill="1" applyBorder="1" applyAlignment="1">
      <alignment horizontal="left" vertical="center"/>
    </xf>
    <xf numFmtId="0" fontId="52" fillId="12" borderId="7" xfId="0" applyFont="1" applyFill="1" applyBorder="1" applyAlignment="1">
      <alignment horizontal="left" vertical="center"/>
    </xf>
    <xf numFmtId="0" fontId="0" fillId="6" borderId="0" xfId="0" applyFill="1" applyAlignment="1">
      <alignment horizontal="center"/>
    </xf>
    <xf numFmtId="0" fontId="52" fillId="0" borderId="0" xfId="0" applyFont="1" applyAlignment="1">
      <alignment horizontal="center"/>
    </xf>
    <xf numFmtId="0" fontId="0" fillId="0" borderId="0" xfId="0" applyAlignment="1">
      <alignment horizontal="center"/>
    </xf>
    <xf numFmtId="0" fontId="47" fillId="0" borderId="38" xfId="0" applyFont="1" applyBorder="1" applyAlignment="1">
      <alignment horizontal="center" vertical="center"/>
    </xf>
    <xf numFmtId="0" fontId="21" fillId="0" borderId="0" xfId="12"/>
    <xf numFmtId="0" fontId="48" fillId="0" borderId="0" xfId="0" applyFont="1" applyAlignment="1">
      <alignment horizontal="left"/>
    </xf>
    <xf numFmtId="0" fontId="48" fillId="0" borderId="0" xfId="0" applyFont="1" applyAlignment="1">
      <alignment horizontal="center"/>
    </xf>
    <xf numFmtId="0" fontId="48" fillId="0" borderId="0" xfId="0" quotePrefix="1" applyFont="1" applyAlignment="1">
      <alignment horizontal="center"/>
    </xf>
    <xf numFmtId="11" fontId="48" fillId="0" borderId="0" xfId="0" applyNumberFormat="1" applyFont="1" applyAlignment="1">
      <alignment horizontal="center"/>
    </xf>
    <xf numFmtId="0" fontId="45" fillId="0" borderId="0" xfId="22" applyFont="1"/>
    <xf numFmtId="0" fontId="42" fillId="0" borderId="0" xfId="6"/>
    <xf numFmtId="0" fontId="52" fillId="8" borderId="10" xfId="0" applyFont="1" applyFill="1" applyBorder="1" applyAlignment="1">
      <alignment horizontal="left" vertical="center" wrapText="1"/>
    </xf>
    <xf numFmtId="0" fontId="52" fillId="8" borderId="10" xfId="0" applyFont="1" applyFill="1" applyBorder="1" applyAlignment="1">
      <alignment horizontal="center" vertical="center" wrapText="1"/>
    </xf>
    <xf numFmtId="0" fontId="48" fillId="8" borderId="7" xfId="0" applyFont="1" applyFill="1" applyBorder="1" applyAlignment="1">
      <alignment horizontal="left" vertical="center"/>
    </xf>
    <xf numFmtId="0" fontId="48" fillId="8" borderId="6" xfId="0" applyFont="1" applyFill="1" applyBorder="1" applyAlignment="1">
      <alignment horizontal="center" vertical="center" wrapText="1"/>
    </xf>
    <xf numFmtId="2" fontId="48" fillId="8" borderId="6" xfId="0" applyNumberFormat="1" applyFont="1" applyFill="1" applyBorder="1" applyAlignment="1">
      <alignment horizontal="center" vertical="center" wrapText="1"/>
    </xf>
    <xf numFmtId="0" fontId="48" fillId="10" borderId="7" xfId="0" applyFont="1" applyFill="1" applyBorder="1" applyAlignment="1">
      <alignment horizontal="left" vertical="center"/>
    </xf>
    <xf numFmtId="0" fontId="48" fillId="10" borderId="6" xfId="0" applyFont="1" applyFill="1" applyBorder="1" applyAlignment="1">
      <alignment horizontal="center" vertical="center" wrapText="1"/>
    </xf>
    <xf numFmtId="0" fontId="48" fillId="12" borderId="7" xfId="0" applyFont="1" applyFill="1" applyBorder="1" applyAlignment="1">
      <alignment horizontal="left" vertical="center"/>
    </xf>
    <xf numFmtId="0" fontId="48" fillId="12" borderId="6" xfId="0" applyFont="1" applyFill="1" applyBorder="1" applyAlignment="1">
      <alignment horizontal="left" vertical="center"/>
    </xf>
    <xf numFmtId="0" fontId="48" fillId="12" borderId="6" xfId="0" applyFont="1" applyFill="1" applyBorder="1" applyAlignment="1">
      <alignment horizontal="center" vertical="center"/>
    </xf>
    <xf numFmtId="0" fontId="48" fillId="12" borderId="10" xfId="0" applyFont="1" applyFill="1" applyBorder="1" applyAlignment="1">
      <alignment horizontal="left" vertical="center"/>
    </xf>
    <xf numFmtId="0" fontId="48" fillId="12" borderId="10" xfId="0" applyFont="1" applyFill="1" applyBorder="1" applyAlignment="1">
      <alignment horizontal="center" vertical="center"/>
    </xf>
    <xf numFmtId="0" fontId="43" fillId="0" borderId="0" xfId="0" applyFont="1" applyAlignment="1">
      <alignment horizontal="center" vertical="center"/>
    </xf>
    <xf numFmtId="0" fontId="48" fillId="15" borderId="6" xfId="0" applyFont="1" applyFill="1" applyBorder="1" applyAlignment="1">
      <alignment horizontal="center" vertical="center" wrapText="1"/>
    </xf>
    <xf numFmtId="0" fontId="48" fillId="12" borderId="8" xfId="0" applyFont="1" applyFill="1" applyBorder="1" applyAlignment="1">
      <alignment horizontal="left" vertical="center"/>
    </xf>
    <xf numFmtId="0" fontId="48" fillId="12" borderId="11" xfId="0" applyFont="1" applyFill="1" applyBorder="1" applyAlignment="1">
      <alignment horizontal="left" vertical="center"/>
    </xf>
    <xf numFmtId="0" fontId="55" fillId="0" borderId="0" xfId="0" applyFont="1"/>
    <xf numFmtId="0" fontId="52" fillId="10" borderId="6" xfId="0" applyFont="1" applyFill="1" applyBorder="1" applyAlignment="1">
      <alignment horizontal="left" vertical="center" wrapText="1"/>
    </xf>
    <xf numFmtId="0" fontId="52" fillId="10" borderId="6" xfId="0" applyFont="1" applyFill="1" applyBorder="1" applyAlignment="1">
      <alignment horizontal="center" vertical="center" wrapText="1"/>
    </xf>
    <xf numFmtId="0" fontId="48" fillId="12" borderId="67" xfId="0" applyFont="1" applyFill="1" applyBorder="1" applyAlignment="1">
      <alignment horizontal="center" vertical="center"/>
    </xf>
    <xf numFmtId="0" fontId="48" fillId="15" borderId="67" xfId="0" applyFont="1" applyFill="1" applyBorder="1" applyAlignment="1">
      <alignment horizontal="center" vertical="center" wrapText="1"/>
    </xf>
    <xf numFmtId="0" fontId="48" fillId="15" borderId="6" xfId="0" applyFont="1" applyFill="1" applyBorder="1" applyAlignment="1">
      <alignment horizontal="center" vertical="center"/>
    </xf>
    <xf numFmtId="0" fontId="48" fillId="15" borderId="10" xfId="0" applyFont="1" applyFill="1" applyBorder="1" applyAlignment="1">
      <alignment horizontal="center" vertical="center"/>
    </xf>
    <xf numFmtId="0" fontId="52" fillId="16" borderId="6" xfId="0" applyFont="1" applyFill="1" applyBorder="1" applyAlignment="1">
      <alignment horizontal="left" vertical="center" wrapText="1"/>
    </xf>
    <xf numFmtId="166" fontId="52" fillId="8" borderId="6" xfId="0" applyNumberFormat="1" applyFont="1" applyFill="1" applyBorder="1" applyAlignment="1">
      <alignment horizontal="center" vertical="center" wrapText="1"/>
    </xf>
    <xf numFmtId="0" fontId="52" fillId="8" borderId="6" xfId="0" quotePrefix="1" applyFont="1" applyFill="1" applyBorder="1" applyAlignment="1">
      <alignment horizontal="center" vertical="center" wrapText="1"/>
    </xf>
    <xf numFmtId="0" fontId="52" fillId="8" borderId="6" xfId="0" applyFont="1" applyFill="1" applyBorder="1" applyAlignment="1">
      <alignment horizontal="left" vertical="center" wrapText="1"/>
    </xf>
    <xf numFmtId="0" fontId="52" fillId="9" borderId="7" xfId="0" applyFont="1" applyFill="1" applyBorder="1" applyAlignment="1">
      <alignment horizontal="left" vertical="center"/>
    </xf>
    <xf numFmtId="166" fontId="52" fillId="9" borderId="6" xfId="0" applyNumberFormat="1" applyFont="1" applyFill="1" applyBorder="1" applyAlignment="1">
      <alignment horizontal="center" vertical="center"/>
    </xf>
    <xf numFmtId="0" fontId="52" fillId="16" borderId="7" xfId="0" applyFont="1" applyFill="1" applyBorder="1" applyAlignment="1">
      <alignment horizontal="left" vertical="center"/>
    </xf>
    <xf numFmtId="166" fontId="52" fillId="16" borderId="6" xfId="0" applyNumberFormat="1" applyFont="1" applyFill="1" applyBorder="1" applyAlignment="1">
      <alignment horizontal="center" vertical="center" wrapText="1"/>
    </xf>
    <xf numFmtId="0" fontId="52" fillId="16" borderId="6" xfId="0" quotePrefix="1" applyFont="1" applyFill="1" applyBorder="1" applyAlignment="1">
      <alignment horizontal="center" vertical="center" wrapText="1"/>
    </xf>
    <xf numFmtId="166" fontId="52" fillId="10" borderId="6" xfId="0" applyNumberFormat="1" applyFont="1" applyFill="1" applyBorder="1" applyAlignment="1">
      <alignment horizontal="center" vertical="center" wrapText="1"/>
    </xf>
    <xf numFmtId="0" fontId="52" fillId="10" borderId="6" xfId="0" quotePrefix="1" applyFont="1" applyFill="1" applyBorder="1" applyAlignment="1">
      <alignment horizontal="center" vertical="center" wrapText="1"/>
    </xf>
    <xf numFmtId="0" fontId="52" fillId="19" borderId="6" xfId="0" applyFont="1" applyFill="1" applyBorder="1" applyAlignment="1">
      <alignment horizontal="left" vertical="center" wrapText="1"/>
    </xf>
    <xf numFmtId="166" fontId="52" fillId="19" borderId="6" xfId="0" applyNumberFormat="1" applyFont="1" applyFill="1" applyBorder="1" applyAlignment="1">
      <alignment horizontal="center" vertical="center" wrapText="1"/>
    </xf>
    <xf numFmtId="0" fontId="52" fillId="19" borderId="6" xfId="0" quotePrefix="1" applyFont="1" applyFill="1" applyBorder="1" applyAlignment="1">
      <alignment horizontal="center" vertical="center" wrapText="1"/>
    </xf>
    <xf numFmtId="0" fontId="52" fillId="8" borderId="67" xfId="0" applyFont="1" applyFill="1" applyBorder="1" applyAlignment="1">
      <alignment horizontal="left" vertical="center" wrapText="1"/>
    </xf>
    <xf numFmtId="166" fontId="52" fillId="8" borderId="67" xfId="0" applyNumberFormat="1" applyFont="1" applyFill="1" applyBorder="1" applyAlignment="1">
      <alignment horizontal="center" vertical="center" wrapText="1"/>
    </xf>
    <xf numFmtId="0" fontId="52" fillId="8" borderId="67" xfId="0" quotePrefix="1" applyFont="1" applyFill="1" applyBorder="1" applyAlignment="1">
      <alignment horizontal="center" vertical="center" wrapText="1"/>
    </xf>
    <xf numFmtId="0" fontId="48" fillId="5" borderId="6" xfId="0" applyFont="1" applyFill="1" applyBorder="1" applyAlignment="1">
      <alignment horizontal="center" vertical="center"/>
    </xf>
    <xf numFmtId="0" fontId="45" fillId="5" borderId="6" xfId="0" applyFont="1" applyFill="1" applyBorder="1" applyAlignment="1">
      <alignment horizontal="center" vertical="center"/>
    </xf>
    <xf numFmtId="0" fontId="48" fillId="15" borderId="68" xfId="0" applyFont="1" applyFill="1" applyBorder="1" applyAlignment="1">
      <alignment horizontal="left" vertical="center"/>
    </xf>
    <xf numFmtId="0" fontId="48" fillId="15" borderId="8" xfId="0" applyFont="1" applyFill="1" applyBorder="1" applyAlignment="1">
      <alignment horizontal="left" vertical="center"/>
    </xf>
    <xf numFmtId="0" fontId="52" fillId="15" borderId="6" xfId="0" applyFont="1" applyFill="1" applyBorder="1" applyAlignment="1">
      <alignment horizontal="center" vertical="center" wrapText="1"/>
    </xf>
    <xf numFmtId="0" fontId="52" fillId="15" borderId="8" xfId="0" applyFont="1" applyFill="1" applyBorder="1" applyAlignment="1">
      <alignment horizontal="left" vertical="center" wrapText="1"/>
    </xf>
    <xf numFmtId="0" fontId="52" fillId="15" borderId="10" xfId="0" applyFont="1" applyFill="1" applyBorder="1" applyAlignment="1">
      <alignment horizontal="left" vertical="center" wrapText="1"/>
    </xf>
    <xf numFmtId="0" fontId="52" fillId="15" borderId="10" xfId="0" applyFont="1" applyFill="1" applyBorder="1" applyAlignment="1">
      <alignment horizontal="center" vertical="center" wrapText="1"/>
    </xf>
    <xf numFmtId="0" fontId="52" fillId="15" borderId="11" xfId="0" applyFont="1" applyFill="1" applyBorder="1" applyAlignment="1">
      <alignment horizontal="left" vertical="center" wrapText="1"/>
    </xf>
    <xf numFmtId="0" fontId="48" fillId="12" borderId="6" xfId="0" applyFont="1" applyFill="1" applyBorder="1" applyAlignment="1">
      <alignment horizontal="center" vertical="center" wrapText="1"/>
    </xf>
    <xf numFmtId="0" fontId="52" fillId="9" borderId="6" xfId="0" applyFont="1" applyFill="1" applyBorder="1" applyAlignment="1">
      <alignment horizontal="left" vertical="center"/>
    </xf>
    <xf numFmtId="0" fontId="52" fillId="16" borderId="6" xfId="0" applyFont="1" applyFill="1" applyBorder="1" applyAlignment="1">
      <alignment horizontal="left" vertical="center"/>
    </xf>
    <xf numFmtId="0" fontId="45" fillId="20" borderId="6" xfId="0" applyFont="1" applyFill="1" applyBorder="1" applyAlignment="1">
      <alignment horizontal="center" vertical="center"/>
    </xf>
    <xf numFmtId="0" fontId="45" fillId="20" borderId="6" xfId="0" applyFont="1" applyFill="1" applyBorder="1" applyAlignment="1">
      <alignment horizontal="center" vertical="center" wrapText="1"/>
    </xf>
    <xf numFmtId="0" fontId="45" fillId="20" borderId="6" xfId="0" applyFont="1" applyFill="1" applyBorder="1"/>
    <xf numFmtId="0" fontId="0" fillId="20" borderId="6" xfId="0" applyFill="1" applyBorder="1"/>
    <xf numFmtId="0" fontId="45" fillId="20" borderId="14" xfId="0" applyFont="1" applyFill="1" applyBorder="1" applyAlignment="1">
      <alignment horizontal="center" vertical="center"/>
    </xf>
    <xf numFmtId="0" fontId="45" fillId="20" borderId="14" xfId="0" applyFont="1" applyFill="1" applyBorder="1" applyAlignment="1">
      <alignment horizontal="center" vertical="center" wrapText="1"/>
    </xf>
    <xf numFmtId="0" fontId="45" fillId="20" borderId="14" xfId="0" applyFont="1" applyFill="1" applyBorder="1"/>
    <xf numFmtId="0" fontId="45" fillId="20" borderId="38" xfId="0" applyFont="1" applyFill="1" applyBorder="1" applyAlignment="1">
      <alignment horizontal="center" vertical="center"/>
    </xf>
    <xf numFmtId="0" fontId="45" fillId="20" borderId="39" xfId="0" applyFont="1" applyFill="1" applyBorder="1"/>
    <xf numFmtId="0" fontId="45" fillId="20" borderId="9" xfId="0" applyFont="1" applyFill="1" applyBorder="1" applyAlignment="1">
      <alignment horizontal="center" vertical="center"/>
    </xf>
    <xf numFmtId="0" fontId="45" fillId="20" borderId="10" xfId="0" applyFont="1" applyFill="1" applyBorder="1" applyAlignment="1">
      <alignment horizontal="center" vertical="center" wrapText="1"/>
    </xf>
    <xf numFmtId="0" fontId="45" fillId="20" borderId="10" xfId="0" applyFont="1" applyFill="1" applyBorder="1"/>
    <xf numFmtId="0" fontId="45" fillId="20" borderId="11" xfId="0" applyFont="1" applyFill="1" applyBorder="1"/>
    <xf numFmtId="0" fontId="48" fillId="20" borderId="9" xfId="0" applyFont="1" applyFill="1" applyBorder="1" applyAlignment="1">
      <alignment horizontal="left" vertical="center" wrapText="1"/>
    </xf>
    <xf numFmtId="0" fontId="48" fillId="20" borderId="66" xfId="0" applyFont="1" applyFill="1" applyBorder="1" applyAlignment="1">
      <alignment horizontal="left" vertical="center" wrapText="1"/>
    </xf>
    <xf numFmtId="0" fontId="47" fillId="5" borderId="7" xfId="0" applyFont="1" applyFill="1" applyBorder="1" applyAlignment="1">
      <alignment horizontal="center" vertical="center"/>
    </xf>
    <xf numFmtId="0" fontId="47" fillId="5" borderId="9" xfId="0" applyFont="1" applyFill="1" applyBorder="1" applyAlignment="1">
      <alignment horizontal="center" vertical="center"/>
    </xf>
    <xf numFmtId="0" fontId="48" fillId="5" borderId="10" xfId="0" applyFont="1" applyFill="1" applyBorder="1" applyAlignment="1">
      <alignment horizontal="center" vertical="center"/>
    </xf>
    <xf numFmtId="0" fontId="45" fillId="5" borderId="10" xfId="0" applyFont="1" applyFill="1" applyBorder="1" applyAlignment="1">
      <alignment horizontal="center" vertical="center"/>
    </xf>
    <xf numFmtId="0" fontId="56" fillId="7" borderId="54" xfId="0" applyFont="1" applyFill="1" applyBorder="1" applyAlignment="1">
      <alignment horizontal="left" vertical="center"/>
    </xf>
    <xf numFmtId="0" fontId="56" fillId="7" borderId="58" xfId="0" applyFont="1" applyFill="1" applyBorder="1" applyAlignment="1">
      <alignment horizontal="left" vertical="center" wrapText="1"/>
    </xf>
    <xf numFmtId="0" fontId="56" fillId="7" borderId="55" xfId="0" applyFont="1" applyFill="1" applyBorder="1" applyAlignment="1">
      <alignment horizontal="left" vertical="center" wrapText="1"/>
    </xf>
    <xf numFmtId="0" fontId="56" fillId="7" borderId="71" xfId="0" applyFont="1" applyFill="1" applyBorder="1" applyAlignment="1">
      <alignment horizontal="left" vertical="center" wrapText="1"/>
    </xf>
    <xf numFmtId="0" fontId="56" fillId="7" borderId="55" xfId="0" applyFont="1" applyFill="1" applyBorder="1" applyAlignment="1">
      <alignment horizontal="center" vertical="center" wrapText="1"/>
    </xf>
    <xf numFmtId="0" fontId="56" fillId="7" borderId="64" xfId="0" applyFont="1" applyFill="1" applyBorder="1" applyAlignment="1">
      <alignment horizontal="center" vertical="center" wrapText="1"/>
    </xf>
    <xf numFmtId="0" fontId="56" fillId="7" borderId="56" xfId="0" applyFont="1" applyFill="1" applyBorder="1" applyAlignment="1">
      <alignment horizontal="left" vertical="center"/>
    </xf>
    <xf numFmtId="164" fontId="52" fillId="18" borderId="6" xfId="0" applyNumberFormat="1" applyFont="1" applyFill="1" applyBorder="1" applyAlignment="1">
      <alignment horizontal="center" vertical="center"/>
    </xf>
    <xf numFmtId="0" fontId="52" fillId="18" borderId="14" xfId="0" applyFont="1" applyFill="1" applyBorder="1" applyAlignment="1">
      <alignment horizontal="center" vertical="center"/>
    </xf>
    <xf numFmtId="0" fontId="52" fillId="18" borderId="6" xfId="0" applyFont="1" applyFill="1" applyBorder="1" applyAlignment="1">
      <alignment horizontal="center" vertical="center"/>
    </xf>
    <xf numFmtId="0" fontId="48" fillId="18" borderId="10" xfId="0" applyFont="1" applyFill="1" applyBorder="1" applyAlignment="1">
      <alignment horizontal="left" vertical="center"/>
    </xf>
    <xf numFmtId="0" fontId="48" fillId="18" borderId="10" xfId="0" applyFont="1" applyFill="1" applyBorder="1" applyAlignment="1">
      <alignment horizontal="center" vertical="center"/>
    </xf>
    <xf numFmtId="0" fontId="28" fillId="7" borderId="79" xfId="0" applyFont="1" applyFill="1" applyBorder="1" applyAlignment="1">
      <alignment horizontal="left" vertical="center" wrapText="1"/>
    </xf>
    <xf numFmtId="0" fontId="48" fillId="5" borderId="6" xfId="0" quotePrefix="1" applyFont="1" applyFill="1" applyBorder="1" applyAlignment="1">
      <alignment horizontal="center" vertical="center"/>
    </xf>
    <xf numFmtId="0" fontId="47" fillId="5" borderId="80" xfId="0" applyFont="1" applyFill="1" applyBorder="1" applyAlignment="1">
      <alignment horizontal="center" vertical="center"/>
    </xf>
    <xf numFmtId="0" fontId="48" fillId="5" borderId="81" xfId="0" applyFont="1" applyFill="1" applyBorder="1" applyAlignment="1">
      <alignment horizontal="center" vertical="center"/>
    </xf>
    <xf numFmtId="0" fontId="48" fillId="5" borderId="81" xfId="0" quotePrefix="1" applyFont="1" applyFill="1" applyBorder="1" applyAlignment="1">
      <alignment horizontal="center" vertical="center"/>
    </xf>
    <xf numFmtId="0" fontId="45" fillId="5" borderId="81" xfId="0" applyFont="1" applyFill="1" applyBorder="1" applyAlignment="1">
      <alignment horizontal="center" vertical="center"/>
    </xf>
    <xf numFmtId="0" fontId="48" fillId="5" borderId="8" xfId="0" applyFont="1" applyFill="1" applyBorder="1" applyAlignment="1">
      <alignment horizontal="center" vertical="center"/>
    </xf>
    <xf numFmtId="0" fontId="48" fillId="5" borderId="11" xfId="0" applyFont="1" applyFill="1" applyBorder="1" applyAlignment="1">
      <alignment horizontal="center" vertical="center"/>
    </xf>
    <xf numFmtId="0" fontId="48" fillId="20" borderId="80" xfId="0" applyFont="1" applyFill="1" applyBorder="1" applyAlignment="1">
      <alignment horizontal="left" vertical="center" wrapText="1"/>
    </xf>
    <xf numFmtId="0" fontId="47" fillId="17" borderId="0" xfId="0" applyFont="1" applyFill="1" applyAlignment="1">
      <alignment horizontal="center" vertical="center"/>
    </xf>
    <xf numFmtId="0" fontId="56" fillId="17" borderId="0" xfId="0" applyFont="1" applyFill="1" applyAlignment="1">
      <alignment horizontal="center" vertical="center"/>
    </xf>
    <xf numFmtId="0" fontId="63" fillId="7" borderId="50" xfId="0" applyFont="1" applyFill="1" applyBorder="1" applyAlignment="1">
      <alignment horizontal="center" vertical="center" wrapText="1"/>
    </xf>
    <xf numFmtId="0" fontId="63" fillId="7" borderId="51" xfId="0" applyFont="1" applyFill="1" applyBorder="1" applyAlignment="1">
      <alignment horizontal="center" vertical="center" wrapText="1"/>
    </xf>
    <xf numFmtId="0" fontId="63" fillId="7" borderId="52" xfId="0" applyFont="1" applyFill="1" applyBorder="1" applyAlignment="1">
      <alignment horizontal="center" vertical="center" wrapText="1"/>
    </xf>
    <xf numFmtId="0" fontId="47" fillId="7" borderId="84" xfId="0" applyFont="1" applyFill="1" applyBorder="1" applyAlignment="1">
      <alignment horizontal="center" vertical="center"/>
    </xf>
    <xf numFmtId="0" fontId="47" fillId="7" borderId="85" xfId="0" applyFont="1" applyFill="1" applyBorder="1" applyAlignment="1">
      <alignment horizontal="left" vertical="center" wrapText="1"/>
    </xf>
    <xf numFmtId="0" fontId="47" fillId="7" borderId="84" xfId="0" applyFont="1" applyFill="1" applyBorder="1" applyAlignment="1">
      <alignment horizontal="center" vertical="center" wrapText="1"/>
    </xf>
    <xf numFmtId="0" fontId="56" fillId="7" borderId="84" xfId="0" applyFont="1" applyFill="1" applyBorder="1" applyAlignment="1">
      <alignment horizontal="center" vertical="center" wrapText="1"/>
    </xf>
    <xf numFmtId="0" fontId="47" fillId="7" borderId="86" xfId="0" applyFont="1" applyFill="1" applyBorder="1" applyAlignment="1">
      <alignment horizontal="center" vertical="center" wrapText="1"/>
    </xf>
    <xf numFmtId="0" fontId="47" fillId="7" borderId="85" xfId="0" applyFont="1" applyFill="1" applyBorder="1" applyAlignment="1">
      <alignment horizontal="center" vertical="center"/>
    </xf>
    <xf numFmtId="0" fontId="56" fillId="7" borderId="84" xfId="0" applyFont="1" applyFill="1" applyBorder="1" applyAlignment="1">
      <alignment horizontal="center" vertical="center"/>
    </xf>
    <xf numFmtId="0" fontId="56" fillId="7" borderId="86" xfId="0" applyFont="1" applyFill="1" applyBorder="1" applyAlignment="1">
      <alignment horizontal="center" vertical="center"/>
    </xf>
    <xf numFmtId="0" fontId="45" fillId="20" borderId="7" xfId="0" applyFont="1" applyFill="1" applyBorder="1" applyAlignment="1">
      <alignment horizontal="center" vertical="center"/>
    </xf>
    <xf numFmtId="0" fontId="45" fillId="20" borderId="8" xfId="0" applyFont="1" applyFill="1" applyBorder="1"/>
    <xf numFmtId="0" fontId="45" fillId="20" borderId="10" xfId="0" applyFont="1" applyFill="1" applyBorder="1" applyAlignment="1">
      <alignment horizontal="center" vertical="center"/>
    </xf>
    <xf numFmtId="0" fontId="45" fillId="20" borderId="36" xfId="0" applyFont="1" applyFill="1" applyBorder="1"/>
    <xf numFmtId="0" fontId="45" fillId="20" borderId="80" xfId="0" applyFont="1" applyFill="1" applyBorder="1" applyAlignment="1">
      <alignment horizontal="center" vertical="center"/>
    </xf>
    <xf numFmtId="0" fontId="45" fillId="20" borderId="81" xfId="0" applyFont="1" applyFill="1" applyBorder="1" applyAlignment="1">
      <alignment horizontal="center" vertical="center" wrapText="1"/>
    </xf>
    <xf numFmtId="0" fontId="45" fillId="20" borderId="81" xfId="0" applyFont="1" applyFill="1" applyBorder="1"/>
    <xf numFmtId="0" fontId="45" fillId="20" borderId="82" xfId="0" applyFont="1" applyFill="1" applyBorder="1"/>
    <xf numFmtId="0" fontId="52" fillId="18" borderId="6" xfId="0" applyFont="1" applyFill="1" applyBorder="1" applyAlignment="1">
      <alignment horizontal="left" vertical="center" wrapText="1"/>
    </xf>
    <xf numFmtId="166" fontId="52" fillId="18" borderId="6" xfId="0" applyNumberFormat="1" applyFont="1" applyFill="1" applyBorder="1" applyAlignment="1">
      <alignment horizontal="center" vertical="center" wrapText="1"/>
    </xf>
    <xf numFmtId="0" fontId="52" fillId="18" borderId="6" xfId="0" quotePrefix="1" applyFont="1" applyFill="1" applyBorder="1" applyAlignment="1">
      <alignment horizontal="center" vertical="center" wrapText="1"/>
    </xf>
    <xf numFmtId="0" fontId="52" fillId="12" borderId="6" xfId="0" applyFont="1" applyFill="1" applyBorder="1" applyAlignment="1">
      <alignment horizontal="left" vertical="center" wrapText="1"/>
    </xf>
    <xf numFmtId="166" fontId="52" fillId="12" borderId="6" xfId="0" applyNumberFormat="1" applyFont="1" applyFill="1" applyBorder="1" applyAlignment="1">
      <alignment horizontal="center" vertical="center" wrapText="1"/>
    </xf>
    <xf numFmtId="0" fontId="52" fillId="12" borderId="6" xfId="0" quotePrefix="1" applyFont="1" applyFill="1" applyBorder="1" applyAlignment="1">
      <alignment horizontal="center" vertical="center" wrapText="1"/>
    </xf>
    <xf numFmtId="0" fontId="48" fillId="12" borderId="6" xfId="0" applyFont="1" applyFill="1" applyBorder="1" applyAlignment="1">
      <alignment horizontal="left" vertical="center" wrapText="1"/>
    </xf>
    <xf numFmtId="2" fontId="48" fillId="12" borderId="6" xfId="0" applyNumberFormat="1" applyFont="1" applyFill="1" applyBorder="1" applyAlignment="1">
      <alignment horizontal="center" vertical="center" wrapText="1"/>
    </xf>
    <xf numFmtId="2" fontId="48" fillId="8" borderId="77" xfId="0" applyNumberFormat="1" applyFont="1" applyFill="1" applyBorder="1" applyAlignment="1">
      <alignment horizontal="center" vertical="center" wrapText="1"/>
    </xf>
    <xf numFmtId="0" fontId="48" fillId="8" borderId="77" xfId="0" applyFont="1" applyFill="1" applyBorder="1" applyAlignment="1">
      <alignment horizontal="center" vertical="center" wrapText="1"/>
    </xf>
    <xf numFmtId="0" fontId="47" fillId="7" borderId="74" xfId="0" applyFont="1" applyFill="1" applyBorder="1" applyAlignment="1">
      <alignment horizontal="center" vertical="center"/>
    </xf>
    <xf numFmtId="0" fontId="52" fillId="9" borderId="14" xfId="0" applyFont="1" applyFill="1" applyBorder="1" applyAlignment="1">
      <alignment horizontal="center" vertical="center" wrapText="1"/>
    </xf>
    <xf numFmtId="166" fontId="0" fillId="0" borderId="0" xfId="0" applyNumberFormat="1"/>
    <xf numFmtId="166" fontId="0" fillId="0" borderId="0" xfId="0" applyNumberFormat="1" applyAlignment="1">
      <alignment horizontal="center" vertical="center"/>
    </xf>
    <xf numFmtId="0" fontId="56" fillId="7" borderId="83" xfId="0" applyFont="1" applyFill="1" applyBorder="1" applyAlignment="1">
      <alignment horizontal="left" vertical="center"/>
    </xf>
    <xf numFmtId="0" fontId="48" fillId="12" borderId="10" xfId="0" applyFont="1" applyFill="1" applyBorder="1" applyAlignment="1">
      <alignment horizontal="left" vertical="center" wrapText="1"/>
    </xf>
    <xf numFmtId="0" fontId="48" fillId="12" borderId="14" xfId="0" applyFont="1" applyFill="1" applyBorder="1" applyAlignment="1">
      <alignment horizontal="left" vertical="center" wrapText="1"/>
    </xf>
    <xf numFmtId="0" fontId="56" fillId="7" borderId="57" xfId="0" applyFont="1" applyFill="1" applyBorder="1" applyAlignment="1">
      <alignment horizontal="left" vertical="center" wrapText="1"/>
    </xf>
    <xf numFmtId="0" fontId="48" fillId="8" borderId="6" xfId="0" quotePrefix="1" applyFont="1" applyFill="1" applyBorder="1" applyAlignment="1">
      <alignment horizontal="center" vertical="center" wrapText="1"/>
    </xf>
    <xf numFmtId="0" fontId="48" fillId="8" borderId="10" xfId="0" applyFont="1" applyFill="1" applyBorder="1" applyAlignment="1">
      <alignment horizontal="center" vertical="center" wrapText="1"/>
    </xf>
    <xf numFmtId="0" fontId="48" fillId="18" borderId="10" xfId="0" applyFont="1" applyFill="1" applyBorder="1" applyAlignment="1">
      <alignment horizontal="center" vertical="center" wrapText="1"/>
    </xf>
    <xf numFmtId="1" fontId="48" fillId="15" borderId="67" xfId="0" applyNumberFormat="1" applyFont="1" applyFill="1" applyBorder="1" applyAlignment="1">
      <alignment horizontal="center" vertical="center" wrapText="1"/>
    </xf>
    <xf numFmtId="1" fontId="48" fillId="15" borderId="6" xfId="0" applyNumberFormat="1" applyFont="1" applyFill="1" applyBorder="1" applyAlignment="1">
      <alignment horizontal="center" vertical="center" wrapText="1"/>
    </xf>
    <xf numFmtId="0" fontId="48" fillId="18" borderId="10" xfId="0" applyFont="1" applyFill="1" applyBorder="1" applyAlignment="1">
      <alignment horizontal="left" vertical="center" wrapText="1"/>
    </xf>
    <xf numFmtId="2" fontId="48" fillId="18" borderId="10" xfId="0" applyNumberFormat="1" applyFont="1" applyFill="1" applyBorder="1" applyAlignment="1">
      <alignment horizontal="center" vertical="center" wrapText="1"/>
    </xf>
    <xf numFmtId="164" fontId="48" fillId="11" borderId="6" xfId="0" applyNumberFormat="1" applyFont="1" applyFill="1" applyBorder="1" applyAlignment="1">
      <alignment horizontal="center" vertical="center" wrapText="1"/>
    </xf>
    <xf numFmtId="0" fontId="49" fillId="6" borderId="0" xfId="0" applyFont="1" applyFill="1" applyAlignment="1">
      <alignment horizontal="left"/>
    </xf>
    <xf numFmtId="0" fontId="48" fillId="5" borderId="82" xfId="0" quotePrefix="1" applyFont="1" applyFill="1" applyBorder="1" applyAlignment="1">
      <alignment horizontal="left" vertical="center"/>
    </xf>
    <xf numFmtId="0" fontId="48" fillId="5" borderId="8" xfId="0" quotePrefix="1" applyFont="1" applyFill="1" applyBorder="1" applyAlignment="1">
      <alignment horizontal="left" vertical="center"/>
    </xf>
    <xf numFmtId="0" fontId="48" fillId="5" borderId="8" xfId="0" applyFont="1" applyFill="1" applyBorder="1" applyAlignment="1">
      <alignment horizontal="left" vertical="center"/>
    </xf>
    <xf numFmtId="0" fontId="48" fillId="5" borderId="11" xfId="0" applyFont="1" applyFill="1" applyBorder="1" applyAlignment="1">
      <alignment horizontal="left" vertical="center"/>
    </xf>
    <xf numFmtId="0" fontId="48" fillId="20" borderId="10" xfId="0" applyFont="1" applyFill="1" applyBorder="1" applyAlignment="1">
      <alignment horizontal="left" vertical="center" wrapText="1"/>
    </xf>
    <xf numFmtId="0" fontId="52" fillId="11" borderId="6" xfId="0" applyFont="1" applyFill="1" applyBorder="1" applyAlignment="1">
      <alignment horizontal="left" vertical="center" wrapText="1"/>
    </xf>
    <xf numFmtId="166" fontId="52" fillId="11" borderId="6" xfId="0" applyNumberFormat="1" applyFont="1" applyFill="1" applyBorder="1" applyAlignment="1">
      <alignment horizontal="center" vertical="center" wrapText="1"/>
    </xf>
    <xf numFmtId="0" fontId="52" fillId="11" borderId="6" xfId="0" quotePrefix="1" applyFont="1" applyFill="1" applyBorder="1" applyAlignment="1">
      <alignment horizontal="center" vertical="center" wrapText="1"/>
    </xf>
    <xf numFmtId="0" fontId="48" fillId="19" borderId="70" xfId="0" applyFont="1" applyFill="1" applyBorder="1" applyAlignment="1">
      <alignment horizontal="left" vertical="center"/>
    </xf>
    <xf numFmtId="0" fontId="52" fillId="9" borderId="81" xfId="0" applyFont="1" applyFill="1" applyBorder="1" applyAlignment="1">
      <alignment horizontal="center" vertical="center" wrapText="1"/>
    </xf>
    <xf numFmtId="0" fontId="55" fillId="7" borderId="79" xfId="0" applyFont="1" applyFill="1" applyBorder="1" applyAlignment="1">
      <alignment vertical="center" wrapText="1"/>
    </xf>
    <xf numFmtId="0" fontId="45" fillId="20" borderId="90" xfId="0" applyFont="1" applyFill="1" applyBorder="1" applyAlignment="1">
      <alignment horizontal="center" vertical="center" wrapText="1"/>
    </xf>
    <xf numFmtId="0" fontId="45" fillId="20" borderId="77" xfId="0" applyFont="1" applyFill="1" applyBorder="1" applyAlignment="1">
      <alignment horizontal="center" vertical="center" wrapText="1"/>
    </xf>
    <xf numFmtId="0" fontId="55" fillId="7" borderId="74" xfId="0" applyFont="1" applyFill="1" applyBorder="1" applyAlignment="1">
      <alignment horizontal="center" vertical="center" wrapText="1"/>
    </xf>
    <xf numFmtId="2" fontId="52" fillId="22" borderId="77" xfId="0" applyNumberFormat="1" applyFont="1" applyFill="1" applyBorder="1" applyAlignment="1">
      <alignment horizontal="center" vertical="center" wrapText="1"/>
    </xf>
    <xf numFmtId="0" fontId="52" fillId="22" borderId="77" xfId="0" applyFont="1" applyFill="1" applyBorder="1" applyAlignment="1">
      <alignment horizontal="center" vertical="center" wrapText="1"/>
    </xf>
    <xf numFmtId="2" fontId="52" fillId="22" borderId="6" xfId="0" applyNumberFormat="1" applyFont="1" applyFill="1" applyBorder="1" applyAlignment="1">
      <alignment horizontal="center" vertical="center" wrapText="1"/>
    </xf>
    <xf numFmtId="0" fontId="52" fillId="22" borderId="6" xfId="0" applyFont="1" applyFill="1" applyBorder="1" applyAlignment="1">
      <alignment horizontal="center" vertical="center" wrapText="1"/>
    </xf>
    <xf numFmtId="0" fontId="52" fillId="22" borderId="10" xfId="0" applyFont="1" applyFill="1" applyBorder="1" applyAlignment="1">
      <alignment horizontal="center" vertical="center" wrapText="1"/>
    </xf>
    <xf numFmtId="0" fontId="52" fillId="20" borderId="77" xfId="0" applyFont="1" applyFill="1" applyBorder="1" applyAlignment="1">
      <alignment horizontal="center" vertical="center" wrapText="1"/>
    </xf>
    <xf numFmtId="0" fontId="52" fillId="20" borderId="6" xfId="0" applyFont="1" applyFill="1" applyBorder="1" applyAlignment="1">
      <alignment horizontal="left" vertical="center" wrapText="1"/>
    </xf>
    <xf numFmtId="0" fontId="52" fillId="20" borderId="6" xfId="0" applyFont="1" applyFill="1" applyBorder="1" applyAlignment="1">
      <alignment horizontal="center" vertical="center" wrapText="1"/>
    </xf>
    <xf numFmtId="0" fontId="52" fillId="20" borderId="10" xfId="0" applyFont="1" applyFill="1" applyBorder="1" applyAlignment="1">
      <alignment horizontal="left" vertical="center" wrapText="1"/>
    </xf>
    <xf numFmtId="0" fontId="52" fillId="20" borderId="10" xfId="0" applyFont="1" applyFill="1" applyBorder="1" applyAlignment="1">
      <alignment horizontal="center" vertical="center" wrapText="1"/>
    </xf>
    <xf numFmtId="166" fontId="52" fillId="20" borderId="6" xfId="0" applyNumberFormat="1" applyFont="1" applyFill="1" applyBorder="1" applyAlignment="1">
      <alignment horizontal="center" vertical="center" wrapText="1"/>
    </xf>
    <xf numFmtId="0" fontId="52" fillId="20" borderId="6" xfId="0" quotePrefix="1" applyFont="1" applyFill="1" applyBorder="1" applyAlignment="1">
      <alignment horizontal="center" vertical="center" wrapText="1"/>
    </xf>
    <xf numFmtId="0" fontId="48" fillId="10" borderId="90" xfId="0" applyFont="1" applyFill="1" applyBorder="1" applyAlignment="1">
      <alignment horizontal="center" vertical="center" wrapText="1"/>
    </xf>
    <xf numFmtId="0" fontId="55" fillId="2" borderId="0" xfId="0" applyFont="1" applyFill="1" applyAlignment="1">
      <alignment horizontal="center" vertical="center"/>
    </xf>
    <xf numFmtId="0" fontId="48" fillId="20" borderId="6" xfId="0" applyFont="1" applyFill="1" applyBorder="1" applyAlignment="1">
      <alignment horizontal="center" vertical="center" wrapText="1"/>
    </xf>
    <xf numFmtId="0" fontId="48" fillId="20" borderId="6" xfId="0" applyFont="1" applyFill="1" applyBorder="1" applyAlignment="1">
      <alignment horizontal="center" vertical="center"/>
    </xf>
    <xf numFmtId="0" fontId="52" fillId="0" borderId="0" xfId="0" applyFont="1" applyAlignment="1">
      <alignment vertical="center"/>
    </xf>
    <xf numFmtId="0" fontId="48" fillId="20" borderId="90" xfId="0" applyFont="1" applyFill="1" applyBorder="1" applyAlignment="1">
      <alignment horizontal="left" vertical="center"/>
    </xf>
    <xf numFmtId="0" fontId="45" fillId="20" borderId="97" xfId="0" applyFont="1" applyFill="1" applyBorder="1" applyAlignment="1">
      <alignment horizontal="center" vertical="center"/>
    </xf>
    <xf numFmtId="0" fontId="48" fillId="9" borderId="97" xfId="0" applyFont="1" applyFill="1" applyBorder="1" applyAlignment="1">
      <alignment horizontal="left" vertical="center"/>
    </xf>
    <xf numFmtId="166" fontId="48" fillId="9" borderId="89" xfId="0" applyNumberFormat="1" applyFont="1" applyFill="1" applyBorder="1" applyAlignment="1">
      <alignment horizontal="center" vertical="center" wrapText="1"/>
    </xf>
    <xf numFmtId="0" fontId="48" fillId="9" borderId="89" xfId="0" applyFont="1" applyFill="1" applyBorder="1" applyAlignment="1">
      <alignment horizontal="center" vertical="center" wrapText="1"/>
    </xf>
    <xf numFmtId="2" fontId="48" fillId="9" borderId="89" xfId="0" applyNumberFormat="1" applyFont="1" applyFill="1" applyBorder="1" applyAlignment="1">
      <alignment horizontal="center" vertical="center" wrapText="1"/>
    </xf>
    <xf numFmtId="166" fontId="48" fillId="24" borderId="89" xfId="0" applyNumberFormat="1" applyFont="1" applyFill="1" applyBorder="1" applyAlignment="1">
      <alignment horizontal="center" vertical="center" wrapText="1"/>
    </xf>
    <xf numFmtId="0" fontId="48" fillId="24" borderId="89" xfId="0" applyFont="1" applyFill="1" applyBorder="1" applyAlignment="1">
      <alignment horizontal="center" vertical="center" wrapText="1"/>
    </xf>
    <xf numFmtId="2" fontId="48" fillId="24" borderId="89" xfId="0" applyNumberFormat="1" applyFont="1" applyFill="1" applyBorder="1" applyAlignment="1">
      <alignment horizontal="center" vertical="center" wrapText="1"/>
    </xf>
    <xf numFmtId="0" fontId="45" fillId="24" borderId="89" xfId="0" applyFont="1" applyFill="1" applyBorder="1" applyAlignment="1">
      <alignment horizontal="center"/>
    </xf>
    <xf numFmtId="165" fontId="48" fillId="24" borderId="89" xfId="0" applyNumberFormat="1" applyFont="1" applyFill="1" applyBorder="1" applyAlignment="1">
      <alignment horizontal="center" vertical="center"/>
    </xf>
    <xf numFmtId="0" fontId="48" fillId="8" borderId="89" xfId="0" applyFont="1" applyFill="1" applyBorder="1" applyAlignment="1">
      <alignment horizontal="left" vertical="center" wrapText="1"/>
    </xf>
    <xf numFmtId="0" fontId="48" fillId="21" borderId="89" xfId="0" applyFont="1" applyFill="1" applyBorder="1" applyAlignment="1">
      <alignment horizontal="left" vertical="center" wrapText="1"/>
    </xf>
    <xf numFmtId="0" fontId="48" fillId="21" borderId="10" xfId="0" applyFont="1" applyFill="1" applyBorder="1" applyAlignment="1">
      <alignment horizontal="left" vertical="center" wrapText="1"/>
    </xf>
    <xf numFmtId="164" fontId="48" fillId="21" borderId="90" xfId="0" applyNumberFormat="1" applyFont="1" applyFill="1" applyBorder="1" applyAlignment="1">
      <alignment horizontal="center" vertical="center" wrapText="1"/>
    </xf>
    <xf numFmtId="0" fontId="48" fillId="21" borderId="90" xfId="0" applyFont="1" applyFill="1" applyBorder="1" applyAlignment="1">
      <alignment horizontal="center" vertical="center" wrapText="1"/>
    </xf>
    <xf numFmtId="164" fontId="52" fillId="21" borderId="89" xfId="0" applyNumberFormat="1" applyFont="1" applyFill="1" applyBorder="1" applyAlignment="1">
      <alignment horizontal="center" vertical="center"/>
    </xf>
    <xf numFmtId="0" fontId="52" fillId="21" borderId="89" xfId="0" applyFont="1" applyFill="1" applyBorder="1" applyAlignment="1">
      <alignment horizontal="center" vertical="center"/>
    </xf>
    <xf numFmtId="0" fontId="48" fillId="21" borderId="100" xfId="0" applyFont="1" applyFill="1" applyBorder="1" applyAlignment="1">
      <alignment horizontal="left" vertical="center" wrapText="1"/>
    </xf>
    <xf numFmtId="164" fontId="48" fillId="21" borderId="100" xfId="0" applyNumberFormat="1" applyFont="1" applyFill="1" applyBorder="1" applyAlignment="1">
      <alignment horizontal="center" vertical="center" wrapText="1"/>
    </xf>
    <xf numFmtId="0" fontId="48" fillId="21" borderId="100" xfId="0" applyFont="1" applyFill="1" applyBorder="1" applyAlignment="1">
      <alignment horizontal="center" vertical="center" wrapText="1"/>
    </xf>
    <xf numFmtId="2" fontId="48" fillId="21" borderId="89" xfId="0" applyNumberFormat="1" applyFont="1" applyFill="1" applyBorder="1" applyAlignment="1">
      <alignment horizontal="center" vertical="center" wrapText="1"/>
    </xf>
    <xf numFmtId="0" fontId="48" fillId="21" borderId="89" xfId="0" applyFont="1" applyFill="1" applyBorder="1" applyAlignment="1">
      <alignment horizontal="center" vertical="center" wrapText="1"/>
    </xf>
    <xf numFmtId="2" fontId="48" fillId="21" borderId="10" xfId="0" applyNumberFormat="1" applyFont="1" applyFill="1" applyBorder="1" applyAlignment="1">
      <alignment horizontal="center" vertical="center" wrapText="1"/>
    </xf>
    <xf numFmtId="0" fontId="48" fillId="21" borderId="10" xfId="0" applyFont="1" applyFill="1" applyBorder="1" applyAlignment="1">
      <alignment horizontal="center" vertical="center" wrapText="1"/>
    </xf>
    <xf numFmtId="0" fontId="52" fillId="11" borderId="89" xfId="0" applyFont="1" applyFill="1" applyBorder="1" applyAlignment="1">
      <alignment horizontal="left" vertical="center" wrapText="1"/>
    </xf>
    <xf numFmtId="0" fontId="48" fillId="11" borderId="90" xfId="0" quotePrefix="1" applyFont="1" applyFill="1" applyBorder="1" applyAlignment="1">
      <alignment horizontal="center" vertical="center" wrapText="1"/>
    </xf>
    <xf numFmtId="0" fontId="48" fillId="11" borderId="90" xfId="0" applyFont="1" applyFill="1" applyBorder="1" applyAlignment="1">
      <alignment horizontal="center" vertical="center" wrapText="1"/>
    </xf>
    <xf numFmtId="0" fontId="48" fillId="11" borderId="90" xfId="0" applyFont="1" applyFill="1" applyBorder="1" applyAlignment="1">
      <alignment horizontal="center" vertical="center"/>
    </xf>
    <xf numFmtId="0" fontId="52" fillId="20" borderId="89" xfId="0" applyFont="1" applyFill="1" applyBorder="1" applyAlignment="1">
      <alignment horizontal="left" vertical="center" wrapText="1"/>
    </xf>
    <xf numFmtId="0" fontId="48" fillId="7" borderId="89" xfId="0" applyFont="1" applyFill="1" applyBorder="1" applyAlignment="1">
      <alignment horizontal="left" vertical="center" wrapText="1"/>
    </xf>
    <xf numFmtId="166" fontId="52" fillId="11" borderId="89" xfId="0" applyNumberFormat="1" applyFont="1" applyFill="1" applyBorder="1" applyAlignment="1">
      <alignment horizontal="center" vertical="center" wrapText="1"/>
    </xf>
    <xf numFmtId="0" fontId="52" fillId="11" borderId="89" xfId="0" quotePrefix="1" applyFont="1" applyFill="1" applyBorder="1" applyAlignment="1">
      <alignment horizontal="center" vertical="center" wrapText="1"/>
    </xf>
    <xf numFmtId="0" fontId="48" fillId="20" borderId="89" xfId="0" applyFont="1" applyFill="1" applyBorder="1" applyAlignment="1">
      <alignment horizontal="left" vertical="center" wrapText="1"/>
    </xf>
    <xf numFmtId="0" fontId="48" fillId="25" borderId="14" xfId="0" applyFont="1" applyFill="1" applyBorder="1" applyAlignment="1">
      <alignment horizontal="left" vertical="center" wrapText="1"/>
    </xf>
    <xf numFmtId="0" fontId="48" fillId="25" borderId="6" xfId="0" applyFont="1" applyFill="1" applyBorder="1" applyAlignment="1">
      <alignment horizontal="left" vertical="center" wrapText="1"/>
    </xf>
    <xf numFmtId="0" fontId="48" fillId="25" borderId="10" xfId="0" applyFont="1" applyFill="1" applyBorder="1" applyAlignment="1">
      <alignment horizontal="left" vertical="center" wrapText="1"/>
    </xf>
    <xf numFmtId="0" fontId="55" fillId="7" borderId="102" xfId="0" applyFont="1" applyFill="1" applyBorder="1" applyAlignment="1">
      <alignment vertical="center" wrapText="1"/>
    </xf>
    <xf numFmtId="0" fontId="52" fillId="22" borderId="103" xfId="0" applyFont="1" applyFill="1" applyBorder="1" applyAlignment="1">
      <alignment horizontal="center" vertical="center" wrapText="1"/>
    </xf>
    <xf numFmtId="0" fontId="52" fillId="20" borderId="103" xfId="0" applyFont="1" applyFill="1" applyBorder="1" applyAlignment="1">
      <alignment horizontal="center" vertical="center" wrapText="1"/>
    </xf>
    <xf numFmtId="0" fontId="55" fillId="7" borderId="2" xfId="0" applyFont="1" applyFill="1" applyBorder="1" applyAlignment="1">
      <alignment vertical="center" wrapText="1"/>
    </xf>
    <xf numFmtId="164" fontId="52" fillId="7" borderId="114" xfId="0" applyNumberFormat="1" applyFont="1" applyFill="1" applyBorder="1" applyAlignment="1">
      <alignment horizontal="center" vertical="center" wrapText="1"/>
    </xf>
    <xf numFmtId="0" fontId="52" fillId="7" borderId="114" xfId="0" applyFont="1" applyFill="1" applyBorder="1" applyAlignment="1">
      <alignment horizontal="center" vertical="center" wrapText="1"/>
    </xf>
    <xf numFmtId="0" fontId="48" fillId="7" borderId="114" xfId="0" applyFont="1" applyFill="1" applyBorder="1" applyAlignment="1">
      <alignment horizontal="center" vertical="center" wrapText="1"/>
    </xf>
    <xf numFmtId="0" fontId="48" fillId="7" borderId="114" xfId="0" applyFont="1" applyFill="1" applyBorder="1" applyAlignment="1">
      <alignment horizontal="center" vertical="center"/>
    </xf>
    <xf numFmtId="0" fontId="56" fillId="7" borderId="109" xfId="0" applyFont="1" applyFill="1" applyBorder="1" applyAlignment="1">
      <alignment horizontal="center" vertical="center" wrapText="1"/>
    </xf>
    <xf numFmtId="0" fontId="47" fillId="8" borderId="38" xfId="0" applyFont="1" applyFill="1" applyBorder="1" applyAlignment="1">
      <alignment horizontal="center"/>
    </xf>
    <xf numFmtId="0" fontId="47" fillId="8" borderId="90" xfId="0" applyFont="1" applyFill="1" applyBorder="1" applyAlignment="1">
      <alignment horizontal="center"/>
    </xf>
    <xf numFmtId="0" fontId="48" fillId="10" borderId="6" xfId="0" applyFont="1" applyFill="1" applyBorder="1" applyAlignment="1">
      <alignment horizontal="left" vertical="center" wrapText="1"/>
    </xf>
    <xf numFmtId="0" fontId="48" fillId="7" borderId="6" xfId="0" applyFont="1" applyFill="1" applyBorder="1" applyAlignment="1">
      <alignment horizontal="left" vertical="center" wrapText="1"/>
    </xf>
    <xf numFmtId="0" fontId="48" fillId="15" borderId="114" xfId="0" applyFont="1" applyFill="1" applyBorder="1" applyAlignment="1">
      <alignment horizontal="center" vertical="center" wrapText="1"/>
    </xf>
    <xf numFmtId="0" fontId="45" fillId="4" borderId="117" xfId="0" applyFont="1" applyFill="1" applyBorder="1" applyAlignment="1">
      <alignment horizontal="left" vertical="center"/>
    </xf>
    <xf numFmtId="0" fontId="48" fillId="5" borderId="118" xfId="0" applyFont="1" applyFill="1" applyBorder="1" applyAlignment="1">
      <alignment horizontal="left" vertical="center"/>
    </xf>
    <xf numFmtId="0" fontId="48" fillId="5" borderId="119" xfId="0" quotePrefix="1" applyFont="1" applyFill="1" applyBorder="1" applyAlignment="1">
      <alignment horizontal="left" vertical="center"/>
    </xf>
    <xf numFmtId="0" fontId="48" fillId="5" borderId="119" xfId="0" applyFont="1" applyFill="1" applyBorder="1" applyAlignment="1">
      <alignment horizontal="left" vertical="center"/>
    </xf>
    <xf numFmtId="0" fontId="48" fillId="5" borderId="119" xfId="0" applyFont="1" applyFill="1" applyBorder="1" applyAlignment="1">
      <alignment horizontal="center" vertical="center"/>
    </xf>
    <xf numFmtId="0" fontId="48" fillId="5" borderId="120" xfId="0" applyFont="1" applyFill="1" applyBorder="1" applyAlignment="1">
      <alignment horizontal="center" vertical="center"/>
    </xf>
    <xf numFmtId="0" fontId="48" fillId="5" borderId="106" xfId="0" applyFont="1" applyFill="1" applyBorder="1" applyAlignment="1">
      <alignment horizontal="center" vertical="center"/>
    </xf>
    <xf numFmtId="0" fontId="48" fillId="5" borderId="106" xfId="0" quotePrefix="1" applyFont="1" applyFill="1" applyBorder="1" applyAlignment="1">
      <alignment horizontal="center" vertical="center"/>
    </xf>
    <xf numFmtId="0" fontId="48" fillId="5" borderId="114" xfId="0" quotePrefix="1" applyFont="1" applyFill="1" applyBorder="1" applyAlignment="1">
      <alignment horizontal="center" vertical="center"/>
    </xf>
    <xf numFmtId="0" fontId="48" fillId="5" borderId="114" xfId="0" applyFont="1" applyFill="1" applyBorder="1" applyAlignment="1">
      <alignment horizontal="center" vertical="center"/>
    </xf>
    <xf numFmtId="0" fontId="48" fillId="20" borderId="94" xfId="0" applyFont="1" applyFill="1" applyBorder="1" applyAlignment="1">
      <alignment horizontal="left" vertical="center"/>
    </xf>
    <xf numFmtId="0" fontId="48" fillId="20" borderId="126" xfId="0" applyFont="1" applyFill="1" applyBorder="1" applyAlignment="1">
      <alignment horizontal="left" vertical="center" wrapText="1"/>
    </xf>
    <xf numFmtId="0" fontId="48" fillId="20" borderId="128" xfId="0" applyFont="1" applyFill="1" applyBorder="1" applyAlignment="1">
      <alignment horizontal="left" vertical="center" wrapText="1"/>
    </xf>
    <xf numFmtId="0" fontId="48" fillId="20" borderId="125" xfId="0" applyFont="1" applyFill="1" applyBorder="1" applyAlignment="1">
      <alignment horizontal="left" vertical="center"/>
    </xf>
    <xf numFmtId="0" fontId="48" fillId="20" borderId="129" xfId="0" applyFont="1" applyFill="1" applyBorder="1" applyAlignment="1">
      <alignment horizontal="left" vertical="center"/>
    </xf>
    <xf numFmtId="0" fontId="48" fillId="20" borderId="125" xfId="0" applyFont="1" applyFill="1" applyBorder="1" applyAlignment="1">
      <alignment horizontal="center" vertical="center"/>
    </xf>
    <xf numFmtId="166" fontId="48" fillId="20" borderId="125" xfId="0" applyNumberFormat="1" applyFont="1" applyFill="1" applyBorder="1" applyAlignment="1">
      <alignment horizontal="center" vertical="center"/>
    </xf>
    <xf numFmtId="0" fontId="48" fillId="20" borderId="125" xfId="0" quotePrefix="1" applyFont="1" applyFill="1" applyBorder="1" applyAlignment="1">
      <alignment horizontal="center" vertical="center"/>
    </xf>
    <xf numFmtId="0" fontId="45" fillId="18" borderId="127" xfId="0" applyFont="1" applyFill="1" applyBorder="1" applyAlignment="1">
      <alignment horizontal="center" vertical="center"/>
    </xf>
    <xf numFmtId="0" fontId="45" fillId="18" borderId="125" xfId="0" applyFont="1" applyFill="1" applyBorder="1" applyAlignment="1">
      <alignment horizontal="left" vertical="center"/>
    </xf>
    <xf numFmtId="0" fontId="45" fillId="18" borderId="125" xfId="0" applyFont="1" applyFill="1" applyBorder="1" applyAlignment="1">
      <alignment horizontal="center" vertical="center"/>
    </xf>
    <xf numFmtId="0" fontId="45" fillId="18" borderId="125" xfId="0" quotePrefix="1" applyFont="1" applyFill="1" applyBorder="1" applyAlignment="1">
      <alignment horizontal="center" vertical="center"/>
    </xf>
    <xf numFmtId="0" fontId="45" fillId="18" borderId="129" xfId="0" applyFont="1" applyFill="1" applyBorder="1" applyAlignment="1">
      <alignment horizontal="center" vertical="center"/>
    </xf>
    <xf numFmtId="0" fontId="47" fillId="26" borderId="84" xfId="0" applyFont="1" applyFill="1" applyBorder="1" applyAlignment="1">
      <alignment horizontal="center" vertical="center"/>
    </xf>
    <xf numFmtId="0" fontId="47" fillId="26" borderId="74" xfId="0" applyFont="1" applyFill="1" applyBorder="1" applyAlignment="1">
      <alignment horizontal="center" vertical="center"/>
    </xf>
    <xf numFmtId="0" fontId="56" fillId="26" borderId="84" xfId="0" applyFont="1" applyFill="1" applyBorder="1" applyAlignment="1">
      <alignment horizontal="center" vertical="center"/>
    </xf>
    <xf numFmtId="0" fontId="48" fillId="7" borderId="122" xfId="0" applyFont="1" applyFill="1" applyBorder="1" applyAlignment="1">
      <alignment horizontal="left" vertical="center"/>
    </xf>
    <xf numFmtId="0" fontId="48" fillId="7" borderId="123" xfId="0" applyFont="1" applyFill="1" applyBorder="1" applyAlignment="1">
      <alignment horizontal="center" vertical="center" wrapText="1"/>
    </xf>
    <xf numFmtId="0" fontId="52" fillId="7" borderId="123" xfId="0" applyFont="1" applyFill="1" applyBorder="1" applyAlignment="1">
      <alignment horizontal="center" vertical="center" wrapText="1"/>
    </xf>
    <xf numFmtId="0" fontId="48" fillId="7" borderId="124" xfId="0" applyFont="1" applyFill="1" applyBorder="1" applyAlignment="1">
      <alignment horizontal="left" vertical="center"/>
    </xf>
    <xf numFmtId="0" fontId="48" fillId="7" borderId="126" xfId="0" applyFont="1" applyFill="1" applyBorder="1" applyAlignment="1">
      <alignment horizontal="left" vertical="center"/>
    </xf>
    <xf numFmtId="2" fontId="48" fillId="7" borderId="114" xfId="0" applyNumberFormat="1" applyFont="1" applyFill="1" applyBorder="1" applyAlignment="1">
      <alignment horizontal="center" vertical="center" wrapText="1"/>
    </xf>
    <xf numFmtId="0" fontId="48" fillId="7" borderId="127" xfId="0" applyFont="1" applyFill="1" applyBorder="1" applyAlignment="1">
      <alignment horizontal="left" vertical="center"/>
    </xf>
    <xf numFmtId="0" fontId="50" fillId="7" borderId="126" xfId="0" applyFont="1" applyFill="1" applyBorder="1" applyAlignment="1">
      <alignment horizontal="left" vertical="center" wrapText="1"/>
    </xf>
    <xf numFmtId="0" fontId="50" fillId="7" borderId="127" xfId="0" applyFont="1" applyFill="1" applyBorder="1" applyAlignment="1">
      <alignment horizontal="left" vertical="center" wrapText="1"/>
    </xf>
    <xf numFmtId="0" fontId="52" fillId="7" borderId="126" xfId="0" applyFont="1" applyFill="1" applyBorder="1" applyAlignment="1">
      <alignment horizontal="left" vertical="center" wrapText="1"/>
    </xf>
    <xf numFmtId="0" fontId="52" fillId="7" borderId="127" xfId="0" applyFont="1" applyFill="1" applyBorder="1" applyAlignment="1">
      <alignment horizontal="left" vertical="center" wrapText="1"/>
    </xf>
    <xf numFmtId="166" fontId="48" fillId="7" borderId="114" xfId="0" applyNumberFormat="1" applyFont="1" applyFill="1" applyBorder="1" applyAlignment="1">
      <alignment horizontal="center" vertical="center" wrapText="1"/>
    </xf>
    <xf numFmtId="0" fontId="48" fillId="7" borderId="128" xfId="0" applyFont="1" applyFill="1" applyBorder="1" applyAlignment="1">
      <alignment horizontal="left" vertical="center"/>
    </xf>
    <xf numFmtId="2" fontId="48" fillId="7" borderId="125" xfId="0" applyNumberFormat="1" applyFont="1" applyFill="1" applyBorder="1" applyAlignment="1">
      <alignment horizontal="center" vertical="center" wrapText="1"/>
    </xf>
    <xf numFmtId="0" fontId="52" fillId="7" borderId="125" xfId="0" applyFont="1" applyFill="1" applyBorder="1" applyAlignment="1">
      <alignment horizontal="center" vertical="center" wrapText="1"/>
    </xf>
    <xf numFmtId="0" fontId="48" fillId="7" borderId="125" xfId="0" applyFont="1" applyFill="1" applyBorder="1" applyAlignment="1">
      <alignment horizontal="center" vertical="center"/>
    </xf>
    <xf numFmtId="0" fontId="48" fillId="7" borderId="129" xfId="0" applyFont="1" applyFill="1" applyBorder="1" applyAlignment="1">
      <alignment horizontal="left" vertical="center"/>
    </xf>
    <xf numFmtId="0" fontId="48" fillId="9" borderId="126" xfId="0" applyFont="1" applyFill="1" applyBorder="1" applyAlignment="1">
      <alignment horizontal="left" vertical="center"/>
    </xf>
    <xf numFmtId="166" fontId="48" fillId="11" borderId="6" xfId="0" applyNumberFormat="1" applyFont="1" applyFill="1" applyBorder="1" applyAlignment="1">
      <alignment horizontal="center" vertical="center" wrapText="1"/>
    </xf>
    <xf numFmtId="0" fontId="80" fillId="12" borderId="6" xfId="0" applyFont="1" applyFill="1" applyBorder="1" applyAlignment="1">
      <alignment horizontal="center" vertical="center"/>
    </xf>
    <xf numFmtId="164" fontId="48" fillId="11" borderId="125" xfId="0" applyNumberFormat="1" applyFont="1" applyFill="1" applyBorder="1" applyAlignment="1">
      <alignment horizontal="center" vertical="center"/>
    </xf>
    <xf numFmtId="0" fontId="56" fillId="7" borderId="108" xfId="0" applyFont="1" applyFill="1" applyBorder="1" applyAlignment="1">
      <alignment horizontal="left" vertical="center" wrapText="1"/>
    </xf>
    <xf numFmtId="0" fontId="56" fillId="7" borderId="130" xfId="0" applyFont="1" applyFill="1" applyBorder="1" applyAlignment="1">
      <alignment horizontal="left" vertical="center" wrapText="1"/>
    </xf>
    <xf numFmtId="0" fontId="48" fillId="15" borderId="123" xfId="0" applyFont="1" applyFill="1" applyBorder="1" applyAlignment="1">
      <alignment horizontal="center" vertical="center" wrapText="1"/>
    </xf>
    <xf numFmtId="0" fontId="48" fillId="0" borderId="88" xfId="0" applyFont="1" applyBorder="1" applyAlignment="1">
      <alignment horizontal="left" vertical="center" wrapText="1"/>
    </xf>
    <xf numFmtId="0" fontId="48" fillId="20" borderId="93" xfId="0" applyFont="1" applyFill="1" applyBorder="1" applyAlignment="1">
      <alignment horizontal="left" vertical="center"/>
    </xf>
    <xf numFmtId="0" fontId="48" fillId="12" borderId="123" xfId="0" applyFont="1" applyFill="1" applyBorder="1" applyAlignment="1">
      <alignment horizontal="left" vertical="center" wrapText="1"/>
    </xf>
    <xf numFmtId="0" fontId="48" fillId="12" borderId="114" xfId="0" applyFont="1" applyFill="1" applyBorder="1" applyAlignment="1">
      <alignment horizontal="left" vertical="center" wrapText="1"/>
    </xf>
    <xf numFmtId="0" fontId="48" fillId="12" borderId="125" xfId="0" applyFont="1" applyFill="1" applyBorder="1" applyAlignment="1">
      <alignment horizontal="left" vertical="center" wrapText="1"/>
    </xf>
    <xf numFmtId="0" fontId="57" fillId="0" borderId="112" xfId="0" applyFont="1" applyBorder="1" applyAlignment="1">
      <alignment horizontal="left" vertical="center"/>
    </xf>
    <xf numFmtId="0" fontId="48" fillId="0" borderId="88" xfId="0" applyFont="1" applyBorder="1" applyAlignment="1">
      <alignment horizontal="center" vertical="center" wrapText="1"/>
    </xf>
    <xf numFmtId="0" fontId="48" fillId="0" borderId="88" xfId="0" quotePrefix="1" applyFont="1" applyBorder="1" applyAlignment="1">
      <alignment horizontal="center" vertical="center" wrapText="1"/>
    </xf>
    <xf numFmtId="0" fontId="56" fillId="0" borderId="111" xfId="0" applyFont="1" applyBorder="1" applyAlignment="1">
      <alignment horizontal="center" vertical="center"/>
    </xf>
    <xf numFmtId="0" fontId="48" fillId="19" borderId="137" xfId="0" applyFont="1" applyFill="1" applyBorder="1" applyAlignment="1">
      <alignment horizontal="left" vertical="center" wrapText="1"/>
    </xf>
    <xf numFmtId="0" fontId="48" fillId="19" borderId="137" xfId="0" applyFont="1" applyFill="1" applyBorder="1" applyAlignment="1">
      <alignment horizontal="center" vertical="center" wrapText="1"/>
    </xf>
    <xf numFmtId="0" fontId="48" fillId="19" borderId="137" xfId="0" applyFont="1" applyFill="1" applyBorder="1" applyAlignment="1">
      <alignment horizontal="center" vertical="center"/>
    </xf>
    <xf numFmtId="0" fontId="48" fillId="19" borderId="137" xfId="0" quotePrefix="1" applyFont="1" applyFill="1" applyBorder="1" applyAlignment="1">
      <alignment horizontal="center" vertical="center" wrapText="1"/>
    </xf>
    <xf numFmtId="0" fontId="48" fillId="19" borderId="125" xfId="0" applyFont="1" applyFill="1" applyBorder="1" applyAlignment="1">
      <alignment horizontal="center" vertical="center" wrapText="1"/>
    </xf>
    <xf numFmtId="0" fontId="48" fillId="19" borderId="125" xfId="0" applyFont="1" applyFill="1" applyBorder="1" applyAlignment="1">
      <alignment horizontal="center" vertical="center"/>
    </xf>
    <xf numFmtId="0" fontId="48" fillId="11" borderId="137" xfId="0" applyFont="1" applyFill="1" applyBorder="1" applyAlignment="1">
      <alignment horizontal="left" vertical="center" wrapText="1"/>
    </xf>
    <xf numFmtId="2" fontId="48" fillId="11" borderId="137" xfId="0" applyNumberFormat="1" applyFont="1" applyFill="1" applyBorder="1" applyAlignment="1">
      <alignment horizontal="center" vertical="center"/>
    </xf>
    <xf numFmtId="0" fontId="48" fillId="11" borderId="137" xfId="0" applyFont="1" applyFill="1" applyBorder="1" applyAlignment="1">
      <alignment horizontal="center" vertical="center" wrapText="1"/>
    </xf>
    <xf numFmtId="0" fontId="48" fillId="11" borderId="137" xfId="0" applyFont="1" applyFill="1" applyBorder="1" applyAlignment="1">
      <alignment horizontal="center" vertical="center"/>
    </xf>
    <xf numFmtId="0" fontId="48" fillId="11" borderId="69" xfId="0" applyFont="1" applyFill="1" applyBorder="1" applyAlignment="1">
      <alignment horizontal="left" vertical="center"/>
    </xf>
    <xf numFmtId="2" fontId="48" fillId="11" borderId="137" xfId="0" applyNumberFormat="1" applyFont="1" applyFill="1" applyBorder="1" applyAlignment="1">
      <alignment horizontal="left" vertical="center" wrapText="1"/>
    </xf>
    <xf numFmtId="2" fontId="48" fillId="11" borderId="137" xfId="0" applyNumberFormat="1" applyFont="1" applyFill="1" applyBorder="1" applyAlignment="1">
      <alignment horizontal="center" vertical="center" wrapText="1"/>
    </xf>
    <xf numFmtId="164" fontId="48" fillId="11" borderId="137" xfId="0" applyNumberFormat="1" applyFont="1" applyFill="1" applyBorder="1" applyAlignment="1">
      <alignment horizontal="center" vertical="center"/>
    </xf>
    <xf numFmtId="0" fontId="48" fillId="11" borderId="137" xfId="0" quotePrefix="1" applyFont="1" applyFill="1" applyBorder="1" applyAlignment="1">
      <alignment horizontal="center" vertical="center" wrapText="1"/>
    </xf>
    <xf numFmtId="0" fontId="48" fillId="11" borderId="137" xfId="0" applyFont="1" applyFill="1" applyBorder="1" applyAlignment="1">
      <alignment horizontal="left" vertical="center"/>
    </xf>
    <xf numFmtId="0" fontId="52" fillId="11" borderId="137" xfId="0" applyFont="1" applyFill="1" applyBorder="1" applyAlignment="1">
      <alignment horizontal="left" vertical="center" wrapText="1"/>
    </xf>
    <xf numFmtId="0" fontId="48" fillId="11" borderId="125" xfId="0" applyFont="1" applyFill="1" applyBorder="1" applyAlignment="1">
      <alignment horizontal="center" vertical="center" wrapText="1"/>
    </xf>
    <xf numFmtId="0" fontId="48" fillId="11" borderId="129" xfId="0" applyFont="1" applyFill="1" applyBorder="1" applyAlignment="1">
      <alignment horizontal="left" vertical="center"/>
    </xf>
    <xf numFmtId="0" fontId="48" fillId="20" borderId="137" xfId="0" applyFont="1" applyFill="1" applyBorder="1" applyAlignment="1">
      <alignment horizontal="left" vertical="center" wrapText="1"/>
    </xf>
    <xf numFmtId="0" fontId="48" fillId="20" borderId="125" xfId="0" applyFont="1" applyFill="1" applyBorder="1" applyAlignment="1">
      <alignment horizontal="left" vertical="center" wrapText="1"/>
    </xf>
    <xf numFmtId="0" fontId="0" fillId="14" borderId="105" xfId="0" applyFill="1" applyBorder="1"/>
    <xf numFmtId="0" fontId="0" fillId="14" borderId="106" xfId="0" applyFill="1" applyBorder="1"/>
    <xf numFmtId="2" fontId="0" fillId="14" borderId="107" xfId="0" applyNumberFormat="1" applyFill="1" applyBorder="1"/>
    <xf numFmtId="0" fontId="0" fillId="14" borderId="126" xfId="0" applyFill="1" applyBorder="1"/>
    <xf numFmtId="0" fontId="0" fillId="14" borderId="137" xfId="0" applyFill="1" applyBorder="1"/>
    <xf numFmtId="2" fontId="0" fillId="14" borderId="127" xfId="0" applyNumberFormat="1" applyFill="1" applyBorder="1"/>
    <xf numFmtId="0" fontId="0" fillId="14" borderId="128" xfId="0" applyFill="1" applyBorder="1"/>
    <xf numFmtId="0" fontId="0" fillId="14" borderId="125" xfId="0" applyFill="1" applyBorder="1"/>
    <xf numFmtId="2" fontId="0" fillId="14" borderId="129" xfId="0" applyNumberFormat="1" applyFill="1" applyBorder="1"/>
    <xf numFmtId="0" fontId="56" fillId="7" borderId="134" xfId="0" applyFont="1" applyFill="1" applyBorder="1" applyAlignment="1">
      <alignment horizontal="left" vertical="center"/>
    </xf>
    <xf numFmtId="0" fontId="56" fillId="7" borderId="135" xfId="0" applyFont="1" applyFill="1" applyBorder="1" applyAlignment="1">
      <alignment horizontal="left" vertical="center" wrapText="1"/>
    </xf>
    <xf numFmtId="0" fontId="56" fillId="7" borderId="72" xfId="0" applyFont="1" applyFill="1" applyBorder="1" applyAlignment="1">
      <alignment vertical="center" wrapText="1"/>
    </xf>
    <xf numFmtId="0" fontId="48" fillId="5" borderId="137" xfId="0" applyFont="1" applyFill="1" applyBorder="1" applyAlignment="1">
      <alignment horizontal="left" vertical="center"/>
    </xf>
    <xf numFmtId="0" fontId="52" fillId="0" borderId="0" xfId="6" applyFont="1" applyAlignment="1">
      <alignment horizontal="center" vertical="center"/>
    </xf>
    <xf numFmtId="0" fontId="55" fillId="7" borderId="139" xfId="6" applyFont="1" applyFill="1" applyBorder="1" applyAlignment="1">
      <alignment horizontal="left" vertical="center" wrapText="1"/>
    </xf>
    <xf numFmtId="0" fontId="55" fillId="0" borderId="0" xfId="6" applyFont="1" applyAlignment="1">
      <alignment horizontal="center" vertical="center"/>
    </xf>
    <xf numFmtId="0" fontId="45" fillId="0" borderId="140" xfId="6" applyFont="1" applyBorder="1" applyAlignment="1">
      <alignment horizontal="left"/>
    </xf>
    <xf numFmtId="0" fontId="48" fillId="0" borderId="141" xfId="6" applyFont="1" applyBorder="1" applyAlignment="1">
      <alignment horizontal="left" vertical="center" wrapText="1"/>
    </xf>
    <xf numFmtId="0" fontId="48" fillId="0" borderId="141" xfId="6" applyFont="1" applyBorder="1" applyAlignment="1">
      <alignment horizontal="center" vertical="center" wrapText="1"/>
    </xf>
    <xf numFmtId="0" fontId="45" fillId="0" borderId="141" xfId="6" applyFont="1" applyBorder="1" applyAlignment="1">
      <alignment horizontal="center"/>
    </xf>
    <xf numFmtId="0" fontId="48" fillId="0" borderId="142" xfId="6" applyFont="1" applyBorder="1" applyAlignment="1">
      <alignment horizontal="center" vertical="center" wrapText="1"/>
    </xf>
    <xf numFmtId="0" fontId="45" fillId="0" borderId="126" xfId="6" applyFont="1" applyBorder="1" applyAlignment="1">
      <alignment horizontal="left"/>
    </xf>
    <xf numFmtId="0" fontId="48" fillId="0" borderId="137" xfId="6" applyFont="1" applyBorder="1" applyAlignment="1">
      <alignment horizontal="left" vertical="center" wrapText="1"/>
    </xf>
    <xf numFmtId="0" fontId="48" fillId="0" borderId="137" xfId="6" applyFont="1" applyBorder="1" applyAlignment="1">
      <alignment horizontal="center" vertical="center" wrapText="1"/>
    </xf>
    <xf numFmtId="0" fontId="45" fillId="0" borderId="137" xfId="6" applyFont="1" applyBorder="1" applyAlignment="1">
      <alignment horizontal="center"/>
    </xf>
    <xf numFmtId="0" fontId="48" fillId="0" borderId="127" xfId="6" applyFont="1" applyBorder="1" applyAlignment="1">
      <alignment horizontal="center" vertical="center" wrapText="1"/>
    </xf>
    <xf numFmtId="0" fontId="45" fillId="0" borderId="137" xfId="6" applyFont="1" applyBorder="1" applyAlignment="1">
      <alignment horizontal="center" vertical="center" wrapText="1"/>
    </xf>
    <xf numFmtId="0" fontId="45" fillId="0" borderId="128" xfId="6" applyFont="1" applyBorder="1" applyAlignment="1">
      <alignment horizontal="left"/>
    </xf>
    <xf numFmtId="0" fontId="48" fillId="0" borderId="125" xfId="6" applyFont="1" applyBorder="1" applyAlignment="1">
      <alignment horizontal="left" vertical="center" wrapText="1"/>
    </xf>
    <xf numFmtId="0" fontId="48" fillId="0" borderId="125" xfId="6" applyFont="1" applyBorder="1" applyAlignment="1">
      <alignment horizontal="center" vertical="center" wrapText="1"/>
    </xf>
    <xf numFmtId="0" fontId="45" fillId="0" borderId="125" xfId="6" applyFont="1" applyBorder="1" applyAlignment="1">
      <alignment horizontal="center"/>
    </xf>
    <xf numFmtId="0" fontId="48" fillId="0" borderId="129" xfId="6" applyFont="1" applyBorder="1" applyAlignment="1">
      <alignment horizontal="center" vertical="center" wrapText="1"/>
    </xf>
    <xf numFmtId="0" fontId="48" fillId="5" borderId="137" xfId="0" applyFont="1" applyFill="1" applyBorder="1" applyAlignment="1">
      <alignment horizontal="center" vertical="center"/>
    </xf>
    <xf numFmtId="0" fontId="48" fillId="5" borderId="125" xfId="0" applyFont="1" applyFill="1" applyBorder="1" applyAlignment="1">
      <alignment horizontal="center" vertical="center"/>
    </xf>
    <xf numFmtId="0" fontId="48" fillId="5" borderId="137" xfId="0" quotePrefix="1" applyFont="1" applyFill="1" applyBorder="1" applyAlignment="1">
      <alignment horizontal="center" vertical="center"/>
    </xf>
    <xf numFmtId="0" fontId="48" fillId="5" borderId="13" xfId="0" applyFont="1" applyFill="1" applyBorder="1" applyAlignment="1">
      <alignment horizontal="center" vertical="center"/>
    </xf>
    <xf numFmtId="0" fontId="48" fillId="5" borderId="143" xfId="0" applyFont="1" applyFill="1" applyBorder="1" applyAlignment="1">
      <alignment horizontal="center" vertical="center"/>
    </xf>
    <xf numFmtId="169" fontId="0" fillId="5" borderId="137" xfId="0" quotePrefix="1" applyNumberFormat="1" applyFill="1" applyBorder="1" applyAlignment="1">
      <alignment horizontal="center" vertical="center"/>
    </xf>
    <xf numFmtId="0" fontId="0" fillId="5" borderId="137" xfId="0" applyFill="1" applyBorder="1" applyAlignment="1">
      <alignment horizontal="center" vertical="center"/>
    </xf>
    <xf numFmtId="0" fontId="45" fillId="18" borderId="116" xfId="0" applyFont="1" applyFill="1" applyBorder="1" applyAlignment="1">
      <alignment horizontal="left" vertical="center"/>
    </xf>
    <xf numFmtId="0" fontId="45" fillId="18" borderId="116" xfId="0" applyFont="1" applyFill="1" applyBorder="1" applyAlignment="1">
      <alignment horizontal="center" vertical="center"/>
    </xf>
    <xf numFmtId="0" fontId="45" fillId="18" borderId="116" xfId="0" quotePrefix="1" applyFont="1" applyFill="1" applyBorder="1" applyAlignment="1">
      <alignment horizontal="center" vertical="center"/>
    </xf>
    <xf numFmtId="0" fontId="45" fillId="18" borderId="117" xfId="0" applyFont="1" applyFill="1" applyBorder="1" applyAlignment="1">
      <alignment horizontal="center" vertical="center"/>
    </xf>
    <xf numFmtId="0" fontId="48" fillId="20" borderId="148" xfId="0" applyFont="1" applyFill="1" applyBorder="1" applyAlignment="1">
      <alignment horizontal="left" vertical="center"/>
    </xf>
    <xf numFmtId="0" fontId="48" fillId="20" borderId="149" xfId="0" applyFont="1" applyFill="1" applyBorder="1" applyAlignment="1">
      <alignment horizontal="left" vertical="center"/>
    </xf>
    <xf numFmtId="0" fontId="56" fillId="13" borderId="144" xfId="6" applyFont="1" applyFill="1" applyBorder="1" applyAlignment="1">
      <alignment horizontal="center" vertical="center"/>
    </xf>
    <xf numFmtId="0" fontId="56" fillId="13" borderId="145" xfId="6" applyFont="1" applyFill="1" applyBorder="1" applyAlignment="1">
      <alignment horizontal="left" vertical="center" wrapText="1"/>
    </xf>
    <xf numFmtId="0" fontId="56" fillId="13" borderId="145" xfId="6" applyFont="1" applyFill="1" applyBorder="1" applyAlignment="1">
      <alignment horizontal="center" vertical="center" wrapText="1"/>
    </xf>
    <xf numFmtId="0" fontId="56" fillId="13" borderId="146" xfId="6" applyFont="1" applyFill="1" applyBorder="1" applyAlignment="1">
      <alignment vertical="center"/>
    </xf>
    <xf numFmtId="0" fontId="45" fillId="8" borderId="150" xfId="0" quotePrefix="1" applyFont="1" applyFill="1" applyBorder="1" applyAlignment="1">
      <alignment horizontal="center" vertical="center"/>
    </xf>
    <xf numFmtId="0" fontId="45" fillId="8" borderId="150" xfId="0" applyFont="1" applyFill="1" applyBorder="1" applyAlignment="1">
      <alignment horizontal="center" vertical="center"/>
    </xf>
    <xf numFmtId="0" fontId="45" fillId="8" borderId="150" xfId="0" applyFont="1" applyFill="1" applyBorder="1" applyAlignment="1">
      <alignment horizontal="left" vertical="center"/>
    </xf>
    <xf numFmtId="0" fontId="45" fillId="21" borderId="150" xfId="0" applyFont="1" applyFill="1" applyBorder="1" applyAlignment="1">
      <alignment horizontal="center" vertical="center"/>
    </xf>
    <xf numFmtId="0" fontId="45" fillId="10" borderId="150" xfId="0" applyFont="1" applyFill="1" applyBorder="1" applyAlignment="1">
      <alignment horizontal="center" vertical="center"/>
    </xf>
    <xf numFmtId="0" fontId="45" fillId="22" borderId="150" xfId="0" applyFont="1" applyFill="1" applyBorder="1" applyAlignment="1">
      <alignment horizontal="center" vertical="center"/>
    </xf>
    <xf numFmtId="0" fontId="45" fillId="20" borderId="150" xfId="0" quotePrefix="1" applyFont="1" applyFill="1" applyBorder="1" applyAlignment="1">
      <alignment horizontal="center" vertical="center"/>
    </xf>
    <xf numFmtId="0" fontId="45" fillId="20" borderId="150" xfId="0" applyFont="1" applyFill="1" applyBorder="1" applyAlignment="1">
      <alignment horizontal="center" vertical="center"/>
    </xf>
    <xf numFmtId="0" fontId="45" fillId="12" borderId="150" xfId="0" applyFont="1" applyFill="1" applyBorder="1" applyAlignment="1">
      <alignment horizontal="center" vertical="center"/>
    </xf>
    <xf numFmtId="0" fontId="45" fillId="18" borderId="150" xfId="0" applyFont="1" applyFill="1" applyBorder="1" applyAlignment="1">
      <alignment horizontal="center" vertical="center"/>
    </xf>
    <xf numFmtId="0" fontId="45" fillId="9" borderId="150" xfId="0" applyFont="1" applyFill="1" applyBorder="1" applyAlignment="1">
      <alignment horizontal="center" vertical="center"/>
    </xf>
    <xf numFmtId="0" fontId="45" fillId="7" borderId="150" xfId="0" applyFont="1" applyFill="1" applyBorder="1" applyAlignment="1">
      <alignment horizontal="center" vertical="center"/>
    </xf>
    <xf numFmtId="0" fontId="45" fillId="16" borderId="150" xfId="0" applyFont="1" applyFill="1" applyBorder="1" applyAlignment="1">
      <alignment horizontal="center" vertical="center"/>
    </xf>
    <xf numFmtId="0" fontId="45" fillId="15" borderId="150" xfId="0" applyFont="1" applyFill="1" applyBorder="1" applyAlignment="1">
      <alignment horizontal="center" vertical="center"/>
    </xf>
    <xf numFmtId="0" fontId="45" fillId="15" borderId="150" xfId="0" quotePrefix="1" applyFont="1" applyFill="1" applyBorder="1" applyAlignment="1">
      <alignment horizontal="center" vertical="center"/>
    </xf>
    <xf numFmtId="0" fontId="45" fillId="4" borderId="150" xfId="0" applyFont="1" applyFill="1" applyBorder="1" applyAlignment="1">
      <alignment horizontal="center" vertical="center"/>
    </xf>
    <xf numFmtId="0" fontId="48" fillId="5" borderId="150" xfId="0" applyFont="1" applyFill="1" applyBorder="1" applyAlignment="1">
      <alignment horizontal="center" vertical="center"/>
    </xf>
    <xf numFmtId="0" fontId="52" fillId="10" borderId="150" xfId="0" applyFont="1" applyFill="1" applyBorder="1" applyAlignment="1">
      <alignment horizontal="center" vertical="center" wrapText="1"/>
    </xf>
    <xf numFmtId="0" fontId="17" fillId="0" borderId="0" xfId="24" applyAlignment="1">
      <alignment horizontal="left" vertical="center"/>
    </xf>
    <xf numFmtId="0" fontId="45" fillId="0" borderId="87" xfId="0" applyFont="1" applyBorder="1" applyAlignment="1">
      <alignment horizontal="left" vertical="center"/>
    </xf>
    <xf numFmtId="0" fontId="48" fillId="0" borderId="87" xfId="0" applyFont="1" applyBorder="1" applyAlignment="1">
      <alignment horizontal="left" vertical="center"/>
    </xf>
    <xf numFmtId="0" fontId="48" fillId="0" borderId="87" xfId="0" applyFont="1" applyBorder="1" applyAlignment="1">
      <alignment horizontal="left"/>
    </xf>
    <xf numFmtId="0" fontId="48" fillId="0" borderId="87" xfId="0" applyFont="1" applyBorder="1" applyAlignment="1">
      <alignment horizontal="center" vertical="center"/>
    </xf>
    <xf numFmtId="2" fontId="52" fillId="10" borderId="150" xfId="0" applyNumberFormat="1" applyFont="1" applyFill="1" applyBorder="1" applyAlignment="1">
      <alignment horizontal="left" vertical="center" wrapText="1"/>
    </xf>
    <xf numFmtId="0" fontId="45" fillId="10" borderId="150" xfId="0" quotePrefix="1" applyFont="1" applyFill="1" applyBorder="1" applyAlignment="1">
      <alignment horizontal="left" vertical="center"/>
    </xf>
    <xf numFmtId="0" fontId="48" fillId="10" borderId="150" xfId="0" applyFont="1" applyFill="1" applyBorder="1" applyAlignment="1">
      <alignment horizontal="left" vertical="center" wrapText="1"/>
    </xf>
    <xf numFmtId="0" fontId="45" fillId="10" borderId="150" xfId="0" applyFont="1" applyFill="1" applyBorder="1" applyAlignment="1">
      <alignment horizontal="left" vertical="center"/>
    </xf>
    <xf numFmtId="0" fontId="45" fillId="8" borderId="150" xfId="0" applyFont="1" applyFill="1" applyBorder="1"/>
    <xf numFmtId="0" fontId="45" fillId="8" borderId="150" xfId="0" quotePrefix="1" applyFont="1" applyFill="1" applyBorder="1" applyAlignment="1">
      <alignment horizontal="left" vertical="center"/>
    </xf>
    <xf numFmtId="0" fontId="45" fillId="8" borderId="150" xfId="0" applyFont="1" applyFill="1" applyBorder="1" applyAlignment="1">
      <alignment horizontal="center" vertical="center" wrapText="1"/>
    </xf>
    <xf numFmtId="0" fontId="47" fillId="21" borderId="150" xfId="0" applyFont="1" applyFill="1" applyBorder="1" applyAlignment="1">
      <alignment horizontal="center"/>
    </xf>
    <xf numFmtId="0" fontId="45" fillId="21" borderId="150" xfId="0" applyFont="1" applyFill="1" applyBorder="1"/>
    <xf numFmtId="0" fontId="45" fillId="21" borderId="150" xfId="0" quotePrefix="1" applyFont="1" applyFill="1" applyBorder="1" applyAlignment="1">
      <alignment horizontal="center" vertical="center"/>
    </xf>
    <xf numFmtId="0" fontId="45" fillId="21" borderId="150" xfId="0" quotePrefix="1" applyFont="1" applyFill="1" applyBorder="1" applyAlignment="1">
      <alignment horizontal="left" vertical="center"/>
    </xf>
    <xf numFmtId="0" fontId="45" fillId="21" borderId="150" xfId="0" applyFont="1" applyFill="1" applyBorder="1" applyAlignment="1">
      <alignment horizontal="left" vertical="center"/>
    </xf>
    <xf numFmtId="0" fontId="47" fillId="10" borderId="150" xfId="0" applyFont="1" applyFill="1" applyBorder="1" applyAlignment="1">
      <alignment horizontal="center"/>
    </xf>
    <xf numFmtId="0" fontId="45" fillId="10" borderId="150" xfId="0" applyFont="1" applyFill="1" applyBorder="1"/>
    <xf numFmtId="0" fontId="45" fillId="10" borderId="150" xfId="0" quotePrefix="1" applyFont="1" applyFill="1" applyBorder="1" applyAlignment="1">
      <alignment horizontal="center" vertical="center"/>
    </xf>
    <xf numFmtId="0" fontId="47" fillId="22" borderId="150" xfId="0" applyFont="1" applyFill="1" applyBorder="1" applyAlignment="1">
      <alignment horizontal="center"/>
    </xf>
    <xf numFmtId="0" fontId="45" fillId="22" borderId="150" xfId="0" applyFont="1" applyFill="1" applyBorder="1"/>
    <xf numFmtId="0" fontId="45" fillId="22" borderId="150" xfId="0" applyFont="1" applyFill="1" applyBorder="1" applyAlignment="1">
      <alignment horizontal="left" vertical="center"/>
    </xf>
    <xf numFmtId="0" fontId="47" fillId="20" borderId="150" xfId="0" applyFont="1" applyFill="1" applyBorder="1" applyAlignment="1">
      <alignment horizontal="center"/>
    </xf>
    <xf numFmtId="0" fontId="45" fillId="20" borderId="150" xfId="0" applyFont="1" applyFill="1" applyBorder="1"/>
    <xf numFmtId="0" fontId="45" fillId="20" borderId="150" xfId="0" quotePrefix="1" applyFont="1" applyFill="1" applyBorder="1" applyAlignment="1">
      <alignment horizontal="left" vertical="center"/>
    </xf>
    <xf numFmtId="0" fontId="45" fillId="20" borderId="150" xfId="0" applyFont="1" applyFill="1" applyBorder="1" applyAlignment="1">
      <alignment horizontal="left" vertical="center"/>
    </xf>
    <xf numFmtId="0" fontId="47" fillId="12" borderId="150" xfId="0" applyFont="1" applyFill="1" applyBorder="1" applyAlignment="1">
      <alignment horizontal="center"/>
    </xf>
    <xf numFmtId="0" fontId="45" fillId="12" borderId="150" xfId="0" applyFont="1" applyFill="1" applyBorder="1"/>
    <xf numFmtId="0" fontId="45" fillId="12" borderId="150" xfId="0" quotePrefix="1" applyFont="1" applyFill="1" applyBorder="1" applyAlignment="1">
      <alignment horizontal="center" vertical="center"/>
    </xf>
    <xf numFmtId="0" fontId="45" fillId="12" borderId="150" xfId="0" quotePrefix="1" applyFont="1" applyFill="1" applyBorder="1" applyAlignment="1">
      <alignment horizontal="left" vertical="center"/>
    </xf>
    <xf numFmtId="0" fontId="45" fillId="12" borderId="150" xfId="0" applyFont="1" applyFill="1" applyBorder="1" applyAlignment="1">
      <alignment horizontal="left" vertical="center"/>
    </xf>
    <xf numFmtId="0" fontId="47" fillId="18" borderId="150" xfId="0" applyFont="1" applyFill="1" applyBorder="1" applyAlignment="1">
      <alignment horizontal="center"/>
    </xf>
    <xf numFmtId="0" fontId="45" fillId="18" borderId="150" xfId="0" applyFont="1" applyFill="1" applyBorder="1"/>
    <xf numFmtId="0" fontId="45" fillId="18" borderId="150" xfId="0" quotePrefix="1" applyFont="1" applyFill="1" applyBorder="1" applyAlignment="1">
      <alignment horizontal="center" vertical="center"/>
    </xf>
    <xf numFmtId="0" fontId="45" fillId="18" borderId="150" xfId="0" quotePrefix="1" applyFont="1" applyFill="1" applyBorder="1" applyAlignment="1">
      <alignment horizontal="left" vertical="center"/>
    </xf>
    <xf numFmtId="0" fontId="45" fillId="18" borderId="150" xfId="0" applyFont="1" applyFill="1" applyBorder="1" applyAlignment="1">
      <alignment horizontal="left" vertical="center"/>
    </xf>
    <xf numFmtId="0" fontId="47" fillId="9" borderId="150" xfId="0" applyFont="1" applyFill="1" applyBorder="1" applyAlignment="1">
      <alignment horizontal="center"/>
    </xf>
    <xf numFmtId="0" fontId="45" fillId="9" borderId="150" xfId="0" applyFont="1" applyFill="1" applyBorder="1"/>
    <xf numFmtId="0" fontId="45" fillId="9" borderId="150" xfId="0" applyFont="1" applyFill="1" applyBorder="1" applyAlignment="1">
      <alignment horizontal="left" vertical="center"/>
    </xf>
    <xf numFmtId="0" fontId="45" fillId="9" borderId="150" xfId="0" quotePrefix="1" applyFont="1" applyFill="1" applyBorder="1" applyAlignment="1">
      <alignment horizontal="left" vertical="center"/>
    </xf>
    <xf numFmtId="16" fontId="45" fillId="9" borderId="150" xfId="0" quotePrefix="1" applyNumberFormat="1" applyFont="1" applyFill="1" applyBorder="1" applyAlignment="1">
      <alignment horizontal="center" vertical="center"/>
    </xf>
    <xf numFmtId="0" fontId="45" fillId="9" borderId="150" xfId="0" quotePrefix="1" applyFont="1" applyFill="1" applyBorder="1" applyAlignment="1">
      <alignment horizontal="center" vertical="center"/>
    </xf>
    <xf numFmtId="0" fontId="48" fillId="7" borderId="150" xfId="0" applyFont="1" applyFill="1" applyBorder="1"/>
    <xf numFmtId="0" fontId="45" fillId="7" borderId="150" xfId="0" quotePrefix="1" applyFont="1" applyFill="1" applyBorder="1" applyAlignment="1">
      <alignment horizontal="center" vertical="center"/>
    </xf>
    <xf numFmtId="0" fontId="48" fillId="7" borderId="150" xfId="3" quotePrefix="1" applyFont="1" applyFill="1" applyBorder="1" applyAlignment="1">
      <alignment horizontal="center" vertical="center" wrapText="1"/>
    </xf>
    <xf numFmtId="0" fontId="45" fillId="7" borderId="150" xfId="0" quotePrefix="1" applyFont="1" applyFill="1" applyBorder="1" applyAlignment="1">
      <alignment horizontal="left" vertical="center"/>
    </xf>
    <xf numFmtId="0" fontId="45" fillId="7" borderId="150" xfId="0" applyFont="1" applyFill="1" applyBorder="1" applyAlignment="1">
      <alignment horizontal="left" vertical="center"/>
    </xf>
    <xf numFmtId="0" fontId="48" fillId="7" borderId="150" xfId="0" applyFont="1" applyFill="1" applyBorder="1" applyAlignment="1">
      <alignment horizontal="left"/>
    </xf>
    <xf numFmtId="0" fontId="45" fillId="7" borderId="150" xfId="0" applyFont="1" applyFill="1" applyBorder="1" applyAlignment="1">
      <alignment horizontal="left" vertical="center" wrapText="1"/>
    </xf>
    <xf numFmtId="0" fontId="45" fillId="7" borderId="150" xfId="0" quotePrefix="1" applyFont="1" applyFill="1" applyBorder="1" applyAlignment="1">
      <alignment horizontal="left" vertical="center" wrapText="1"/>
    </xf>
    <xf numFmtId="0" fontId="48" fillId="7" borderId="150" xfId="3" quotePrefix="1" applyFont="1" applyFill="1" applyBorder="1" applyAlignment="1">
      <alignment horizontal="left" vertical="center" wrapText="1"/>
    </xf>
    <xf numFmtId="0" fontId="47" fillId="16" borderId="150" xfId="0" applyFont="1" applyFill="1" applyBorder="1" applyAlignment="1">
      <alignment horizontal="center" vertical="center"/>
    </xf>
    <xf numFmtId="0" fontId="45" fillId="16" borderId="150" xfId="0" applyFont="1" applyFill="1" applyBorder="1" applyAlignment="1">
      <alignment horizontal="left" vertical="center"/>
    </xf>
    <xf numFmtId="0" fontId="45" fillId="16" borderId="150" xfId="0" quotePrefix="1" applyFont="1" applyFill="1" applyBorder="1" applyAlignment="1">
      <alignment horizontal="center" vertical="center"/>
    </xf>
    <xf numFmtId="0" fontId="48" fillId="16" borderId="150" xfId="3" quotePrefix="1" applyFont="1" applyFill="1" applyBorder="1" applyAlignment="1">
      <alignment horizontal="center" vertical="center" wrapText="1"/>
    </xf>
    <xf numFmtId="0" fontId="45" fillId="16" borderId="150" xfId="0" quotePrefix="1" applyFont="1" applyFill="1" applyBorder="1" applyAlignment="1">
      <alignment horizontal="left" vertical="center"/>
    </xf>
    <xf numFmtId="0" fontId="48" fillId="16" borderId="150" xfId="0" applyFont="1" applyFill="1" applyBorder="1"/>
    <xf numFmtId="0" fontId="48" fillId="15" borderId="150" xfId="0" applyFont="1" applyFill="1" applyBorder="1"/>
    <xf numFmtId="0" fontId="45" fillId="15" borderId="150" xfId="0" quotePrefix="1" applyFont="1" applyFill="1" applyBorder="1" applyAlignment="1">
      <alignment horizontal="left" vertical="center"/>
    </xf>
    <xf numFmtId="0" fontId="45" fillId="15" borderId="150" xfId="0" applyFont="1" applyFill="1" applyBorder="1" applyAlignment="1">
      <alignment horizontal="left" vertical="center"/>
    </xf>
    <xf numFmtId="0" fontId="47" fillId="4" borderId="150" xfId="0" applyFont="1" applyFill="1" applyBorder="1" applyAlignment="1">
      <alignment horizontal="center" vertical="center"/>
    </xf>
    <xf numFmtId="0" fontId="45" fillId="4" borderId="150" xfId="0" applyFont="1" applyFill="1" applyBorder="1" applyAlignment="1">
      <alignment horizontal="left" vertical="center"/>
    </xf>
    <xf numFmtId="0" fontId="45" fillId="4" borderId="150" xfId="0" quotePrefix="1" applyFont="1" applyFill="1" applyBorder="1" applyAlignment="1">
      <alignment horizontal="center" vertical="center"/>
    </xf>
    <xf numFmtId="0" fontId="47" fillId="18" borderId="150" xfId="0" applyFont="1" applyFill="1" applyBorder="1" applyAlignment="1">
      <alignment horizontal="center" vertical="center"/>
    </xf>
    <xf numFmtId="0" fontId="52" fillId="10" borderId="150" xfId="0" applyFont="1" applyFill="1" applyBorder="1" applyAlignment="1">
      <alignment horizontal="left" vertical="center" wrapText="1"/>
    </xf>
    <xf numFmtId="0" fontId="48" fillId="8" borderId="6" xfId="0" applyFont="1" applyFill="1" applyBorder="1" applyAlignment="1">
      <alignment horizontal="left" vertical="center" wrapText="1"/>
    </xf>
    <xf numFmtId="0" fontId="48" fillId="8" borderId="150" xfId="0" applyFont="1" applyFill="1" applyBorder="1" applyAlignment="1">
      <alignment horizontal="left" vertical="center" wrapText="1"/>
    </xf>
    <xf numFmtId="0" fontId="56" fillId="7" borderId="156" xfId="0" applyFont="1" applyFill="1" applyBorder="1" applyAlignment="1">
      <alignment horizontal="left" vertical="center"/>
    </xf>
    <xf numFmtId="0" fontId="56" fillId="7" borderId="157" xfId="0" applyFont="1" applyFill="1" applyBorder="1" applyAlignment="1">
      <alignment horizontal="left" vertical="center" wrapText="1"/>
    </xf>
    <xf numFmtId="0" fontId="56" fillId="7" borderId="157" xfId="0" applyFont="1" applyFill="1" applyBorder="1" applyAlignment="1">
      <alignment horizontal="center" vertical="center" wrapText="1"/>
    </xf>
    <xf numFmtId="0" fontId="48" fillId="11" borderId="159" xfId="0" applyFont="1" applyFill="1" applyBorder="1" applyAlignment="1">
      <alignment horizontal="left" vertical="center"/>
    </xf>
    <xf numFmtId="0" fontId="48" fillId="11" borderId="90" xfId="0" applyFont="1" applyFill="1" applyBorder="1" applyAlignment="1">
      <alignment horizontal="left" vertical="center" wrapText="1"/>
    </xf>
    <xf numFmtId="2" fontId="48" fillId="11" borderId="160" xfId="0" applyNumberFormat="1" applyFont="1" applyFill="1" applyBorder="1" applyAlignment="1">
      <alignment horizontal="center" vertical="center" wrapText="1"/>
    </xf>
    <xf numFmtId="0" fontId="48" fillId="11" borderId="160" xfId="0" applyFont="1" applyFill="1" applyBorder="1" applyAlignment="1">
      <alignment horizontal="center" vertical="center" wrapText="1"/>
    </xf>
    <xf numFmtId="0" fontId="48" fillId="11" borderId="93" xfId="0" applyFont="1" applyFill="1" applyBorder="1" applyAlignment="1">
      <alignment horizontal="left" vertical="center"/>
    </xf>
    <xf numFmtId="2" fontId="48" fillId="11" borderId="90" xfId="0" applyNumberFormat="1" applyFont="1" applyFill="1" applyBorder="1" applyAlignment="1">
      <alignment horizontal="center" vertical="center" wrapText="1"/>
    </xf>
    <xf numFmtId="0" fontId="48" fillId="11" borderId="126" xfId="0" applyFont="1" applyFill="1" applyBorder="1" applyAlignment="1">
      <alignment horizontal="left" vertical="center"/>
    </xf>
    <xf numFmtId="0" fontId="52" fillId="11" borderId="126" xfId="0" applyFont="1" applyFill="1" applyBorder="1" applyAlignment="1">
      <alignment horizontal="left" vertical="center"/>
    </xf>
    <xf numFmtId="0" fontId="48" fillId="11" borderId="128" xfId="0" applyFont="1" applyFill="1" applyBorder="1" applyAlignment="1">
      <alignment horizontal="left" vertical="center"/>
    </xf>
    <xf numFmtId="1" fontId="48" fillId="19" borderId="116" xfId="0" applyNumberFormat="1" applyFont="1" applyFill="1" applyBorder="1" applyAlignment="1">
      <alignment horizontal="center" vertical="center"/>
    </xf>
    <xf numFmtId="0" fontId="90" fillId="19" borderId="126" xfId="0" applyFont="1" applyFill="1" applyBorder="1" applyAlignment="1">
      <alignment horizontal="left" vertical="center"/>
    </xf>
    <xf numFmtId="0" fontId="48" fillId="19" borderId="128" xfId="0" applyFont="1" applyFill="1" applyBorder="1" applyAlignment="1">
      <alignment horizontal="left" vertical="center"/>
    </xf>
    <xf numFmtId="166" fontId="48" fillId="19" borderId="125" xfId="0" applyNumberFormat="1" applyFont="1" applyFill="1" applyBorder="1" applyAlignment="1">
      <alignment horizontal="center" vertical="center"/>
    </xf>
    <xf numFmtId="166" fontId="52" fillId="11" borderId="137" xfId="0" applyNumberFormat="1" applyFont="1" applyFill="1" applyBorder="1" applyAlignment="1">
      <alignment horizontal="center" vertical="center" wrapText="1"/>
    </xf>
    <xf numFmtId="0" fontId="52" fillId="11" borderId="137" xfId="0" quotePrefix="1" applyFont="1" applyFill="1" applyBorder="1" applyAlignment="1">
      <alignment horizontal="center" vertical="center" wrapText="1"/>
    </xf>
    <xf numFmtId="0" fontId="48" fillId="9" borderId="147" xfId="0" applyFont="1" applyFill="1" applyBorder="1" applyAlignment="1">
      <alignment horizontal="left" vertical="center"/>
    </xf>
    <xf numFmtId="0" fontId="48" fillId="9" borderId="148" xfId="0" applyFont="1" applyFill="1" applyBorder="1" applyAlignment="1">
      <alignment horizontal="left" vertical="center"/>
    </xf>
    <xf numFmtId="0" fontId="48" fillId="9" borderId="148" xfId="0" applyFont="1" applyFill="1" applyBorder="1" applyAlignment="1">
      <alignment horizontal="center" vertical="center"/>
    </xf>
    <xf numFmtId="0" fontId="48" fillId="9" borderId="137" xfId="0" applyFont="1" applyFill="1" applyBorder="1" applyAlignment="1">
      <alignment horizontal="left" vertical="center"/>
    </xf>
    <xf numFmtId="0" fontId="48" fillId="9" borderId="137" xfId="0" applyFont="1" applyFill="1" applyBorder="1" applyAlignment="1">
      <alignment horizontal="center" vertical="center"/>
    </xf>
    <xf numFmtId="0" fontId="48" fillId="9" borderId="93" xfId="0" applyFont="1" applyFill="1" applyBorder="1" applyAlignment="1">
      <alignment horizontal="left" vertical="center"/>
    </xf>
    <xf numFmtId="0" fontId="48" fillId="9" borderId="90" xfId="0" applyFont="1" applyFill="1" applyBorder="1" applyAlignment="1">
      <alignment horizontal="left" vertical="center"/>
    </xf>
    <xf numFmtId="0" fontId="48" fillId="9" borderId="90" xfId="0" applyFont="1" applyFill="1" applyBorder="1" applyAlignment="1">
      <alignment horizontal="center" vertical="center"/>
    </xf>
    <xf numFmtId="0" fontId="55" fillId="2" borderId="0" xfId="0" applyFont="1" applyFill="1" applyAlignment="1">
      <alignment horizontal="left" vertical="center"/>
    </xf>
    <xf numFmtId="0" fontId="48" fillId="9" borderId="128" xfId="0" applyFont="1" applyFill="1" applyBorder="1" applyAlignment="1">
      <alignment horizontal="left" vertical="center"/>
    </xf>
    <xf numFmtId="0" fontId="48" fillId="9" borderId="125" xfId="0" applyFont="1" applyFill="1" applyBorder="1" applyAlignment="1">
      <alignment horizontal="left" vertical="center"/>
    </xf>
    <xf numFmtId="0" fontId="48" fillId="9" borderId="125" xfId="0" applyFont="1" applyFill="1" applyBorder="1" applyAlignment="1">
      <alignment horizontal="center" vertical="center"/>
    </xf>
    <xf numFmtId="165" fontId="55" fillId="2" borderId="0" xfId="0" applyNumberFormat="1" applyFont="1" applyFill="1" applyAlignment="1">
      <alignment horizontal="center" vertical="center"/>
    </xf>
    <xf numFmtId="0" fontId="48" fillId="20" borderId="147" xfId="0" applyFont="1" applyFill="1" applyBorder="1" applyAlignment="1">
      <alignment horizontal="left" vertical="center" wrapText="1"/>
    </xf>
    <xf numFmtId="0" fontId="48" fillId="20" borderId="148" xfId="0" applyFont="1" applyFill="1" applyBorder="1" applyAlignment="1">
      <alignment horizontal="center" vertical="center"/>
    </xf>
    <xf numFmtId="166" fontId="48" fillId="20" borderId="148" xfId="0" applyNumberFormat="1" applyFont="1" applyFill="1" applyBorder="1" applyAlignment="1">
      <alignment horizontal="center" vertical="center"/>
    </xf>
    <xf numFmtId="0" fontId="48" fillId="20" borderId="148" xfId="0" quotePrefix="1" applyFont="1" applyFill="1" applyBorder="1" applyAlignment="1">
      <alignment horizontal="center" vertical="center"/>
    </xf>
    <xf numFmtId="0" fontId="56" fillId="7" borderId="163" xfId="0" applyFont="1" applyFill="1" applyBorder="1" applyAlignment="1">
      <alignment horizontal="left" vertical="center"/>
    </xf>
    <xf numFmtId="0" fontId="56" fillId="7" borderId="164" xfId="0" applyFont="1" applyFill="1" applyBorder="1" applyAlignment="1">
      <alignment horizontal="left" vertical="center" wrapText="1"/>
    </xf>
    <xf numFmtId="0" fontId="56" fillId="7" borderId="164" xfId="0" applyFont="1" applyFill="1" applyBorder="1" applyAlignment="1">
      <alignment horizontal="center" vertical="center" wrapText="1"/>
    </xf>
    <xf numFmtId="0" fontId="48" fillId="9" borderId="126" xfId="0" applyFont="1" applyFill="1" applyBorder="1" applyAlignment="1">
      <alignment horizontal="left" vertical="center" wrapText="1"/>
    </xf>
    <xf numFmtId="2" fontId="48" fillId="9" borderId="137" xfId="0" applyNumberFormat="1" applyFont="1" applyFill="1" applyBorder="1" applyAlignment="1">
      <alignment horizontal="left" vertical="center" wrapText="1"/>
    </xf>
    <xf numFmtId="2" fontId="48" fillId="9" borderId="137" xfId="0" applyNumberFormat="1" applyFont="1" applyFill="1" applyBorder="1" applyAlignment="1">
      <alignment horizontal="center" vertical="center" wrapText="1"/>
    </xf>
    <xf numFmtId="0" fontId="48" fillId="9" borderId="137" xfId="0" applyFont="1" applyFill="1" applyBorder="1" applyAlignment="1">
      <alignment horizontal="center" vertical="center" wrapText="1"/>
    </xf>
    <xf numFmtId="0" fontId="45" fillId="18" borderId="137" xfId="0" applyFont="1" applyFill="1" applyBorder="1" applyAlignment="1">
      <alignment horizontal="center" vertical="center"/>
    </xf>
    <xf numFmtId="0" fontId="48" fillId="5" borderId="166" xfId="0" applyFont="1" applyFill="1" applyBorder="1" applyAlignment="1">
      <alignment horizontal="center" vertical="center"/>
    </xf>
    <xf numFmtId="0" fontId="45" fillId="5" borderId="137" xfId="0" applyFont="1" applyFill="1" applyBorder="1" applyAlignment="1">
      <alignment horizontal="center" vertical="center"/>
    </xf>
    <xf numFmtId="0" fontId="45" fillId="5" borderId="125" xfId="0" applyFont="1" applyFill="1" applyBorder="1" applyAlignment="1">
      <alignment horizontal="center" vertical="center"/>
    </xf>
    <xf numFmtId="166" fontId="0" fillId="0" borderId="0" xfId="0" applyNumberFormat="1" applyAlignment="1">
      <alignment horizontal="left"/>
    </xf>
    <xf numFmtId="0" fontId="45" fillId="5" borderId="166" xfId="0" applyFont="1" applyFill="1" applyBorder="1" applyAlignment="1">
      <alignment horizontal="center" vertical="center"/>
    </xf>
    <xf numFmtId="0" fontId="48" fillId="11" borderId="127" xfId="0" applyFont="1" applyFill="1" applyBorder="1" applyAlignment="1">
      <alignment horizontal="left" vertical="center"/>
    </xf>
    <xf numFmtId="0" fontId="48" fillId="9" borderId="127" xfId="0" applyFont="1" applyFill="1" applyBorder="1" applyAlignment="1">
      <alignment horizontal="left" vertical="center"/>
    </xf>
    <xf numFmtId="0" fontId="48" fillId="20" borderId="93" xfId="0" applyFont="1" applyFill="1" applyBorder="1" applyAlignment="1">
      <alignment horizontal="left" vertical="center" wrapText="1"/>
    </xf>
    <xf numFmtId="0" fontId="48" fillId="39" borderId="93" xfId="2" applyFont="1" applyFill="1" applyBorder="1" applyAlignment="1">
      <alignment horizontal="left" vertical="center" wrapText="1"/>
    </xf>
    <xf numFmtId="2" fontId="48" fillId="24" borderId="137" xfId="0" applyNumberFormat="1" applyFont="1" applyFill="1" applyBorder="1" applyAlignment="1">
      <alignment horizontal="center" vertical="center" wrapText="1"/>
    </xf>
    <xf numFmtId="0" fontId="48" fillId="24" borderId="137" xfId="0" applyFont="1" applyFill="1" applyBorder="1" applyAlignment="1">
      <alignment horizontal="center" vertical="center" wrapText="1"/>
    </xf>
    <xf numFmtId="0" fontId="79" fillId="23" borderId="169" xfId="24" applyFont="1" applyFill="1" applyBorder="1" applyAlignment="1">
      <alignment horizontal="left" vertical="center"/>
    </xf>
    <xf numFmtId="0" fontId="79" fillId="23" borderId="170" xfId="24" applyFont="1" applyFill="1" applyBorder="1" applyAlignment="1">
      <alignment horizontal="left" vertical="center"/>
    </xf>
    <xf numFmtId="0" fontId="79" fillId="23" borderId="171" xfId="24" applyFont="1" applyFill="1" applyBorder="1" applyAlignment="1">
      <alignment horizontal="left" vertical="center"/>
    </xf>
    <xf numFmtId="0" fontId="79" fillId="23" borderId="172" xfId="24" applyFont="1" applyFill="1" applyBorder="1" applyAlignment="1">
      <alignment horizontal="left" vertical="center"/>
    </xf>
    <xf numFmtId="0" fontId="48" fillId="0" borderId="87" xfId="0" applyFont="1" applyBorder="1" applyAlignment="1">
      <alignment horizontal="left" vertical="center" wrapText="1"/>
    </xf>
    <xf numFmtId="0" fontId="48" fillId="15" borderId="137" xfId="0" applyFont="1" applyFill="1" applyBorder="1" applyAlignment="1">
      <alignment horizontal="center" vertical="center" wrapText="1"/>
    </xf>
    <xf numFmtId="1" fontId="48" fillId="15" borderId="137" xfId="0" applyNumberFormat="1" applyFont="1" applyFill="1" applyBorder="1" applyAlignment="1">
      <alignment horizontal="center" vertical="center" wrapText="1"/>
    </xf>
    <xf numFmtId="0" fontId="48" fillId="9" borderId="167" xfId="0" applyFont="1" applyFill="1" applyBorder="1" applyAlignment="1">
      <alignment horizontal="left" vertical="center"/>
    </xf>
    <xf numFmtId="0" fontId="48" fillId="9" borderId="166" xfId="0" applyFont="1" applyFill="1" applyBorder="1" applyAlignment="1">
      <alignment horizontal="center" vertical="center" wrapText="1"/>
    </xf>
    <xf numFmtId="0" fontId="52" fillId="9" borderId="166" xfId="0" applyFont="1" applyFill="1" applyBorder="1" applyAlignment="1">
      <alignment horizontal="center" vertical="center" wrapText="1"/>
    </xf>
    <xf numFmtId="0" fontId="48" fillId="9" borderId="168" xfId="0" applyFont="1" applyFill="1" applyBorder="1" applyAlignment="1">
      <alignment horizontal="left" vertical="center"/>
    </xf>
    <xf numFmtId="0" fontId="52" fillId="9" borderId="137" xfId="0" applyFont="1" applyFill="1" applyBorder="1" applyAlignment="1">
      <alignment horizontal="center" vertical="center" wrapText="1"/>
    </xf>
    <xf numFmtId="0" fontId="48" fillId="9" borderId="137" xfId="0" applyFont="1" applyFill="1" applyBorder="1" applyAlignment="1">
      <alignment horizontal="left" vertical="center" wrapText="1"/>
    </xf>
    <xf numFmtId="166" fontId="48" fillId="9" borderId="137" xfId="0" applyNumberFormat="1" applyFont="1" applyFill="1" applyBorder="1" applyAlignment="1">
      <alignment horizontal="center" vertical="center" wrapText="1"/>
    </xf>
    <xf numFmtId="166" fontId="48" fillId="9" borderId="125" xfId="0" applyNumberFormat="1" applyFont="1" applyFill="1" applyBorder="1" applyAlignment="1">
      <alignment horizontal="center" vertical="center" wrapText="1"/>
    </xf>
    <xf numFmtId="0" fontId="52" fillId="9" borderId="125" xfId="0" applyFont="1" applyFill="1" applyBorder="1" applyAlignment="1">
      <alignment horizontal="center" vertical="center" wrapText="1"/>
    </xf>
    <xf numFmtId="0" fontId="48" fillId="9" borderId="129" xfId="0" applyFont="1" applyFill="1" applyBorder="1" applyAlignment="1">
      <alignment horizontal="left" vertical="center"/>
    </xf>
    <xf numFmtId="0" fontId="52" fillId="15" borderId="137" xfId="0" applyFont="1" applyFill="1" applyBorder="1" applyAlignment="1">
      <alignment horizontal="left" vertical="center" wrapText="1"/>
    </xf>
    <xf numFmtId="0" fontId="52" fillId="15" borderId="137" xfId="0" applyFont="1" applyFill="1" applyBorder="1" applyAlignment="1">
      <alignment horizontal="center" vertical="center" wrapText="1"/>
    </xf>
    <xf numFmtId="0" fontId="48" fillId="15" borderId="137" xfId="0" applyFont="1" applyFill="1" applyBorder="1" applyAlignment="1">
      <alignment horizontal="center" vertical="center"/>
    </xf>
    <xf numFmtId="0" fontId="52" fillId="15" borderId="127" xfId="0" applyFont="1" applyFill="1" applyBorder="1" applyAlignment="1">
      <alignment horizontal="left" vertical="center" wrapText="1"/>
    </xf>
    <xf numFmtId="166" fontId="48" fillId="11" borderId="137" xfId="0" applyNumberFormat="1" applyFont="1" applyFill="1" applyBorder="1" applyAlignment="1">
      <alignment horizontal="center" vertical="center" wrapText="1"/>
    </xf>
    <xf numFmtId="0" fontId="17" fillId="0" borderId="0" xfId="24" applyAlignment="1">
      <alignment horizontal="left" vertical="center" wrapText="1"/>
    </xf>
    <xf numFmtId="0" fontId="79" fillId="23" borderId="172" xfId="24" applyFont="1" applyFill="1" applyBorder="1" applyAlignment="1">
      <alignment horizontal="left" vertical="center" wrapText="1"/>
    </xf>
    <xf numFmtId="0" fontId="0" fillId="0" borderId="0" xfId="0" applyAlignment="1">
      <alignment wrapText="1"/>
    </xf>
    <xf numFmtId="0" fontId="47" fillId="7" borderId="182" xfId="0" applyFont="1" applyFill="1" applyBorder="1" applyAlignment="1">
      <alignment horizontal="center" vertical="center" wrapText="1"/>
    </xf>
    <xf numFmtId="0" fontId="56" fillId="7" borderId="185" xfId="0" applyFont="1" applyFill="1" applyBorder="1" applyAlignment="1">
      <alignment horizontal="left" vertical="center"/>
    </xf>
    <xf numFmtId="0" fontId="56" fillId="7" borderId="186" xfId="0" applyFont="1" applyFill="1" applyBorder="1" applyAlignment="1">
      <alignment horizontal="left" vertical="center" wrapText="1"/>
    </xf>
    <xf numFmtId="0" fontId="56" fillId="7" borderId="188" xfId="0" applyFont="1" applyFill="1" applyBorder="1" applyAlignment="1">
      <alignment horizontal="center"/>
    </xf>
    <xf numFmtId="0" fontId="56" fillId="7" borderId="188" xfId="0" applyFont="1" applyFill="1" applyBorder="1" applyAlignment="1">
      <alignment horizontal="left"/>
    </xf>
    <xf numFmtId="0" fontId="48" fillId="7" borderId="188" xfId="0" applyFont="1" applyFill="1" applyBorder="1" applyAlignment="1">
      <alignment horizontal="left" vertical="center" wrapText="1"/>
    </xf>
    <xf numFmtId="164" fontId="48" fillId="7" borderId="188" xfId="0" applyNumberFormat="1" applyFont="1" applyFill="1" applyBorder="1" applyAlignment="1">
      <alignment horizontal="center" vertical="center" wrapText="1"/>
    </xf>
    <xf numFmtId="0" fontId="48" fillId="7" borderId="188" xfId="0" applyFont="1" applyFill="1" applyBorder="1" applyAlignment="1">
      <alignment horizontal="center" vertical="center" wrapText="1"/>
    </xf>
    <xf numFmtId="0" fontId="56" fillId="7" borderId="188" xfId="0" applyFont="1" applyFill="1" applyBorder="1" applyAlignment="1">
      <alignment horizontal="center" vertical="center"/>
    </xf>
    <xf numFmtId="0" fontId="56" fillId="13" borderId="188" xfId="0" applyFont="1" applyFill="1" applyBorder="1" applyAlignment="1">
      <alignment horizontal="center" vertical="center"/>
    </xf>
    <xf numFmtId="0" fontId="48" fillId="8" borderId="126" xfId="0" applyFont="1" applyFill="1" applyBorder="1" applyAlignment="1">
      <alignment horizontal="left" vertical="center"/>
    </xf>
    <xf numFmtId="0" fontId="48" fillId="21" borderId="99" xfId="0" applyFont="1" applyFill="1" applyBorder="1" applyAlignment="1">
      <alignment horizontal="left" vertical="center"/>
    </xf>
    <xf numFmtId="0" fontId="48" fillId="21" borderId="97" xfId="0" applyFont="1" applyFill="1" applyBorder="1" applyAlignment="1">
      <alignment horizontal="left" vertical="center"/>
    </xf>
    <xf numFmtId="0" fontId="52" fillId="21" borderId="97" xfId="0" applyFont="1" applyFill="1" applyBorder="1" applyAlignment="1">
      <alignment horizontal="left" vertical="center"/>
    </xf>
    <xf numFmtId="0" fontId="48" fillId="21" borderId="93" xfId="0" applyFont="1" applyFill="1" applyBorder="1" applyAlignment="1">
      <alignment horizontal="left" vertical="center"/>
    </xf>
    <xf numFmtId="0" fontId="48" fillId="21" borderId="9" xfId="0" applyFont="1" applyFill="1" applyBorder="1" applyAlignment="1">
      <alignment horizontal="left" vertical="center"/>
    </xf>
    <xf numFmtId="0" fontId="55" fillId="7" borderId="73" xfId="0" applyFont="1" applyFill="1" applyBorder="1" applyAlignment="1">
      <alignment horizontal="left" vertical="center"/>
    </xf>
    <xf numFmtId="0" fontId="52" fillId="10" borderId="7" xfId="0" applyFont="1" applyFill="1" applyBorder="1" applyAlignment="1">
      <alignment horizontal="left" vertical="center"/>
    </xf>
    <xf numFmtId="0" fontId="52" fillId="22" borderId="76" xfId="0" applyFont="1" applyFill="1" applyBorder="1" applyAlignment="1">
      <alignment horizontal="left"/>
    </xf>
    <xf numFmtId="0" fontId="52" fillId="22" borderId="7" xfId="0" applyFont="1" applyFill="1" applyBorder="1" applyAlignment="1">
      <alignment horizontal="left"/>
    </xf>
    <xf numFmtId="0" fontId="52" fillId="22" borderId="9" xfId="0" applyFont="1" applyFill="1" applyBorder="1" applyAlignment="1">
      <alignment horizontal="left"/>
    </xf>
    <xf numFmtId="0" fontId="52" fillId="20" borderId="76" xfId="0" applyFont="1" applyFill="1" applyBorder="1" applyAlignment="1">
      <alignment horizontal="left"/>
    </xf>
    <xf numFmtId="0" fontId="52" fillId="20" borderId="7" xfId="0" applyFont="1" applyFill="1" applyBorder="1" applyAlignment="1">
      <alignment horizontal="left"/>
    </xf>
    <xf numFmtId="0" fontId="52" fillId="20" borderId="7" xfId="0" applyFont="1" applyFill="1" applyBorder="1" applyAlignment="1">
      <alignment horizontal="left" vertical="center"/>
    </xf>
    <xf numFmtId="0" fontId="52" fillId="20" borderId="9" xfId="0" applyFont="1" applyFill="1" applyBorder="1" applyAlignment="1">
      <alignment horizontal="left"/>
    </xf>
    <xf numFmtId="0" fontId="48" fillId="12" borderId="66" xfId="0" applyFont="1" applyFill="1" applyBorder="1" applyAlignment="1">
      <alignment horizontal="left" vertical="center"/>
    </xf>
    <xf numFmtId="0" fontId="48" fillId="12" borderId="97" xfId="0" applyFont="1" applyFill="1" applyBorder="1" applyAlignment="1">
      <alignment horizontal="left" vertical="center"/>
    </xf>
    <xf numFmtId="0" fontId="48" fillId="12" borderId="9" xfId="0" applyFont="1" applyFill="1" applyBorder="1" applyAlignment="1">
      <alignment horizontal="left" vertical="center"/>
    </xf>
    <xf numFmtId="0" fontId="55" fillId="7" borderId="47" xfId="0" applyFont="1" applyFill="1" applyBorder="1" applyAlignment="1">
      <alignment horizontal="left" vertical="center"/>
    </xf>
    <xf numFmtId="0" fontId="52" fillId="18" borderId="38" xfId="0" applyFont="1" applyFill="1" applyBorder="1" applyAlignment="1">
      <alignment horizontal="left" vertical="center"/>
    </xf>
    <xf numFmtId="0" fontId="52" fillId="18" borderId="7" xfId="0" applyFont="1" applyFill="1" applyBorder="1" applyAlignment="1">
      <alignment horizontal="left" vertical="center"/>
    </xf>
    <xf numFmtId="0" fontId="48" fillId="18" borderId="9" xfId="0" applyFont="1" applyFill="1" applyBorder="1" applyAlignment="1">
      <alignment horizontal="left" vertical="center"/>
    </xf>
    <xf numFmtId="0" fontId="48" fillId="15" borderId="66" xfId="0" applyFont="1" applyFill="1" applyBorder="1" applyAlignment="1">
      <alignment horizontal="left" vertical="center"/>
    </xf>
    <xf numFmtId="0" fontId="48" fillId="15" borderId="7" xfId="0" applyFont="1" applyFill="1" applyBorder="1" applyAlignment="1">
      <alignment horizontal="left" vertical="center"/>
    </xf>
    <xf numFmtId="0" fontId="48" fillId="15" borderId="126" xfId="0" applyFont="1" applyFill="1" applyBorder="1" applyAlignment="1">
      <alignment horizontal="left" vertical="center"/>
    </xf>
    <xf numFmtId="0" fontId="52" fillId="15" borderId="97" xfId="0" applyFont="1" applyFill="1" applyBorder="1" applyAlignment="1">
      <alignment horizontal="left" vertical="center" wrapText="1"/>
    </xf>
    <xf numFmtId="0" fontId="52" fillId="15" borderId="126" xfId="0" applyFont="1" applyFill="1" applyBorder="1" applyAlignment="1">
      <alignment horizontal="left" vertical="center" wrapText="1"/>
    </xf>
    <xf numFmtId="0" fontId="52" fillId="15" borderId="9" xfId="0" applyFont="1" applyFill="1" applyBorder="1" applyAlignment="1">
      <alignment horizontal="left" vertical="center" wrapText="1"/>
    </xf>
    <xf numFmtId="0" fontId="52" fillId="9" borderId="38" xfId="0" applyFont="1" applyFill="1" applyBorder="1" applyAlignment="1">
      <alignment horizontal="left" vertical="center" wrapText="1"/>
    </xf>
    <xf numFmtId="0" fontId="52" fillId="9" borderId="7" xfId="0" applyFont="1" applyFill="1" applyBorder="1" applyAlignment="1">
      <alignment horizontal="left" vertical="center" wrapText="1"/>
    </xf>
    <xf numFmtId="0" fontId="50" fillId="8" borderId="66" xfId="0" applyFont="1" applyFill="1" applyBorder="1" applyAlignment="1">
      <alignment horizontal="left" vertical="center"/>
    </xf>
    <xf numFmtId="0" fontId="52" fillId="11" borderId="7" xfId="0" applyFont="1" applyFill="1" applyBorder="1" applyAlignment="1">
      <alignment horizontal="left" vertical="center"/>
    </xf>
    <xf numFmtId="0" fontId="52" fillId="11" borderId="97" xfId="0" applyFont="1" applyFill="1" applyBorder="1" applyAlignment="1">
      <alignment horizontal="left" vertical="center"/>
    </xf>
    <xf numFmtId="0" fontId="48" fillId="8" borderId="76" xfId="0" applyFont="1" applyFill="1" applyBorder="1" applyAlignment="1">
      <alignment horizontal="left" vertical="center"/>
    </xf>
    <xf numFmtId="0" fontId="48" fillId="11" borderId="7" xfId="0" applyFont="1" applyFill="1" applyBorder="1" applyAlignment="1">
      <alignment horizontal="left" vertical="center"/>
    </xf>
    <xf numFmtId="0" fontId="48" fillId="10" borderId="93" xfId="0" applyFont="1" applyFill="1" applyBorder="1" applyAlignment="1">
      <alignment horizontal="left" vertical="center"/>
    </xf>
    <xf numFmtId="0" fontId="48" fillId="20" borderId="7" xfId="0" applyFont="1" applyFill="1" applyBorder="1" applyAlignment="1">
      <alignment horizontal="left" vertical="center" wrapText="1"/>
    </xf>
    <xf numFmtId="0" fontId="56" fillId="7" borderId="50" xfId="0" applyFont="1" applyFill="1" applyBorder="1" applyAlignment="1">
      <alignment horizontal="left" vertical="center"/>
    </xf>
    <xf numFmtId="0" fontId="48" fillId="24" borderId="97" xfId="0" applyFont="1" applyFill="1" applyBorder="1" applyAlignment="1">
      <alignment horizontal="left" vertical="center"/>
    </xf>
    <xf numFmtId="0" fontId="48" fillId="24" borderId="126" xfId="0" applyFont="1" applyFill="1" applyBorder="1" applyAlignment="1">
      <alignment horizontal="left"/>
    </xf>
    <xf numFmtId="0" fontId="48" fillId="9" borderId="97" xfId="0" applyFont="1" applyFill="1" applyBorder="1" applyAlignment="1">
      <alignment horizontal="left" vertical="center" wrapText="1"/>
    </xf>
    <xf numFmtId="0" fontId="48" fillId="24" borderId="97" xfId="0" applyFont="1" applyFill="1" applyBorder="1" applyAlignment="1">
      <alignment horizontal="left" vertical="center" wrapText="1"/>
    </xf>
    <xf numFmtId="0" fontId="56" fillId="7" borderId="63" xfId="0" applyFont="1" applyFill="1" applyBorder="1" applyAlignment="1">
      <alignment horizontal="left" vertical="center"/>
    </xf>
    <xf numFmtId="0" fontId="48" fillId="20" borderId="122" xfId="0" applyFont="1" applyFill="1" applyBorder="1" applyAlignment="1">
      <alignment horizontal="left" vertical="center" wrapText="1"/>
    </xf>
    <xf numFmtId="0" fontId="0" fillId="11" borderId="137" xfId="0" applyFill="1" applyBorder="1" applyAlignment="1">
      <alignment vertical="center"/>
    </xf>
    <xf numFmtId="0" fontId="0" fillId="19" borderId="125" xfId="0" applyFill="1" applyBorder="1" applyAlignment="1">
      <alignment vertical="center"/>
    </xf>
    <xf numFmtId="0" fontId="52" fillId="6" borderId="0" xfId="0" applyFont="1" applyFill="1" applyAlignment="1">
      <alignment vertical="center"/>
    </xf>
    <xf numFmtId="0" fontId="48" fillId="0" borderId="0" xfId="0" applyFont="1" applyAlignment="1">
      <alignment vertical="center" wrapText="1"/>
    </xf>
    <xf numFmtId="0" fontId="48" fillId="7" borderId="188" xfId="0" applyFont="1" applyFill="1" applyBorder="1" applyAlignment="1">
      <alignment vertical="center" wrapText="1"/>
    </xf>
    <xf numFmtId="0" fontId="52" fillId="0" borderId="0" xfId="0" applyFont="1" applyAlignment="1">
      <alignment vertical="center" wrapText="1"/>
    </xf>
    <xf numFmtId="0" fontId="56" fillId="7" borderId="55" xfId="0" applyFont="1" applyFill="1" applyBorder="1" applyAlignment="1">
      <alignment vertical="center" wrapText="1"/>
    </xf>
    <xf numFmtId="0" fontId="48" fillId="8" borderId="89" xfId="0" applyFont="1" applyFill="1" applyBorder="1" applyAlignment="1">
      <alignment vertical="center" wrapText="1"/>
    </xf>
    <xf numFmtId="0" fontId="48" fillId="8" borderId="137" xfId="0" applyFont="1" applyFill="1" applyBorder="1" applyAlignment="1">
      <alignment vertical="center" wrapText="1"/>
    </xf>
    <xf numFmtId="0" fontId="52" fillId="8" borderId="10" xfId="0" applyFont="1" applyFill="1" applyBorder="1" applyAlignment="1">
      <alignment vertical="center" wrapText="1"/>
    </xf>
    <xf numFmtId="0" fontId="48" fillId="21" borderId="100" xfId="0" applyFont="1" applyFill="1" applyBorder="1" applyAlignment="1">
      <alignment vertical="center" wrapText="1"/>
    </xf>
    <xf numFmtId="0" fontId="48" fillId="21" borderId="89" xfId="0" applyFont="1" applyFill="1" applyBorder="1" applyAlignment="1">
      <alignment vertical="center" wrapText="1"/>
    </xf>
    <xf numFmtId="0" fontId="52" fillId="21" borderId="89" xfId="0" applyFont="1" applyFill="1" applyBorder="1" applyAlignment="1">
      <alignment vertical="center"/>
    </xf>
    <xf numFmtId="0" fontId="48" fillId="21" borderId="10" xfId="0" applyFont="1" applyFill="1" applyBorder="1" applyAlignment="1">
      <alignment vertical="center" wrapText="1"/>
    </xf>
    <xf numFmtId="0" fontId="55" fillId="7" borderId="155" xfId="0" applyFont="1" applyFill="1" applyBorder="1" applyAlignment="1">
      <alignment vertical="center" wrapText="1"/>
    </xf>
    <xf numFmtId="0" fontId="56" fillId="7" borderId="157" xfId="0" applyFont="1" applyFill="1" applyBorder="1" applyAlignment="1">
      <alignment vertical="center" wrapText="1"/>
    </xf>
    <xf numFmtId="0" fontId="48" fillId="11" borderId="90" xfId="0" applyFont="1" applyFill="1" applyBorder="1" applyAlignment="1">
      <alignment vertical="center" wrapText="1"/>
    </xf>
    <xf numFmtId="0" fontId="48" fillId="11" borderId="137" xfId="0" applyFont="1" applyFill="1" applyBorder="1" applyAlignment="1">
      <alignment vertical="center" wrapText="1"/>
    </xf>
    <xf numFmtId="2" fontId="48" fillId="11" borderId="137" xfId="0" applyNumberFormat="1" applyFont="1" applyFill="1" applyBorder="1" applyAlignment="1">
      <alignment vertical="center"/>
    </xf>
    <xf numFmtId="2" fontId="48" fillId="11" borderId="137" xfId="0" applyNumberFormat="1" applyFont="1" applyFill="1" applyBorder="1" applyAlignment="1">
      <alignment vertical="center" wrapText="1"/>
    </xf>
    <xf numFmtId="164" fontId="48" fillId="11" borderId="137" xfId="0" applyNumberFormat="1" applyFont="1" applyFill="1" applyBorder="1" applyAlignment="1">
      <alignment vertical="center"/>
    </xf>
    <xf numFmtId="0" fontId="48" fillId="11" borderId="137" xfId="0" applyFont="1" applyFill="1" applyBorder="1" applyAlignment="1">
      <alignment vertical="center"/>
    </xf>
    <xf numFmtId="0" fontId="52" fillId="11" borderId="137" xfId="0" applyFont="1" applyFill="1" applyBorder="1" applyAlignment="1">
      <alignment vertical="center" wrapText="1"/>
    </xf>
    <xf numFmtId="0" fontId="48" fillId="11" borderId="90" xfId="0" applyFont="1" applyFill="1" applyBorder="1" applyAlignment="1">
      <alignment vertical="center"/>
    </xf>
    <xf numFmtId="0" fontId="48" fillId="11" borderId="125" xfId="0" applyFont="1" applyFill="1" applyBorder="1" applyAlignment="1">
      <alignment vertical="center"/>
    </xf>
    <xf numFmtId="0" fontId="55" fillId="7" borderId="74" xfId="0" applyFont="1" applyFill="1" applyBorder="1" applyAlignment="1">
      <alignment vertical="center" wrapText="1"/>
    </xf>
    <xf numFmtId="2" fontId="52" fillId="22" borderId="100" xfId="0" applyNumberFormat="1" applyFont="1" applyFill="1" applyBorder="1" applyAlignment="1">
      <alignment vertical="center" wrapText="1"/>
    </xf>
    <xf numFmtId="2" fontId="52" fillId="22" borderId="89" xfId="0" applyNumberFormat="1" applyFont="1" applyFill="1" applyBorder="1" applyAlignment="1">
      <alignment vertical="center" wrapText="1"/>
    </xf>
    <xf numFmtId="11" fontId="52" fillId="22" borderId="89" xfId="0" applyNumberFormat="1" applyFont="1" applyFill="1" applyBorder="1" applyAlignment="1">
      <alignment vertical="center" wrapText="1"/>
    </xf>
    <xf numFmtId="168" fontId="52" fillId="22" borderId="10" xfId="0" applyNumberFormat="1" applyFont="1" applyFill="1" applyBorder="1" applyAlignment="1">
      <alignment vertical="center" wrapText="1"/>
    </xf>
    <xf numFmtId="0" fontId="52" fillId="20" borderId="100" xfId="0" applyFont="1" applyFill="1" applyBorder="1" applyAlignment="1">
      <alignment vertical="center" wrapText="1"/>
    </xf>
    <xf numFmtId="0" fontId="52" fillId="20" borderId="89" xfId="0" applyFont="1" applyFill="1" applyBorder="1" applyAlignment="1">
      <alignment vertical="center" wrapText="1"/>
    </xf>
    <xf numFmtId="0" fontId="52" fillId="20" borderId="10" xfId="0" applyFont="1" applyFill="1" applyBorder="1" applyAlignment="1">
      <alignment vertical="center" wrapText="1"/>
    </xf>
    <xf numFmtId="0" fontId="48" fillId="12" borderId="100" xfId="0" applyFont="1" applyFill="1" applyBorder="1" applyAlignment="1">
      <alignment vertical="center"/>
    </xf>
    <xf numFmtId="0" fontId="48" fillId="12" borderId="89" xfId="0" applyFont="1" applyFill="1" applyBorder="1" applyAlignment="1">
      <alignment vertical="center"/>
    </xf>
    <xf numFmtId="0" fontId="48" fillId="12" borderId="10" xfId="0" applyFont="1" applyFill="1" applyBorder="1" applyAlignment="1">
      <alignment vertical="center"/>
    </xf>
    <xf numFmtId="0" fontId="55" fillId="7" borderId="48" xfId="0" applyFont="1" applyFill="1" applyBorder="1" applyAlignment="1">
      <alignment vertical="center" wrapText="1"/>
    </xf>
    <xf numFmtId="0" fontId="52" fillId="18" borderId="90" xfId="0" applyFont="1" applyFill="1" applyBorder="1" applyAlignment="1">
      <alignment vertical="center"/>
    </xf>
    <xf numFmtId="0" fontId="52" fillId="18" borderId="89" xfId="0" applyFont="1" applyFill="1" applyBorder="1" applyAlignment="1">
      <alignment vertical="center"/>
    </xf>
    <xf numFmtId="0" fontId="48" fillId="18" borderId="10" xfId="0" applyFont="1" applyFill="1" applyBorder="1" applyAlignment="1">
      <alignment vertical="center"/>
    </xf>
    <xf numFmtId="0" fontId="55" fillId="7" borderId="33" xfId="0" applyFont="1" applyFill="1" applyBorder="1" applyAlignment="1">
      <alignment vertical="center" wrapText="1"/>
    </xf>
    <xf numFmtId="0" fontId="48" fillId="15" borderId="100" xfId="0" applyFont="1" applyFill="1" applyBorder="1" applyAlignment="1">
      <alignment vertical="center" wrapText="1"/>
    </xf>
    <xf numFmtId="0" fontId="48" fillId="15" borderId="89" xfId="0" applyFont="1" applyFill="1" applyBorder="1" applyAlignment="1">
      <alignment vertical="center" wrapText="1"/>
    </xf>
    <xf numFmtId="0" fontId="48" fillId="15" borderId="137" xfId="0" applyFont="1" applyFill="1" applyBorder="1" applyAlignment="1">
      <alignment vertical="center" wrapText="1"/>
    </xf>
    <xf numFmtId="0" fontId="52" fillId="15" borderId="89" xfId="0" applyFont="1" applyFill="1" applyBorder="1" applyAlignment="1">
      <alignment vertical="center" wrapText="1"/>
    </xf>
    <xf numFmtId="0" fontId="52" fillId="15" borderId="137" xfId="0" applyFont="1" applyFill="1" applyBorder="1" applyAlignment="1">
      <alignment vertical="center" wrapText="1"/>
    </xf>
    <xf numFmtId="0" fontId="52" fillId="15" borderId="10" xfId="0" applyFont="1" applyFill="1" applyBorder="1" applyAlignment="1">
      <alignment vertical="center" wrapText="1"/>
    </xf>
    <xf numFmtId="0" fontId="48" fillId="7" borderId="123" xfId="0" applyFont="1" applyFill="1" applyBorder="1" applyAlignment="1">
      <alignment vertical="center" wrapText="1"/>
    </xf>
    <xf numFmtId="2" fontId="48" fillId="7" borderId="114" xfId="0" applyNumberFormat="1" applyFont="1" applyFill="1" applyBorder="1" applyAlignment="1">
      <alignment vertical="center" wrapText="1"/>
    </xf>
    <xf numFmtId="0" fontId="48" fillId="7" borderId="114" xfId="0" applyFont="1" applyFill="1" applyBorder="1" applyAlignment="1">
      <alignment vertical="center" wrapText="1"/>
    </xf>
    <xf numFmtId="164" fontId="52" fillId="7" borderId="114" xfId="0" applyNumberFormat="1" applyFont="1" applyFill="1" applyBorder="1" applyAlignment="1">
      <alignment vertical="center" wrapText="1"/>
    </xf>
    <xf numFmtId="166" fontId="48" fillId="7" borderId="114" xfId="0" applyNumberFormat="1" applyFont="1" applyFill="1" applyBorder="1" applyAlignment="1">
      <alignment vertical="center" wrapText="1"/>
    </xf>
    <xf numFmtId="2" fontId="48" fillId="7" borderId="125" xfId="0" applyNumberFormat="1" applyFont="1" applyFill="1" applyBorder="1" applyAlignment="1">
      <alignment vertical="center" wrapText="1"/>
    </xf>
    <xf numFmtId="0" fontId="55" fillId="7" borderId="179" xfId="0" applyFont="1" applyFill="1" applyBorder="1" applyAlignment="1">
      <alignment vertical="center" wrapText="1"/>
    </xf>
    <xf numFmtId="0" fontId="48" fillId="9" borderId="166" xfId="0" applyFont="1" applyFill="1" applyBorder="1" applyAlignment="1">
      <alignment vertical="center" wrapText="1"/>
    </xf>
    <xf numFmtId="2" fontId="48" fillId="9" borderId="137" xfId="0" applyNumberFormat="1" applyFont="1" applyFill="1" applyBorder="1" applyAlignment="1">
      <alignment vertical="center" wrapText="1"/>
    </xf>
    <xf numFmtId="0" fontId="48" fillId="9" borderId="137" xfId="0" applyFont="1" applyFill="1" applyBorder="1" applyAlignment="1">
      <alignment vertical="center" wrapText="1"/>
    </xf>
    <xf numFmtId="166" fontId="48" fillId="9" borderId="137" xfId="0" applyNumberFormat="1" applyFont="1" applyFill="1" applyBorder="1" applyAlignment="1">
      <alignment vertical="center" wrapText="1"/>
    </xf>
    <xf numFmtId="166" fontId="48" fillId="9" borderId="125" xfId="0" applyNumberFormat="1" applyFont="1" applyFill="1" applyBorder="1" applyAlignment="1">
      <alignment vertical="center" wrapText="1"/>
    </xf>
    <xf numFmtId="164" fontId="52" fillId="9" borderId="89" xfId="0" applyNumberFormat="1" applyFont="1" applyFill="1" applyBorder="1" applyAlignment="1">
      <alignment vertical="center" wrapText="1"/>
    </xf>
    <xf numFmtId="165" fontId="52" fillId="9" borderId="89" xfId="0" applyNumberFormat="1" applyFont="1" applyFill="1" applyBorder="1" applyAlignment="1">
      <alignment vertical="center" wrapText="1"/>
    </xf>
    <xf numFmtId="2" fontId="52" fillId="9" borderId="89" xfId="0" applyNumberFormat="1" applyFont="1" applyFill="1" applyBorder="1" applyAlignment="1">
      <alignment vertical="center" wrapText="1"/>
    </xf>
    <xf numFmtId="166" fontId="52" fillId="9" borderId="89" xfId="0" applyNumberFormat="1" applyFont="1" applyFill="1" applyBorder="1" applyAlignment="1">
      <alignment vertical="center" wrapText="1"/>
    </xf>
    <xf numFmtId="0" fontId="55" fillId="7" borderId="5" xfId="0" applyFont="1" applyFill="1" applyBorder="1" applyAlignment="1">
      <alignment vertical="center" wrapText="1"/>
    </xf>
    <xf numFmtId="0" fontId="52" fillId="8" borderId="67" xfId="0" applyFont="1" applyFill="1" applyBorder="1" applyAlignment="1">
      <alignment vertical="center" wrapText="1"/>
    </xf>
    <xf numFmtId="0" fontId="52" fillId="8" borderId="6" xfId="0" applyFont="1" applyFill="1" applyBorder="1" applyAlignment="1">
      <alignment vertical="center" wrapText="1"/>
    </xf>
    <xf numFmtId="0" fontId="52" fillId="11" borderId="6" xfId="0" applyFont="1" applyFill="1" applyBorder="1" applyAlignment="1">
      <alignment vertical="center" wrapText="1"/>
    </xf>
    <xf numFmtId="0" fontId="52" fillId="11" borderId="89" xfId="0" applyFont="1" applyFill="1" applyBorder="1" applyAlignment="1">
      <alignment vertical="center" wrapText="1"/>
    </xf>
    <xf numFmtId="0" fontId="52" fillId="10" borderId="6" xfId="0" applyFont="1" applyFill="1" applyBorder="1" applyAlignment="1">
      <alignment vertical="center" wrapText="1"/>
    </xf>
    <xf numFmtId="0" fontId="52" fillId="20" borderId="6" xfId="0" applyFont="1" applyFill="1" applyBorder="1" applyAlignment="1">
      <alignment vertical="center" wrapText="1"/>
    </xf>
    <xf numFmtId="0" fontId="52" fillId="12" borderId="6" xfId="0" applyFont="1" applyFill="1" applyBorder="1" applyAlignment="1">
      <alignment vertical="center" wrapText="1"/>
    </xf>
    <xf numFmtId="0" fontId="52" fillId="18" borderId="6" xfId="0" applyFont="1" applyFill="1" applyBorder="1" applyAlignment="1">
      <alignment vertical="center" wrapText="1"/>
    </xf>
    <xf numFmtId="0" fontId="52" fillId="9" borderId="6" xfId="0" applyFont="1" applyFill="1" applyBorder="1" applyAlignment="1">
      <alignment vertical="center" wrapText="1"/>
    </xf>
    <xf numFmtId="0" fontId="52" fillId="16" borderId="6" xfId="0" applyFont="1" applyFill="1" applyBorder="1" applyAlignment="1">
      <alignment vertical="center" wrapText="1"/>
    </xf>
    <xf numFmtId="0" fontId="48" fillId="8" borderId="100" xfId="0" applyFont="1" applyFill="1" applyBorder="1" applyAlignment="1">
      <alignment vertical="center" wrapText="1"/>
    </xf>
    <xf numFmtId="0" fontId="48" fillId="11" borderId="89" xfId="0" applyFont="1" applyFill="1" applyBorder="1" applyAlignment="1">
      <alignment vertical="center" wrapText="1"/>
    </xf>
    <xf numFmtId="0" fontId="48" fillId="10" borderId="89" xfId="0" applyFont="1" applyFill="1" applyBorder="1" applyAlignment="1">
      <alignment vertical="center" wrapText="1"/>
    </xf>
    <xf numFmtId="0" fontId="48" fillId="20" borderId="89" xfId="0" applyFont="1" applyFill="1" applyBorder="1" applyAlignment="1">
      <alignment vertical="center" wrapText="1"/>
    </xf>
    <xf numFmtId="0" fontId="48" fillId="12" borderId="89" xfId="0" applyFont="1" applyFill="1" applyBorder="1" applyAlignment="1">
      <alignment vertical="center" wrapText="1"/>
    </xf>
    <xf numFmtId="0" fontId="48" fillId="18" borderId="10" xfId="0" applyFont="1" applyFill="1" applyBorder="1" applyAlignment="1">
      <alignment vertical="center" wrapText="1"/>
    </xf>
    <xf numFmtId="0" fontId="55" fillId="7" borderId="44" xfId="0" applyFont="1" applyFill="1" applyBorder="1" applyAlignment="1">
      <alignment vertical="center" wrapText="1"/>
    </xf>
    <xf numFmtId="0" fontId="56" fillId="7" borderId="51" xfId="0" applyFont="1" applyFill="1" applyBorder="1" applyAlignment="1">
      <alignment vertical="center" wrapText="1"/>
    </xf>
    <xf numFmtId="166" fontId="48" fillId="9" borderId="89" xfId="0" applyNumberFormat="1" applyFont="1" applyFill="1" applyBorder="1" applyAlignment="1">
      <alignment vertical="center" wrapText="1"/>
    </xf>
    <xf numFmtId="2" fontId="48" fillId="9" borderId="89" xfId="0" applyNumberFormat="1" applyFont="1" applyFill="1" applyBorder="1" applyAlignment="1">
      <alignment vertical="center" wrapText="1"/>
    </xf>
    <xf numFmtId="166" fontId="48" fillId="24" borderId="89" xfId="0" applyNumberFormat="1" applyFont="1" applyFill="1" applyBorder="1" applyAlignment="1">
      <alignment vertical="center" wrapText="1"/>
    </xf>
    <xf numFmtId="2" fontId="48" fillId="24" borderId="89" xfId="0" applyNumberFormat="1" applyFont="1" applyFill="1" applyBorder="1" applyAlignment="1">
      <alignment vertical="center" wrapText="1"/>
    </xf>
    <xf numFmtId="2" fontId="48" fillId="24" borderId="137" xfId="0" applyNumberFormat="1" applyFont="1" applyFill="1" applyBorder="1" applyAlignment="1">
      <alignment vertical="center" wrapText="1"/>
    </xf>
    <xf numFmtId="166" fontId="48" fillId="24" borderId="89" xfId="0" applyNumberFormat="1" applyFont="1" applyFill="1" applyBorder="1" applyAlignment="1">
      <alignment vertical="center"/>
    </xf>
    <xf numFmtId="0" fontId="55" fillId="7" borderId="121" xfId="0" applyFont="1" applyFill="1" applyBorder="1" applyAlignment="1">
      <alignment vertical="center" wrapText="1"/>
    </xf>
    <xf numFmtId="0" fontId="55" fillId="7" borderId="46" xfId="0" applyFont="1" applyFill="1" applyBorder="1" applyAlignment="1">
      <alignment vertical="center" wrapText="1"/>
    </xf>
    <xf numFmtId="0" fontId="48" fillId="9" borderId="148" xfId="0" applyFont="1" applyFill="1" applyBorder="1" applyAlignment="1">
      <alignment vertical="center"/>
    </xf>
    <xf numFmtId="0" fontId="48" fillId="9" borderId="137" xfId="0" applyFont="1" applyFill="1" applyBorder="1" applyAlignment="1">
      <alignment vertical="center"/>
    </xf>
    <xf numFmtId="0" fontId="48" fillId="9" borderId="90" xfId="0" applyFont="1" applyFill="1" applyBorder="1" applyAlignment="1">
      <alignment vertical="center"/>
    </xf>
    <xf numFmtId="0" fontId="48" fillId="9" borderId="125" xfId="0" applyFont="1" applyFill="1" applyBorder="1" applyAlignment="1">
      <alignment vertical="center"/>
    </xf>
    <xf numFmtId="0" fontId="56" fillId="7" borderId="64" xfId="0" applyFont="1" applyFill="1" applyBorder="1" applyAlignment="1">
      <alignment vertical="center" wrapText="1"/>
    </xf>
    <xf numFmtId="0" fontId="55" fillId="7" borderId="162" xfId="0" applyFont="1" applyFill="1" applyBorder="1" applyAlignment="1">
      <alignment vertical="center" wrapText="1"/>
    </xf>
    <xf numFmtId="0" fontId="56" fillId="7" borderId="164" xfId="0" applyFont="1" applyFill="1" applyBorder="1" applyAlignment="1">
      <alignment vertical="center" wrapText="1"/>
    </xf>
    <xf numFmtId="0" fontId="48" fillId="8" borderId="8" xfId="0" applyFont="1" applyFill="1" applyBorder="1" applyAlignment="1">
      <alignment horizontal="left" vertical="center" wrapText="1"/>
    </xf>
    <xf numFmtId="0" fontId="48" fillId="8" borderId="69" xfId="0" applyFont="1" applyFill="1" applyBorder="1" applyAlignment="1">
      <alignment horizontal="left" vertical="center" wrapText="1"/>
    </xf>
    <xf numFmtId="0" fontId="52" fillId="8" borderId="70" xfId="0" applyFont="1" applyFill="1" applyBorder="1" applyAlignment="1">
      <alignment horizontal="left"/>
    </xf>
    <xf numFmtId="0" fontId="56" fillId="7" borderId="56" xfId="0" applyFont="1" applyFill="1" applyBorder="1" applyAlignment="1">
      <alignment horizontal="left" vertical="center" wrapText="1"/>
    </xf>
    <xf numFmtId="0" fontId="48" fillId="21" borderId="101" xfId="0" applyFont="1" applyFill="1" applyBorder="1" applyAlignment="1">
      <alignment horizontal="left" vertical="center" wrapText="1"/>
    </xf>
    <xf numFmtId="0" fontId="48" fillId="21" borderId="98" xfId="0" applyFont="1" applyFill="1" applyBorder="1" applyAlignment="1">
      <alignment horizontal="left" vertical="center" wrapText="1"/>
    </xf>
    <xf numFmtId="0" fontId="52" fillId="21" borderId="89" xfId="0" applyFont="1" applyFill="1" applyBorder="1" applyAlignment="1">
      <alignment horizontal="left" vertical="center" wrapText="1"/>
    </xf>
    <xf numFmtId="0" fontId="52" fillId="21" borderId="98" xfId="0" applyFont="1" applyFill="1" applyBorder="1" applyAlignment="1">
      <alignment horizontal="left" vertical="center" wrapText="1"/>
    </xf>
    <xf numFmtId="0" fontId="48" fillId="21" borderId="90" xfId="0" applyFont="1" applyFill="1" applyBorder="1" applyAlignment="1">
      <alignment horizontal="left" vertical="center" wrapText="1"/>
    </xf>
    <xf numFmtId="0" fontId="48" fillId="21" borderId="94" xfId="0" applyFont="1" applyFill="1" applyBorder="1" applyAlignment="1">
      <alignment horizontal="left" vertical="center" wrapText="1"/>
    </xf>
    <xf numFmtId="0" fontId="48" fillId="21" borderId="11" xfId="0" applyFont="1" applyFill="1" applyBorder="1" applyAlignment="1">
      <alignment horizontal="left" vertical="center" wrapText="1"/>
    </xf>
    <xf numFmtId="0" fontId="56" fillId="7" borderId="158" xfId="0" applyFont="1" applyFill="1" applyBorder="1" applyAlignment="1">
      <alignment horizontal="left" vertical="center" wrapText="1"/>
    </xf>
    <xf numFmtId="0" fontId="48" fillId="11" borderId="160" xfId="0" applyFont="1" applyFill="1" applyBorder="1" applyAlignment="1">
      <alignment horizontal="left" vertical="center" wrapText="1"/>
    </xf>
    <xf numFmtId="0" fontId="48" fillId="11" borderId="161" xfId="0" applyFont="1" applyFill="1" applyBorder="1" applyAlignment="1">
      <alignment horizontal="left" vertical="center" wrapText="1"/>
    </xf>
    <xf numFmtId="0" fontId="48" fillId="11" borderId="94" xfId="0" applyFont="1" applyFill="1" applyBorder="1" applyAlignment="1">
      <alignment horizontal="left" vertical="center" wrapText="1"/>
    </xf>
    <xf numFmtId="0" fontId="48" fillId="11" borderId="127" xfId="0" applyFont="1" applyFill="1" applyBorder="1" applyAlignment="1">
      <alignment horizontal="left" vertical="center" wrapText="1"/>
    </xf>
    <xf numFmtId="0" fontId="48" fillId="11" borderId="125" xfId="0" applyFont="1" applyFill="1" applyBorder="1" applyAlignment="1">
      <alignment horizontal="left" vertical="center" wrapText="1"/>
    </xf>
    <xf numFmtId="0" fontId="48" fillId="19" borderId="127" xfId="0" applyFont="1" applyFill="1" applyBorder="1" applyAlignment="1">
      <alignment horizontal="left" vertical="center" wrapText="1"/>
    </xf>
    <xf numFmtId="0" fontId="48" fillId="19" borderId="116" xfId="0" applyFont="1" applyFill="1" applyBorder="1" applyAlignment="1">
      <alignment horizontal="left" vertical="center" wrapText="1"/>
    </xf>
    <xf numFmtId="0" fontId="48" fillId="19" borderId="92" xfId="0" applyFont="1" applyFill="1" applyBorder="1" applyAlignment="1">
      <alignment horizontal="left" vertical="center" wrapText="1"/>
    </xf>
    <xf numFmtId="0" fontId="48" fillId="19" borderId="125" xfId="0" applyFont="1" applyFill="1" applyBorder="1" applyAlignment="1">
      <alignment horizontal="left" vertical="center" wrapText="1"/>
    </xf>
    <xf numFmtId="0" fontId="34" fillId="7" borderId="74" xfId="0" applyFont="1" applyFill="1" applyBorder="1" applyAlignment="1">
      <alignment horizontal="left" vertical="center" wrapText="1"/>
    </xf>
    <xf numFmtId="0" fontId="56" fillId="7" borderId="75" xfId="0" applyFont="1" applyFill="1" applyBorder="1" applyAlignment="1">
      <alignment horizontal="left" vertical="center"/>
    </xf>
    <xf numFmtId="0" fontId="52" fillId="22" borderId="77" xfId="0" applyFont="1" applyFill="1" applyBorder="1" applyAlignment="1">
      <alignment horizontal="left" vertical="center" wrapText="1"/>
    </xf>
    <xf numFmtId="0" fontId="52" fillId="22" borderId="78" xfId="0" applyFont="1" applyFill="1" applyBorder="1" applyAlignment="1">
      <alignment horizontal="left" vertical="center" wrapText="1"/>
    </xf>
    <xf numFmtId="0" fontId="52" fillId="22" borderId="6" xfId="0" applyFont="1" applyFill="1" applyBorder="1" applyAlignment="1">
      <alignment horizontal="left" vertical="center" wrapText="1"/>
    </xf>
    <xf numFmtId="0" fontId="52" fillId="22" borderId="8" xfId="0" applyFont="1" applyFill="1" applyBorder="1" applyAlignment="1">
      <alignment horizontal="left" vertical="center" wrapText="1"/>
    </xf>
    <xf numFmtId="0" fontId="52" fillId="22" borderId="96" xfId="0" applyFont="1" applyFill="1" applyBorder="1" applyAlignment="1">
      <alignment horizontal="left" vertical="center" wrapText="1"/>
    </xf>
    <xf numFmtId="0" fontId="52" fillId="22" borderId="10" xfId="0" applyFont="1" applyFill="1" applyBorder="1" applyAlignment="1">
      <alignment horizontal="left" vertical="center" wrapText="1"/>
    </xf>
    <xf numFmtId="0" fontId="52" fillId="22" borderId="11" xfId="0" applyFont="1" applyFill="1" applyBorder="1" applyAlignment="1">
      <alignment horizontal="left" vertical="center" wrapText="1"/>
    </xf>
    <xf numFmtId="0" fontId="34" fillId="7" borderId="75" xfId="0" applyFont="1" applyFill="1" applyBorder="1" applyAlignment="1">
      <alignment horizontal="left" vertical="center" wrapText="1"/>
    </xf>
    <xf numFmtId="0" fontId="52" fillId="20" borderId="77" xfId="0" applyFont="1" applyFill="1" applyBorder="1" applyAlignment="1">
      <alignment horizontal="left" vertical="center" wrapText="1"/>
    </xf>
    <xf numFmtId="0" fontId="55" fillId="20" borderId="78" xfId="0" applyFont="1" applyFill="1" applyBorder="1" applyAlignment="1">
      <alignment horizontal="left" vertical="center"/>
    </xf>
    <xf numFmtId="0" fontId="55" fillId="20" borderId="8" xfId="0" applyFont="1" applyFill="1" applyBorder="1" applyAlignment="1">
      <alignment horizontal="left" vertical="center"/>
    </xf>
    <xf numFmtId="0" fontId="55" fillId="20" borderId="127" xfId="0" applyFont="1" applyFill="1" applyBorder="1" applyAlignment="1">
      <alignment horizontal="left" vertical="center"/>
    </xf>
    <xf numFmtId="0" fontId="55" fillId="20" borderId="11" xfId="0" applyFont="1" applyFill="1" applyBorder="1" applyAlignment="1">
      <alignment horizontal="left" vertical="center"/>
    </xf>
    <xf numFmtId="0" fontId="48" fillId="12" borderId="67" xfId="0" applyFont="1" applyFill="1" applyBorder="1" applyAlignment="1">
      <alignment horizontal="left" vertical="center"/>
    </xf>
    <xf numFmtId="0" fontId="48" fillId="12" borderId="68" xfId="0" applyFont="1" applyFill="1" applyBorder="1" applyAlignment="1">
      <alignment horizontal="left" vertical="center"/>
    </xf>
    <xf numFmtId="0" fontId="34" fillId="7" borderId="48" xfId="0" applyFont="1" applyFill="1" applyBorder="1" applyAlignment="1">
      <alignment horizontal="left" vertical="center" wrapText="1"/>
    </xf>
    <xf numFmtId="0" fontId="34" fillId="7" borderId="49" xfId="0" applyFont="1" applyFill="1" applyBorder="1" applyAlignment="1">
      <alignment horizontal="left" vertical="center" wrapText="1"/>
    </xf>
    <xf numFmtId="0" fontId="52" fillId="18" borderId="14" xfId="0" applyFont="1" applyFill="1" applyBorder="1" applyAlignment="1">
      <alignment horizontal="left" vertical="center"/>
    </xf>
    <xf numFmtId="0" fontId="52" fillId="18" borderId="39" xfId="0" applyFont="1" applyFill="1" applyBorder="1" applyAlignment="1">
      <alignment horizontal="left" vertical="center"/>
    </xf>
    <xf numFmtId="0" fontId="52" fillId="18" borderId="6" xfId="0" applyFont="1" applyFill="1" applyBorder="1" applyAlignment="1">
      <alignment horizontal="left" vertical="center"/>
    </xf>
    <xf numFmtId="0" fontId="52" fillId="18" borderId="8" xfId="0" applyFont="1" applyFill="1" applyBorder="1" applyAlignment="1">
      <alignment horizontal="left" vertical="center"/>
    </xf>
    <xf numFmtId="0" fontId="48" fillId="18" borderId="11" xfId="0" applyFont="1" applyFill="1" applyBorder="1" applyAlignment="1">
      <alignment horizontal="left" vertical="center"/>
    </xf>
    <xf numFmtId="0" fontId="48" fillId="15" borderId="67" xfId="0" applyFont="1" applyFill="1" applyBorder="1" applyAlignment="1">
      <alignment horizontal="left" vertical="center"/>
    </xf>
    <xf numFmtId="0" fontId="48" fillId="15" borderId="6" xfId="0" applyFont="1" applyFill="1" applyBorder="1" applyAlignment="1">
      <alignment horizontal="left" vertical="center"/>
    </xf>
    <xf numFmtId="0" fontId="48" fillId="15" borderId="6" xfId="0" applyFont="1" applyFill="1" applyBorder="1" applyAlignment="1">
      <alignment horizontal="left"/>
    </xf>
    <xf numFmtId="0" fontId="48" fillId="15" borderId="137" xfId="0" applyFont="1" applyFill="1" applyBorder="1" applyAlignment="1">
      <alignment horizontal="left"/>
    </xf>
    <xf numFmtId="0" fontId="48" fillId="15" borderId="127" xfId="0" applyFont="1" applyFill="1" applyBorder="1" applyAlignment="1">
      <alignment horizontal="left" vertical="center"/>
    </xf>
    <xf numFmtId="0" fontId="52" fillId="15" borderId="6" xfId="0" applyFont="1" applyFill="1" applyBorder="1" applyAlignment="1">
      <alignment horizontal="left" vertical="center" wrapText="1"/>
    </xf>
    <xf numFmtId="0" fontId="48" fillId="7" borderId="123" xfId="0" applyFont="1" applyFill="1" applyBorder="1" applyAlignment="1">
      <alignment horizontal="left" vertical="center"/>
    </xf>
    <xf numFmtId="0" fontId="48" fillId="7" borderId="114" xfId="0" applyFont="1" applyFill="1" applyBorder="1" applyAlignment="1">
      <alignment horizontal="left" vertical="center"/>
    </xf>
    <xf numFmtId="0" fontId="52" fillId="7" borderId="114" xfId="0" applyFont="1" applyFill="1" applyBorder="1" applyAlignment="1">
      <alignment horizontal="left" vertical="center" wrapText="1"/>
    </xf>
    <xf numFmtId="0" fontId="48" fillId="7" borderId="125" xfId="0" applyFont="1" applyFill="1" applyBorder="1" applyAlignment="1">
      <alignment horizontal="left" vertical="center"/>
    </xf>
    <xf numFmtId="0" fontId="48" fillId="9" borderId="166" xfId="0" applyFont="1" applyFill="1" applyBorder="1" applyAlignment="1">
      <alignment horizontal="left" vertical="center"/>
    </xf>
    <xf numFmtId="0" fontId="52" fillId="9" borderId="81" xfId="0" applyFont="1" applyFill="1" applyBorder="1" applyAlignment="1">
      <alignment horizontal="left" vertical="center" wrapText="1"/>
    </xf>
    <xf numFmtId="0" fontId="52" fillId="9" borderId="82" xfId="0" applyFont="1" applyFill="1" applyBorder="1" applyAlignment="1">
      <alignment horizontal="left" vertical="center" wrapText="1"/>
    </xf>
    <xf numFmtId="0" fontId="52" fillId="9" borderId="14" xfId="0" applyFont="1" applyFill="1" applyBorder="1" applyAlignment="1">
      <alignment horizontal="left" vertical="center" wrapText="1"/>
    </xf>
    <xf numFmtId="0" fontId="52" fillId="9" borderId="39" xfId="0" applyFont="1" applyFill="1" applyBorder="1" applyAlignment="1">
      <alignment horizontal="left" vertical="center" wrapText="1"/>
    </xf>
    <xf numFmtId="0" fontId="52" fillId="9" borderId="8" xfId="0" applyFont="1" applyFill="1" applyBorder="1" applyAlignment="1">
      <alignment horizontal="left" vertical="center" wrapText="1"/>
    </xf>
    <xf numFmtId="0" fontId="55" fillId="8" borderId="68" xfId="0" applyFont="1" applyFill="1" applyBorder="1" applyAlignment="1">
      <alignment horizontal="left" vertical="center"/>
    </xf>
    <xf numFmtId="0" fontId="55" fillId="8" borderId="8" xfId="0" applyFont="1" applyFill="1" applyBorder="1" applyAlignment="1">
      <alignment horizontal="left" vertical="center"/>
    </xf>
    <xf numFmtId="0" fontId="55" fillId="11" borderId="127" xfId="0" applyFont="1" applyFill="1" applyBorder="1" applyAlignment="1">
      <alignment horizontal="left" vertical="center"/>
    </xf>
    <xf numFmtId="0" fontId="55" fillId="11" borderId="8" xfId="0" applyFont="1" applyFill="1" applyBorder="1" applyAlignment="1">
      <alignment horizontal="left" vertical="center"/>
    </xf>
    <xf numFmtId="0" fontId="55" fillId="11" borderId="98" xfId="0" applyFont="1" applyFill="1" applyBorder="1" applyAlignment="1">
      <alignment horizontal="left" vertical="center"/>
    </xf>
    <xf numFmtId="0" fontId="55" fillId="19" borderId="8" xfId="0" applyFont="1" applyFill="1" applyBorder="1" applyAlignment="1">
      <alignment horizontal="left" vertical="center"/>
    </xf>
    <xf numFmtId="0" fontId="55" fillId="10" borderId="8" xfId="0" applyFont="1" applyFill="1" applyBorder="1" applyAlignment="1">
      <alignment horizontal="left" vertical="center"/>
    </xf>
    <xf numFmtId="0" fontId="55" fillId="12" borderId="8" xfId="0" applyFont="1" applyFill="1" applyBorder="1" applyAlignment="1">
      <alignment horizontal="left" vertical="center"/>
    </xf>
    <xf numFmtId="0" fontId="55" fillId="18" borderId="8" xfId="0" applyFont="1" applyFill="1" applyBorder="1" applyAlignment="1">
      <alignment horizontal="left" vertical="center"/>
    </xf>
    <xf numFmtId="0" fontId="55" fillId="9" borderId="8" xfId="0" applyFont="1" applyFill="1" applyBorder="1" applyAlignment="1">
      <alignment horizontal="left" vertical="center"/>
    </xf>
    <xf numFmtId="0" fontId="55" fillId="16" borderId="8" xfId="0" applyFont="1" applyFill="1" applyBorder="1" applyAlignment="1">
      <alignment horizontal="left" vertical="center"/>
    </xf>
    <xf numFmtId="0" fontId="48" fillId="8" borderId="77" xfId="0" applyFont="1" applyFill="1" applyBorder="1" applyAlignment="1">
      <alignment horizontal="left" vertical="center" wrapText="1"/>
    </xf>
    <xf numFmtId="0" fontId="48" fillId="8" borderId="78" xfId="0" applyFont="1" applyFill="1" applyBorder="1" applyAlignment="1">
      <alignment horizontal="left" vertical="center" wrapText="1"/>
    </xf>
    <xf numFmtId="0" fontId="48" fillId="11" borderId="6" xfId="0" applyFont="1" applyFill="1" applyBorder="1" applyAlignment="1">
      <alignment horizontal="left" vertical="center" wrapText="1"/>
    </xf>
    <xf numFmtId="0" fontId="48" fillId="11" borderId="8" xfId="0" applyFont="1" applyFill="1" applyBorder="1" applyAlignment="1">
      <alignment horizontal="left" vertical="center" wrapText="1"/>
    </xf>
    <xf numFmtId="0" fontId="48" fillId="10" borderId="90" xfId="0" applyFont="1" applyFill="1" applyBorder="1" applyAlignment="1">
      <alignment horizontal="left" vertical="center" wrapText="1"/>
    </xf>
    <xf numFmtId="0" fontId="48" fillId="10" borderId="94" xfId="0" applyFont="1" applyFill="1" applyBorder="1" applyAlignment="1">
      <alignment horizontal="left" vertical="center" wrapText="1"/>
    </xf>
    <xf numFmtId="0" fontId="48" fillId="10" borderId="8" xfId="0" applyFont="1" applyFill="1" applyBorder="1" applyAlignment="1">
      <alignment horizontal="left" vertical="center" wrapText="1"/>
    </xf>
    <xf numFmtId="0" fontId="56" fillId="20" borderId="6" xfId="0" applyFont="1" applyFill="1" applyBorder="1" applyAlignment="1">
      <alignment horizontal="left" vertical="center"/>
    </xf>
    <xf numFmtId="0" fontId="56" fillId="20" borderId="8" xfId="0" applyFont="1" applyFill="1" applyBorder="1" applyAlignment="1">
      <alignment horizontal="left" vertical="center"/>
    </xf>
    <xf numFmtId="0" fontId="48" fillId="12" borderId="8" xfId="0" applyFont="1" applyFill="1" applyBorder="1" applyAlignment="1">
      <alignment horizontal="left" vertical="center" wrapText="1"/>
    </xf>
    <xf numFmtId="0" fontId="48" fillId="18" borderId="11" xfId="0" applyFont="1" applyFill="1" applyBorder="1" applyAlignment="1">
      <alignment horizontal="left" vertical="center" wrapText="1"/>
    </xf>
    <xf numFmtId="0" fontId="56" fillId="7" borderId="52" xfId="0" applyFont="1" applyFill="1" applyBorder="1" applyAlignment="1">
      <alignment horizontal="left" vertical="center" wrapText="1"/>
    </xf>
    <xf numFmtId="0" fontId="48" fillId="9" borderId="89" xfId="0" applyFont="1" applyFill="1" applyBorder="1" applyAlignment="1">
      <alignment horizontal="left" vertical="center" wrapText="1"/>
    </xf>
    <xf numFmtId="0" fontId="48" fillId="9" borderId="98" xfId="0" applyFont="1" applyFill="1" applyBorder="1" applyAlignment="1">
      <alignment horizontal="left" vertical="center" wrapText="1"/>
    </xf>
    <xf numFmtId="0" fontId="48" fillId="24" borderId="89" xfId="0" applyFont="1" applyFill="1" applyBorder="1" applyAlignment="1">
      <alignment horizontal="left" vertical="center" wrapText="1"/>
    </xf>
    <xf numFmtId="0" fontId="48" fillId="24" borderId="98" xfId="0" applyFont="1" applyFill="1" applyBorder="1" applyAlignment="1">
      <alignment horizontal="left" vertical="center" wrapText="1"/>
    </xf>
    <xf numFmtId="0" fontId="48" fillId="24" borderId="137" xfId="0" applyFont="1" applyFill="1" applyBorder="1" applyAlignment="1">
      <alignment horizontal="left" vertical="center" wrapText="1"/>
    </xf>
    <xf numFmtId="0" fontId="75" fillId="24" borderId="89" xfId="0" applyFont="1" applyFill="1" applyBorder="1" applyAlignment="1">
      <alignment horizontal="left" vertical="center" wrapText="1"/>
    </xf>
    <xf numFmtId="0" fontId="48" fillId="9" borderId="149" xfId="0" applyFont="1" applyFill="1" applyBorder="1" applyAlignment="1">
      <alignment horizontal="left" vertical="center"/>
    </xf>
    <xf numFmtId="0" fontId="48" fillId="9" borderId="94" xfId="0" applyFont="1" applyFill="1" applyBorder="1" applyAlignment="1">
      <alignment horizontal="left" vertical="center"/>
    </xf>
    <xf numFmtId="0" fontId="56" fillId="7" borderId="64" xfId="0" applyFont="1" applyFill="1" applyBorder="1" applyAlignment="1">
      <alignment horizontal="left" vertical="center" wrapText="1"/>
    </xf>
    <xf numFmtId="0" fontId="56" fillId="7" borderId="65" xfId="0" applyFont="1" applyFill="1" applyBorder="1" applyAlignment="1">
      <alignment horizontal="left" vertical="center" wrapText="1"/>
    </xf>
    <xf numFmtId="0" fontId="56" fillId="7" borderId="165" xfId="0" applyFont="1" applyFill="1" applyBorder="1" applyAlignment="1">
      <alignment horizontal="left" vertical="center" wrapText="1"/>
    </xf>
    <xf numFmtId="0" fontId="48" fillId="9" borderId="127" xfId="0" applyFont="1" applyFill="1" applyBorder="1" applyAlignment="1">
      <alignment horizontal="left" vertical="center" wrapText="1"/>
    </xf>
    <xf numFmtId="0" fontId="48" fillId="9" borderId="167" xfId="0" applyFont="1" applyFill="1" applyBorder="1" applyAlignment="1">
      <alignment horizontal="left" vertical="center" wrapText="1"/>
    </xf>
    <xf numFmtId="2" fontId="48" fillId="9" borderId="184" xfId="0" applyNumberFormat="1" applyFont="1" applyFill="1" applyBorder="1" applyAlignment="1">
      <alignment vertical="center" wrapText="1"/>
    </xf>
    <xf numFmtId="2" fontId="48" fillId="9" borderId="184" xfId="0" applyNumberFormat="1" applyFont="1" applyFill="1" applyBorder="1" applyAlignment="1">
      <alignment horizontal="center" vertical="center" wrapText="1"/>
    </xf>
    <xf numFmtId="0" fontId="48" fillId="9" borderId="184" xfId="0" applyFont="1" applyFill="1" applyBorder="1" applyAlignment="1">
      <alignment horizontal="center" vertical="center" wrapText="1"/>
    </xf>
    <xf numFmtId="0" fontId="48" fillId="9" borderId="184" xfId="0" applyFont="1" applyFill="1" applyBorder="1" applyAlignment="1">
      <alignment horizontal="left" vertical="center" wrapText="1"/>
    </xf>
    <xf numFmtId="0" fontId="48" fillId="9" borderId="168" xfId="0" applyFont="1" applyFill="1" applyBorder="1" applyAlignment="1">
      <alignment horizontal="left" vertical="center" wrapText="1"/>
    </xf>
    <xf numFmtId="0" fontId="48" fillId="9" borderId="152" xfId="0" applyFont="1" applyFill="1" applyBorder="1" applyAlignment="1">
      <alignment horizontal="left" vertical="center" wrapText="1"/>
    </xf>
    <xf numFmtId="2" fontId="48" fillId="9" borderId="150" xfId="0" applyNumberFormat="1" applyFont="1" applyFill="1" applyBorder="1" applyAlignment="1">
      <alignment vertical="center" wrapText="1"/>
    </xf>
    <xf numFmtId="2" fontId="48" fillId="9" borderId="150" xfId="0" applyNumberFormat="1" applyFont="1" applyFill="1" applyBorder="1" applyAlignment="1">
      <alignment horizontal="center" vertical="center" wrapText="1"/>
    </xf>
    <xf numFmtId="0" fontId="48" fillId="9" borderId="150" xfId="0" applyFont="1" applyFill="1" applyBorder="1" applyAlignment="1">
      <alignment horizontal="center" vertical="center" wrapText="1"/>
    </xf>
    <xf numFmtId="0" fontId="48" fillId="9" borderId="150" xfId="0" applyFont="1" applyFill="1" applyBorder="1" applyAlignment="1">
      <alignment horizontal="left" vertical="center" wrapText="1"/>
    </xf>
    <xf numFmtId="0" fontId="48" fillId="9" borderId="151" xfId="0" applyFont="1" applyFill="1" applyBorder="1" applyAlignment="1">
      <alignment horizontal="left" vertical="center" wrapText="1"/>
    </xf>
    <xf numFmtId="0" fontId="48" fillId="9" borderId="189" xfId="0" applyFont="1" applyFill="1" applyBorder="1" applyAlignment="1">
      <alignment horizontal="left" vertical="center" wrapText="1"/>
    </xf>
    <xf numFmtId="2" fontId="48" fillId="9" borderId="183" xfId="0" applyNumberFormat="1" applyFont="1" applyFill="1" applyBorder="1" applyAlignment="1">
      <alignment vertical="center" wrapText="1"/>
    </xf>
    <xf numFmtId="2" fontId="48" fillId="9" borderId="183" xfId="0" applyNumberFormat="1" applyFont="1" applyFill="1" applyBorder="1" applyAlignment="1">
      <alignment horizontal="center" vertical="center" wrapText="1"/>
    </xf>
    <xf numFmtId="0" fontId="48" fillId="9" borderId="183" xfId="0" applyFont="1" applyFill="1" applyBorder="1" applyAlignment="1">
      <alignment horizontal="center" vertical="center" wrapText="1"/>
    </xf>
    <xf numFmtId="0" fontId="48" fillId="9" borderId="183" xfId="0" applyFont="1" applyFill="1" applyBorder="1" applyAlignment="1">
      <alignment horizontal="left" vertical="center" wrapText="1"/>
    </xf>
    <xf numFmtId="0" fontId="48" fillId="9" borderId="190" xfId="0" applyFont="1" applyFill="1" applyBorder="1" applyAlignment="1">
      <alignment horizontal="left" vertical="center" wrapText="1"/>
    </xf>
    <xf numFmtId="0" fontId="48" fillId="10" borderId="183" xfId="0" applyFont="1" applyFill="1" applyBorder="1" applyAlignment="1">
      <alignment horizontal="left" vertical="center" wrapText="1"/>
    </xf>
    <xf numFmtId="0" fontId="52" fillId="6" borderId="0" xfId="0" applyFont="1" applyFill="1" applyAlignment="1">
      <alignment horizontal="left" vertical="center" wrapText="1"/>
    </xf>
    <xf numFmtId="0" fontId="56" fillId="7" borderId="41" xfId="0" applyFont="1" applyFill="1" applyBorder="1" applyAlignment="1">
      <alignment horizontal="left" vertical="center" wrapText="1"/>
    </xf>
    <xf numFmtId="0" fontId="45" fillId="0" borderId="0" xfId="0" applyFont="1" applyAlignment="1">
      <alignment horizontal="left" vertical="center" wrapText="1"/>
    </xf>
    <xf numFmtId="0" fontId="0" fillId="0" borderId="0" xfId="0" applyAlignment="1">
      <alignment horizontal="left" vertical="center" wrapText="1"/>
    </xf>
    <xf numFmtId="0" fontId="45" fillId="10" borderId="150" xfId="0" applyFont="1" applyFill="1" applyBorder="1" applyAlignment="1">
      <alignment horizontal="left" vertical="center" wrapText="1"/>
    </xf>
    <xf numFmtId="0" fontId="45" fillId="7" borderId="90" xfId="0" applyFont="1" applyFill="1" applyBorder="1" applyAlignment="1">
      <alignment horizontal="left" vertical="center" wrapText="1"/>
    </xf>
    <xf numFmtId="0" fontId="48" fillId="21" borderId="6" xfId="0" applyFont="1" applyFill="1" applyBorder="1" applyAlignment="1">
      <alignment horizontal="left" vertical="center" wrapText="1"/>
    </xf>
    <xf numFmtId="0" fontId="48" fillId="9" borderId="6" xfId="0" applyFont="1" applyFill="1" applyBorder="1" applyAlignment="1">
      <alignment horizontal="left" vertical="center" wrapText="1"/>
    </xf>
    <xf numFmtId="0" fontId="48" fillId="9" borderId="114" xfId="0" applyFont="1" applyFill="1" applyBorder="1" applyAlignment="1">
      <alignment horizontal="left" vertical="center" wrapText="1"/>
    </xf>
    <xf numFmtId="0" fontId="48" fillId="9" borderId="10" xfId="0" applyFont="1" applyFill="1" applyBorder="1" applyAlignment="1">
      <alignment horizontal="left" vertical="center" wrapText="1"/>
    </xf>
    <xf numFmtId="0" fontId="52" fillId="8" borderId="81" xfId="0" applyFont="1" applyFill="1" applyBorder="1" applyAlignment="1">
      <alignment horizontal="left" vertical="center" wrapText="1"/>
    </xf>
    <xf numFmtId="0" fontId="52" fillId="19" borderId="137" xfId="0" applyFont="1" applyFill="1" applyBorder="1" applyAlignment="1">
      <alignment horizontal="left" vertical="center" wrapText="1"/>
    </xf>
    <xf numFmtId="0" fontId="52" fillId="16" borderId="10" xfId="0" applyFont="1" applyFill="1" applyBorder="1" applyAlignment="1">
      <alignment horizontal="left" vertical="center" wrapText="1"/>
    </xf>
    <xf numFmtId="0" fontId="56" fillId="7" borderId="15" xfId="0" applyFont="1" applyFill="1" applyBorder="1" applyAlignment="1">
      <alignment horizontal="left" vertical="center" wrapText="1"/>
    </xf>
    <xf numFmtId="0" fontId="48" fillId="20" borderId="90" xfId="0" applyFont="1" applyFill="1" applyBorder="1" applyAlignment="1">
      <alignment horizontal="left" vertical="center" wrapText="1"/>
    </xf>
    <xf numFmtId="0" fontId="48" fillId="20" borderId="67" xfId="0" applyFont="1" applyFill="1" applyBorder="1" applyAlignment="1">
      <alignment horizontal="left" vertical="center" wrapText="1"/>
    </xf>
    <xf numFmtId="0" fontId="48" fillId="20" borderId="6" xfId="0" applyFont="1" applyFill="1" applyBorder="1" applyAlignment="1">
      <alignment horizontal="left" vertical="center" wrapText="1"/>
    </xf>
    <xf numFmtId="0" fontId="48" fillId="20" borderId="81" xfId="0" applyFont="1" applyFill="1" applyBorder="1" applyAlignment="1">
      <alignment horizontal="left" vertical="center" wrapText="1"/>
    </xf>
    <xf numFmtId="0" fontId="48" fillId="20" borderId="14" xfId="0" applyFont="1" applyFill="1" applyBorder="1" applyAlignment="1">
      <alignment horizontal="left" vertical="center" wrapText="1"/>
    </xf>
    <xf numFmtId="0" fontId="48" fillId="20" borderId="123" xfId="0" applyFont="1" applyFill="1" applyBorder="1" applyAlignment="1">
      <alignment horizontal="left" vertical="center" wrapText="1"/>
    </xf>
    <xf numFmtId="0" fontId="48" fillId="20" borderId="114" xfId="0" applyFont="1" applyFill="1" applyBorder="1" applyAlignment="1">
      <alignment horizontal="left" vertical="center" wrapText="1"/>
    </xf>
    <xf numFmtId="0" fontId="48" fillId="4" borderId="90" xfId="0" applyFont="1" applyFill="1" applyBorder="1" applyAlignment="1">
      <alignment horizontal="left" vertical="center" wrapText="1"/>
    </xf>
    <xf numFmtId="0" fontId="48" fillId="4" borderId="150" xfId="0" applyFont="1" applyFill="1" applyBorder="1" applyAlignment="1">
      <alignment horizontal="left" vertical="center" wrapText="1"/>
    </xf>
    <xf numFmtId="164" fontId="52" fillId="6" borderId="0" xfId="0" applyNumberFormat="1" applyFont="1" applyFill="1" applyAlignment="1">
      <alignment horizontal="left" vertical="center" wrapText="1"/>
    </xf>
    <xf numFmtId="0" fontId="56" fillId="7" borderId="59" xfId="0" applyFont="1" applyFill="1" applyBorder="1" applyAlignment="1">
      <alignment horizontal="left" vertical="center" wrapText="1"/>
    </xf>
    <xf numFmtId="164" fontId="52" fillId="0" borderId="0" xfId="0" applyNumberFormat="1" applyFont="1" applyAlignment="1">
      <alignment horizontal="left" vertical="center" wrapText="1"/>
    </xf>
    <xf numFmtId="0" fontId="56" fillId="7" borderId="40" xfId="0" applyFont="1" applyFill="1" applyBorder="1" applyAlignment="1">
      <alignment horizontal="left" vertical="center" wrapText="1"/>
    </xf>
    <xf numFmtId="0" fontId="56" fillId="7" borderId="42" xfId="0" applyFont="1" applyFill="1" applyBorder="1" applyAlignment="1">
      <alignment horizontal="left" vertical="center" wrapText="1"/>
    </xf>
    <xf numFmtId="0" fontId="56" fillId="7" borderId="85" xfId="0" applyFont="1" applyFill="1" applyBorder="1" applyAlignment="1">
      <alignment horizontal="left" vertical="center" wrapText="1"/>
    </xf>
    <xf numFmtId="0" fontId="55" fillId="0" borderId="0" xfId="0" applyFont="1" applyAlignment="1">
      <alignment horizontal="center" vertical="center" wrapText="1"/>
    </xf>
    <xf numFmtId="0" fontId="45" fillId="10" borderId="184" xfId="0" quotePrefix="1" applyFont="1" applyFill="1" applyBorder="1" applyAlignment="1">
      <alignment horizontal="left" vertical="center" wrapText="1"/>
    </xf>
    <xf numFmtId="0" fontId="45" fillId="10" borderId="150" xfId="0" quotePrefix="1" applyFont="1" applyFill="1" applyBorder="1" applyAlignment="1">
      <alignment horizontal="left" vertical="center" wrapText="1"/>
    </xf>
    <xf numFmtId="0" fontId="45" fillId="10" borderId="90" xfId="0" quotePrefix="1" applyFont="1" applyFill="1" applyBorder="1" applyAlignment="1">
      <alignment horizontal="left" vertical="center" wrapText="1"/>
    </xf>
    <xf numFmtId="0" fontId="48" fillId="10" borderId="152" xfId="0" applyFont="1" applyFill="1" applyBorder="1" applyAlignment="1">
      <alignment horizontal="left" vertical="center" wrapText="1"/>
    </xf>
    <xf numFmtId="166" fontId="45" fillId="10" borderId="150" xfId="0" applyNumberFormat="1" applyFont="1" applyFill="1" applyBorder="1" applyAlignment="1">
      <alignment horizontal="left" vertical="center" wrapText="1"/>
    </xf>
    <xf numFmtId="0" fontId="45" fillId="10" borderId="183" xfId="0" quotePrefix="1" applyFont="1" applyFill="1" applyBorder="1" applyAlignment="1">
      <alignment horizontal="left" vertical="center" wrapText="1"/>
    </xf>
    <xf numFmtId="0" fontId="45" fillId="10" borderId="89" xfId="0" quotePrefix="1" applyFont="1" applyFill="1" applyBorder="1" applyAlignment="1">
      <alignment horizontal="left" vertical="center" wrapText="1"/>
    </xf>
    <xf numFmtId="0" fontId="45" fillId="10" borderId="6" xfId="0" quotePrefix="1" applyFont="1" applyFill="1" applyBorder="1" applyAlignment="1">
      <alignment horizontal="left" vertical="center" wrapText="1"/>
    </xf>
    <xf numFmtId="166" fontId="45" fillId="10" borderId="6" xfId="0" applyNumberFormat="1" applyFont="1" applyFill="1" applyBorder="1" applyAlignment="1">
      <alignment horizontal="left" vertical="center" wrapText="1"/>
    </xf>
    <xf numFmtId="166" fontId="45" fillId="10" borderId="89" xfId="0" applyNumberFormat="1" applyFont="1" applyFill="1" applyBorder="1" applyAlignment="1">
      <alignment horizontal="left" vertical="center" wrapText="1"/>
    </xf>
    <xf numFmtId="0" fontId="45" fillId="10" borderId="10" xfId="0" quotePrefix="1" applyFont="1" applyFill="1" applyBorder="1" applyAlignment="1">
      <alignment horizontal="left" vertical="center" wrapText="1"/>
    </xf>
    <xf numFmtId="166" fontId="45" fillId="10" borderId="10" xfId="0" applyNumberFormat="1" applyFont="1" applyFill="1" applyBorder="1" applyAlignment="1">
      <alignment horizontal="left" vertical="center" wrapText="1"/>
    </xf>
    <xf numFmtId="166" fontId="45" fillId="10" borderId="103" xfId="0" applyNumberFormat="1" applyFont="1" applyFill="1" applyBorder="1" applyAlignment="1">
      <alignment horizontal="left" vertical="center" wrapText="1"/>
    </xf>
    <xf numFmtId="0" fontId="45" fillId="7" borderId="90" xfId="0" quotePrefix="1" applyFont="1" applyFill="1" applyBorder="1" applyAlignment="1">
      <alignment horizontal="left" vertical="center" wrapText="1"/>
    </xf>
    <xf numFmtId="0" fontId="45" fillId="7" borderId="89" xfId="0" applyFont="1" applyFill="1" applyBorder="1" applyAlignment="1">
      <alignment horizontal="left" vertical="center" wrapText="1"/>
    </xf>
    <xf numFmtId="0" fontId="45" fillId="7" borderId="6" xfId="0" quotePrefix="1" applyFont="1" applyFill="1" applyBorder="1" applyAlignment="1">
      <alignment horizontal="left" vertical="center" wrapText="1"/>
    </xf>
    <xf numFmtId="0" fontId="48" fillId="7" borderId="7" xfId="0" applyFont="1" applyFill="1" applyBorder="1" applyAlignment="1">
      <alignment horizontal="left" vertical="center" wrapText="1"/>
    </xf>
    <xf numFmtId="166" fontId="45" fillId="7" borderId="6" xfId="0" applyNumberFormat="1" applyFont="1" applyFill="1" applyBorder="1" applyAlignment="1">
      <alignment horizontal="left" vertical="center" wrapText="1"/>
    </xf>
    <xf numFmtId="0" fontId="45" fillId="7" borderId="89" xfId="0" quotePrefix="1" applyFont="1" applyFill="1" applyBorder="1" applyAlignment="1">
      <alignment horizontal="left" vertical="center" wrapText="1"/>
    </xf>
    <xf numFmtId="166" fontId="45" fillId="7" borderId="89" xfId="0" applyNumberFormat="1" applyFont="1" applyFill="1" applyBorder="1" applyAlignment="1">
      <alignment horizontal="left" vertical="center" wrapText="1"/>
    </xf>
    <xf numFmtId="0" fontId="45" fillId="7" borderId="103" xfId="0" quotePrefix="1" applyFont="1" applyFill="1" applyBorder="1" applyAlignment="1">
      <alignment horizontal="left" vertical="center" wrapText="1"/>
    </xf>
    <xf numFmtId="0" fontId="45" fillId="7" borderId="10" xfId="0" quotePrefix="1" applyFont="1" applyFill="1" applyBorder="1" applyAlignment="1">
      <alignment horizontal="left" vertical="center" wrapText="1"/>
    </xf>
    <xf numFmtId="166" fontId="45" fillId="7" borderId="10" xfId="0" applyNumberFormat="1" applyFont="1" applyFill="1" applyBorder="1" applyAlignment="1">
      <alignment horizontal="left" vertical="center" wrapText="1"/>
    </xf>
    <xf numFmtId="166" fontId="45" fillId="7" borderId="103" xfId="0" applyNumberFormat="1" applyFont="1" applyFill="1" applyBorder="1" applyAlignment="1">
      <alignment horizontal="left" vertical="center" wrapText="1"/>
    </xf>
    <xf numFmtId="0" fontId="48" fillId="8" borderId="7" xfId="0" quotePrefix="1" applyFont="1" applyFill="1" applyBorder="1" applyAlignment="1">
      <alignment horizontal="left" vertical="center" wrapText="1"/>
    </xf>
    <xf numFmtId="0" fontId="48" fillId="8" borderId="89" xfId="0" quotePrefix="1" applyFont="1" applyFill="1" applyBorder="1" applyAlignment="1">
      <alignment horizontal="left" vertical="center" wrapText="1"/>
    </xf>
    <xf numFmtId="0" fontId="48" fillId="8" borderId="6" xfId="0" quotePrefix="1" applyFont="1" applyFill="1" applyBorder="1" applyAlignment="1">
      <alignment horizontal="left" vertical="center" wrapText="1"/>
    </xf>
    <xf numFmtId="164" fontId="48" fillId="8" borderId="6" xfId="0" applyNumberFormat="1" applyFont="1" applyFill="1" applyBorder="1" applyAlignment="1">
      <alignment horizontal="left" vertical="center" wrapText="1"/>
    </xf>
    <xf numFmtId="2" fontId="48" fillId="8" borderId="6" xfId="0" applyNumberFormat="1" applyFont="1" applyFill="1" applyBorder="1" applyAlignment="1">
      <alignment horizontal="left" vertical="center" wrapText="1"/>
    </xf>
    <xf numFmtId="2" fontId="48" fillId="8" borderId="150" xfId="0" applyNumberFormat="1" applyFont="1" applyFill="1" applyBorder="1" applyAlignment="1">
      <alignment horizontal="left" vertical="center" wrapText="1"/>
    </xf>
    <xf numFmtId="166" fontId="48" fillId="8" borderId="6" xfId="0" applyNumberFormat="1" applyFont="1" applyFill="1" applyBorder="1" applyAlignment="1">
      <alignment horizontal="left" vertical="center" wrapText="1"/>
    </xf>
    <xf numFmtId="0" fontId="48" fillId="8" borderId="38" xfId="0" quotePrefix="1" applyFont="1" applyFill="1" applyBorder="1" applyAlignment="1">
      <alignment horizontal="left" vertical="center" wrapText="1"/>
    </xf>
    <xf numFmtId="0" fontId="48" fillId="8" borderId="90" xfId="0" quotePrefix="1" applyFont="1" applyFill="1" applyBorder="1" applyAlignment="1">
      <alignment horizontal="left" vertical="center" wrapText="1"/>
    </xf>
    <xf numFmtId="0" fontId="48" fillId="8" borderId="14" xfId="0" quotePrefix="1" applyFont="1" applyFill="1" applyBorder="1" applyAlignment="1">
      <alignment horizontal="left" vertical="center" wrapText="1"/>
    </xf>
    <xf numFmtId="2" fontId="48" fillId="8" borderId="14" xfId="0" applyNumberFormat="1" applyFont="1" applyFill="1" applyBorder="1" applyAlignment="1">
      <alignment horizontal="left" vertical="center" wrapText="1"/>
    </xf>
    <xf numFmtId="0" fontId="48" fillId="8" borderId="7" xfId="0" applyFont="1" applyFill="1" applyBorder="1" applyAlignment="1">
      <alignment horizontal="left" vertical="center" wrapText="1"/>
    </xf>
    <xf numFmtId="166" fontId="48" fillId="8" borderId="150" xfId="0" applyNumberFormat="1" applyFont="1" applyFill="1" applyBorder="1" applyAlignment="1">
      <alignment horizontal="left" vertical="center" wrapText="1"/>
    </xf>
    <xf numFmtId="165" fontId="48" fillId="8" borderId="150" xfId="0" applyNumberFormat="1" applyFont="1" applyFill="1" applyBorder="1" applyAlignment="1">
      <alignment horizontal="left" vertical="center" wrapText="1"/>
    </xf>
    <xf numFmtId="0" fontId="48" fillId="8" borderId="7" xfId="0" applyFont="1" applyFill="1" applyBorder="1" applyAlignment="1">
      <alignment vertical="center" wrapText="1"/>
    </xf>
    <xf numFmtId="0" fontId="48" fillId="8" borderId="126" xfId="0" quotePrefix="1" applyFont="1" applyFill="1" applyBorder="1" applyAlignment="1">
      <alignment horizontal="left" vertical="center" wrapText="1"/>
    </xf>
    <xf numFmtId="0" fontId="48" fillId="8" borderId="137" xfId="0" quotePrefix="1" applyFont="1" applyFill="1" applyBorder="1" applyAlignment="1">
      <alignment horizontal="left" vertical="center" wrapText="1"/>
    </xf>
    <xf numFmtId="1" fontId="48" fillId="8" borderId="137" xfId="0" applyNumberFormat="1" applyFont="1" applyFill="1" applyBorder="1" applyAlignment="1">
      <alignment horizontal="left" vertical="center" wrapText="1"/>
    </xf>
    <xf numFmtId="2" fontId="48" fillId="8" borderId="137" xfId="0" applyNumberFormat="1" applyFont="1" applyFill="1" applyBorder="1" applyAlignment="1">
      <alignment horizontal="left" vertical="center" wrapText="1"/>
    </xf>
    <xf numFmtId="0" fontId="48" fillId="8" borderId="128" xfId="0" quotePrefix="1" applyFont="1" applyFill="1" applyBorder="1" applyAlignment="1">
      <alignment horizontal="left" vertical="center" wrapText="1"/>
    </xf>
    <xf numFmtId="0" fontId="48" fillId="8" borderId="125" xfId="0" quotePrefix="1" applyFont="1" applyFill="1" applyBorder="1" applyAlignment="1">
      <alignment horizontal="left" vertical="center" wrapText="1"/>
    </xf>
    <xf numFmtId="1" fontId="48" fillId="8" borderId="125" xfId="0" applyNumberFormat="1" applyFont="1" applyFill="1" applyBorder="1" applyAlignment="1">
      <alignment horizontal="left" vertical="center" wrapText="1"/>
    </xf>
    <xf numFmtId="0" fontId="48" fillId="25" borderId="38" xfId="0" quotePrefix="1" applyFont="1" applyFill="1" applyBorder="1" applyAlignment="1">
      <alignment horizontal="left" vertical="center" wrapText="1"/>
    </xf>
    <xf numFmtId="0" fontId="48" fillId="25" borderId="14" xfId="0" quotePrefix="1" applyFont="1" applyFill="1" applyBorder="1" applyAlignment="1">
      <alignment horizontal="left" vertical="center" wrapText="1"/>
    </xf>
    <xf numFmtId="0" fontId="48" fillId="25" borderId="7" xfId="0" quotePrefix="1" applyFont="1" applyFill="1" applyBorder="1" applyAlignment="1">
      <alignment horizontal="left" vertical="center" wrapText="1"/>
    </xf>
    <xf numFmtId="0" fontId="48" fillId="25" borderId="6" xfId="0" quotePrefix="1" applyFont="1" applyFill="1" applyBorder="1" applyAlignment="1">
      <alignment horizontal="left" vertical="center" wrapText="1"/>
    </xf>
    <xf numFmtId="166" fontId="48" fillId="25" borderId="6" xfId="0" applyNumberFormat="1" applyFont="1" applyFill="1" applyBorder="1" applyAlignment="1">
      <alignment horizontal="left" vertical="center" wrapText="1"/>
    </xf>
    <xf numFmtId="165" fontId="48" fillId="25" borderId="6" xfId="0" applyNumberFormat="1" applyFont="1" applyFill="1" applyBorder="1" applyAlignment="1">
      <alignment horizontal="left" vertical="center" wrapText="1"/>
    </xf>
    <xf numFmtId="0" fontId="48" fillId="25" borderId="9" xfId="0" quotePrefix="1" applyFont="1" applyFill="1" applyBorder="1" applyAlignment="1">
      <alignment horizontal="left" vertical="center" wrapText="1"/>
    </xf>
    <xf numFmtId="0" fontId="48" fillId="25" borderId="10" xfId="0" quotePrefix="1" applyFont="1" applyFill="1" applyBorder="1" applyAlignment="1">
      <alignment horizontal="left" vertical="center" wrapText="1"/>
    </xf>
    <xf numFmtId="0" fontId="48" fillId="11" borderId="126" xfId="0" quotePrefix="1" applyFont="1" applyFill="1" applyBorder="1" applyAlignment="1">
      <alignment horizontal="left" vertical="center" wrapText="1"/>
    </xf>
    <xf numFmtId="0" fontId="48" fillId="11" borderId="137" xfId="0" quotePrefix="1" applyFont="1" applyFill="1" applyBorder="1" applyAlignment="1">
      <alignment horizontal="left" vertical="center" wrapText="1"/>
    </xf>
    <xf numFmtId="164" fontId="48" fillId="11" borderId="137" xfId="0" applyNumberFormat="1" applyFont="1" applyFill="1" applyBorder="1" applyAlignment="1">
      <alignment horizontal="left" vertical="center" wrapText="1"/>
    </xf>
    <xf numFmtId="0" fontId="48" fillId="11" borderId="126" xfId="0" applyFont="1" applyFill="1" applyBorder="1" applyAlignment="1">
      <alignment horizontal="left" vertical="center" wrapText="1"/>
    </xf>
    <xf numFmtId="166" fontId="48" fillId="11" borderId="137" xfId="0" applyNumberFormat="1" applyFont="1" applyFill="1" applyBorder="1" applyAlignment="1">
      <alignment horizontal="left" vertical="center" wrapText="1"/>
    </xf>
    <xf numFmtId="0" fontId="48" fillId="11" borderId="128" xfId="0" applyFont="1" applyFill="1" applyBorder="1" applyAlignment="1">
      <alignment horizontal="left" vertical="center" wrapText="1"/>
    </xf>
    <xf numFmtId="0" fontId="48" fillId="11" borderId="125" xfId="0" quotePrefix="1" applyFont="1" applyFill="1" applyBorder="1" applyAlignment="1">
      <alignment horizontal="left" vertical="center" wrapText="1"/>
    </xf>
    <xf numFmtId="0" fontId="48" fillId="12" borderId="122" xfId="0" quotePrefix="1" applyFont="1" applyFill="1" applyBorder="1" applyAlignment="1">
      <alignment horizontal="left" vertical="center" wrapText="1"/>
    </xf>
    <xf numFmtId="0" fontId="48" fillId="12" borderId="123" xfId="0" quotePrefix="1" applyFont="1" applyFill="1" applyBorder="1" applyAlignment="1">
      <alignment horizontal="left" vertical="center" wrapText="1"/>
    </xf>
    <xf numFmtId="0" fontId="48" fillId="12" borderId="126" xfId="0" quotePrefix="1" applyFont="1" applyFill="1" applyBorder="1" applyAlignment="1">
      <alignment horizontal="left" vertical="center" wrapText="1"/>
    </xf>
    <xf numFmtId="0" fontId="48" fillId="12" borderId="114" xfId="0" quotePrefix="1" applyFont="1" applyFill="1" applyBorder="1" applyAlignment="1">
      <alignment horizontal="left" vertical="center" wrapText="1"/>
    </xf>
    <xf numFmtId="0" fontId="48" fillId="12" borderId="128" xfId="0" quotePrefix="1" applyFont="1" applyFill="1" applyBorder="1" applyAlignment="1">
      <alignment horizontal="left" vertical="center" wrapText="1"/>
    </xf>
    <xf numFmtId="0" fontId="48" fillId="12" borderId="125" xfId="0" quotePrefix="1" applyFont="1" applyFill="1" applyBorder="1" applyAlignment="1">
      <alignment horizontal="left" vertical="center" wrapText="1"/>
    </xf>
    <xf numFmtId="0" fontId="48" fillId="12" borderId="38" xfId="0" quotePrefix="1" applyFont="1" applyFill="1" applyBorder="1" applyAlignment="1">
      <alignment horizontal="left" vertical="center" wrapText="1"/>
    </xf>
    <xf numFmtId="0" fontId="48" fillId="12" borderId="90" xfId="0" quotePrefix="1" applyFont="1" applyFill="1" applyBorder="1" applyAlignment="1">
      <alignment horizontal="left" vertical="center" wrapText="1"/>
    </xf>
    <xf numFmtId="0" fontId="48" fillId="12" borderId="14" xfId="0" quotePrefix="1" applyFont="1" applyFill="1" applyBorder="1" applyAlignment="1">
      <alignment horizontal="left" vertical="center" wrapText="1"/>
    </xf>
    <xf numFmtId="0" fontId="48" fillId="12" borderId="6" xfId="0" quotePrefix="1" applyFont="1" applyFill="1" applyBorder="1" applyAlignment="1">
      <alignment horizontal="left" vertical="center" wrapText="1"/>
    </xf>
    <xf numFmtId="0" fontId="48" fillId="12" borderId="7" xfId="0" quotePrefix="1" applyFont="1" applyFill="1" applyBorder="1" applyAlignment="1">
      <alignment horizontal="left" vertical="center" wrapText="1"/>
    </xf>
    <xf numFmtId="0" fontId="48" fillId="12" borderId="89" xfId="0" quotePrefix="1" applyFont="1" applyFill="1" applyBorder="1" applyAlignment="1">
      <alignment horizontal="left" vertical="center" wrapText="1"/>
    </xf>
    <xf numFmtId="166" fontId="48" fillId="12" borderId="6" xfId="0" applyNumberFormat="1" applyFont="1" applyFill="1" applyBorder="1" applyAlignment="1">
      <alignment horizontal="left" vertical="center" wrapText="1"/>
    </xf>
    <xf numFmtId="165" fontId="48" fillId="12" borderId="6" xfId="0" applyNumberFormat="1" applyFont="1" applyFill="1" applyBorder="1" applyAlignment="1">
      <alignment horizontal="left" vertical="center" wrapText="1"/>
    </xf>
    <xf numFmtId="0" fontId="48" fillId="12" borderId="9" xfId="0" quotePrefix="1" applyFont="1" applyFill="1" applyBorder="1" applyAlignment="1">
      <alignment horizontal="left" vertical="center" wrapText="1"/>
    </xf>
    <xf numFmtId="0" fontId="48" fillId="12" borderId="10" xfId="0" quotePrefix="1" applyFont="1" applyFill="1" applyBorder="1" applyAlignment="1">
      <alignment horizontal="left" vertical="center" wrapText="1"/>
    </xf>
    <xf numFmtId="0" fontId="48" fillId="10" borderId="97" xfId="0" applyFont="1" applyFill="1" applyBorder="1" applyAlignment="1">
      <alignment vertical="center" wrapText="1"/>
    </xf>
    <xf numFmtId="0" fontId="48" fillId="10" borderId="89" xfId="0" quotePrefix="1" applyFont="1" applyFill="1" applyBorder="1" applyAlignment="1">
      <alignment horizontal="left" vertical="center" wrapText="1"/>
    </xf>
    <xf numFmtId="2" fontId="48" fillId="10" borderId="89" xfId="0" applyNumberFormat="1" applyFont="1" applyFill="1" applyBorder="1" applyAlignment="1">
      <alignment horizontal="left" vertical="center" wrapText="1"/>
    </xf>
    <xf numFmtId="0" fontId="48" fillId="8" borderId="97" xfId="0" applyFont="1" applyFill="1" applyBorder="1" applyAlignment="1">
      <alignment horizontal="left" vertical="center" wrapText="1"/>
    </xf>
    <xf numFmtId="0" fontId="48" fillId="8" borderId="98" xfId="0" applyFont="1" applyFill="1" applyBorder="1" applyAlignment="1">
      <alignment horizontal="left" vertical="center" wrapText="1"/>
    </xf>
    <xf numFmtId="0" fontId="48" fillId="8" borderId="93" xfId="0" applyFont="1" applyFill="1" applyBorder="1" applyAlignment="1">
      <alignment horizontal="left" vertical="center" wrapText="1"/>
    </xf>
    <xf numFmtId="0" fontId="48" fillId="8" borderId="96" xfId="0" quotePrefix="1" applyFont="1" applyFill="1" applyBorder="1" applyAlignment="1">
      <alignment horizontal="left" vertical="center" wrapText="1"/>
    </xf>
    <xf numFmtId="0" fontId="48" fillId="8" borderId="94" xfId="0" applyFont="1" applyFill="1" applyBorder="1" applyAlignment="1">
      <alignment horizontal="left" vertical="center" wrapText="1"/>
    </xf>
    <xf numFmtId="0" fontId="45" fillId="8" borderId="6" xfId="0" quotePrefix="1" applyFont="1" applyFill="1" applyBorder="1" applyAlignment="1">
      <alignment horizontal="left" vertical="center" wrapText="1"/>
    </xf>
    <xf numFmtId="0" fontId="48" fillId="21" borderId="7" xfId="0" applyFont="1" applyFill="1" applyBorder="1" applyAlignment="1">
      <alignment horizontal="left" vertical="center" wrapText="1"/>
    </xf>
    <xf numFmtId="0" fontId="48" fillId="21" borderId="89" xfId="0" quotePrefix="1" applyFont="1" applyFill="1" applyBorder="1" applyAlignment="1">
      <alignment horizontal="left" vertical="center" wrapText="1"/>
    </xf>
    <xf numFmtId="0" fontId="48" fillId="21" borderId="6" xfId="0" quotePrefix="1" applyFont="1" applyFill="1" applyBorder="1" applyAlignment="1">
      <alignment horizontal="left" vertical="center" wrapText="1"/>
    </xf>
    <xf numFmtId="0" fontId="48" fillId="21" borderId="8" xfId="0" applyFont="1" applyFill="1" applyBorder="1" applyAlignment="1">
      <alignment horizontal="left" vertical="center" wrapText="1"/>
    </xf>
    <xf numFmtId="0" fontId="48" fillId="21" borderId="7" xfId="0" applyFont="1" applyFill="1" applyBorder="1" applyAlignment="1">
      <alignment vertical="center" wrapText="1"/>
    </xf>
    <xf numFmtId="2" fontId="48" fillId="21" borderId="6" xfId="0" applyNumberFormat="1" applyFont="1" applyFill="1" applyBorder="1" applyAlignment="1">
      <alignment horizontal="left" vertical="center" wrapText="1"/>
    </xf>
    <xf numFmtId="0" fontId="48" fillId="21" borderId="8" xfId="0" applyFont="1" applyFill="1" applyBorder="1" applyAlignment="1">
      <alignment vertical="center" wrapText="1"/>
    </xf>
    <xf numFmtId="0" fontId="45" fillId="21" borderId="6" xfId="0" quotePrefix="1" applyFont="1" applyFill="1" applyBorder="1" applyAlignment="1">
      <alignment horizontal="left" vertical="center" wrapText="1"/>
    </xf>
    <xf numFmtId="164" fontId="45" fillId="21" borderId="6" xfId="0" applyNumberFormat="1" applyFont="1" applyFill="1" applyBorder="1" applyAlignment="1">
      <alignment horizontal="left" vertical="center" wrapText="1"/>
    </xf>
    <xf numFmtId="0" fontId="45" fillId="10" borderId="7" xfId="0" applyFont="1" applyFill="1" applyBorder="1" applyAlignment="1">
      <alignment vertical="center" wrapText="1"/>
    </xf>
    <xf numFmtId="0" fontId="45" fillId="10" borderId="89" xfId="0" applyFont="1" applyFill="1" applyBorder="1" applyAlignment="1">
      <alignment horizontal="left" vertical="center" wrapText="1"/>
    </xf>
    <xf numFmtId="164" fontId="45" fillId="10" borderId="6" xfId="0" applyNumberFormat="1" applyFont="1" applyFill="1" applyBorder="1" applyAlignment="1">
      <alignment horizontal="left" vertical="center" wrapText="1"/>
    </xf>
    <xf numFmtId="164" fontId="45" fillId="10" borderId="150" xfId="0" applyNumberFormat="1" applyFont="1" applyFill="1" applyBorder="1" applyAlignment="1">
      <alignment horizontal="left" vertical="center" wrapText="1"/>
    </xf>
    <xf numFmtId="0" fontId="45" fillId="22" borderId="7" xfId="0" applyFont="1" applyFill="1" applyBorder="1" applyAlignment="1">
      <alignment vertical="center" wrapText="1"/>
    </xf>
    <xf numFmtId="0" fontId="45" fillId="22" borderId="89" xfId="0" applyFont="1" applyFill="1" applyBorder="1" applyAlignment="1">
      <alignment horizontal="left" vertical="center" wrapText="1"/>
    </xf>
    <xf numFmtId="0" fontId="45" fillId="22" borderId="6" xfId="0" quotePrefix="1" applyFont="1" applyFill="1" applyBorder="1" applyAlignment="1">
      <alignment horizontal="left" vertical="center" wrapText="1"/>
    </xf>
    <xf numFmtId="164" fontId="45" fillId="22" borderId="6" xfId="0" applyNumberFormat="1" applyFont="1" applyFill="1" applyBorder="1" applyAlignment="1">
      <alignment horizontal="left" vertical="center" wrapText="1"/>
    </xf>
    <xf numFmtId="0" fontId="48" fillId="22" borderId="6" xfId="0" applyFont="1" applyFill="1" applyBorder="1" applyAlignment="1">
      <alignment horizontal="left" vertical="center" wrapText="1"/>
    </xf>
    <xf numFmtId="0" fontId="45" fillId="20" borderId="7" xfId="0" applyFont="1" applyFill="1" applyBorder="1" applyAlignment="1">
      <alignment vertical="center" wrapText="1"/>
    </xf>
    <xf numFmtId="0" fontId="45" fillId="20" borderId="89" xfId="0" applyFont="1" applyFill="1" applyBorder="1" applyAlignment="1">
      <alignment horizontal="left" vertical="center" wrapText="1"/>
    </xf>
    <xf numFmtId="0" fontId="45" fillId="20" borderId="6" xfId="0" quotePrefix="1" applyFont="1" applyFill="1" applyBorder="1" applyAlignment="1">
      <alignment horizontal="left" vertical="center" wrapText="1"/>
    </xf>
    <xf numFmtId="164" fontId="45" fillId="20" borderId="6" xfId="0" applyNumberFormat="1" applyFont="1" applyFill="1" applyBorder="1" applyAlignment="1">
      <alignment horizontal="left" vertical="center" wrapText="1"/>
    </xf>
    <xf numFmtId="0" fontId="45" fillId="11" borderId="126" xfId="0" applyFont="1" applyFill="1" applyBorder="1" applyAlignment="1">
      <alignment horizontal="left" vertical="center" wrapText="1"/>
    </xf>
    <xf numFmtId="0" fontId="45" fillId="11" borderId="137" xfId="0" quotePrefix="1" applyFont="1" applyFill="1" applyBorder="1" applyAlignment="1">
      <alignment horizontal="left" vertical="center" wrapText="1"/>
    </xf>
    <xf numFmtId="164" fontId="45" fillId="11" borderId="137" xfId="0" applyNumberFormat="1" applyFont="1" applyFill="1" applyBorder="1" applyAlignment="1">
      <alignment horizontal="left" vertical="center" wrapText="1"/>
    </xf>
    <xf numFmtId="0" fontId="48" fillId="19" borderId="137" xfId="0" quotePrefix="1" applyFont="1" applyFill="1" applyBorder="1" applyAlignment="1">
      <alignment horizontal="left" vertical="center" wrapText="1"/>
    </xf>
    <xf numFmtId="0" fontId="48" fillId="12" borderId="7" xfId="0" applyFont="1" applyFill="1" applyBorder="1" applyAlignment="1">
      <alignment horizontal="left" vertical="center" wrapText="1"/>
    </xf>
    <xf numFmtId="0" fontId="45" fillId="12" borderId="6" xfId="0" quotePrefix="1" applyFont="1" applyFill="1" applyBorder="1" applyAlignment="1">
      <alignment horizontal="left" vertical="center" wrapText="1"/>
    </xf>
    <xf numFmtId="0" fontId="48" fillId="18" borderId="7" xfId="0" applyFont="1" applyFill="1" applyBorder="1" applyAlignment="1">
      <alignment horizontal="left" vertical="center" wrapText="1"/>
    </xf>
    <xf numFmtId="0" fontId="48" fillId="18" borderId="89" xfId="0" quotePrefix="1" applyFont="1" applyFill="1" applyBorder="1" applyAlignment="1">
      <alignment horizontal="left" vertical="center" wrapText="1"/>
    </xf>
    <xf numFmtId="0" fontId="48" fillId="18" borderId="6" xfId="0" quotePrefix="1" applyFont="1" applyFill="1" applyBorder="1" applyAlignment="1">
      <alignment horizontal="left" vertical="center" wrapText="1"/>
    </xf>
    <xf numFmtId="0" fontId="48" fillId="18" borderId="8" xfId="0" applyFont="1" applyFill="1" applyBorder="1" applyAlignment="1">
      <alignment horizontal="left" vertical="center" wrapText="1"/>
    </xf>
    <xf numFmtId="0" fontId="45" fillId="18" borderId="6" xfId="0" quotePrefix="1" applyFont="1" applyFill="1" applyBorder="1" applyAlignment="1">
      <alignment horizontal="left" vertical="center" wrapText="1"/>
    </xf>
    <xf numFmtId="0" fontId="48" fillId="7" borderId="97" xfId="0" applyFont="1" applyFill="1" applyBorder="1" applyAlignment="1">
      <alignment horizontal="left" vertical="center" wrapText="1"/>
    </xf>
    <xf numFmtId="0" fontId="48" fillId="7" borderId="89" xfId="0" quotePrefix="1" applyFont="1" applyFill="1" applyBorder="1" applyAlignment="1">
      <alignment horizontal="left" vertical="center" wrapText="1"/>
    </xf>
    <xf numFmtId="0" fontId="48" fillId="7" borderId="6" xfId="0" quotePrefix="1" applyFont="1" applyFill="1" applyBorder="1" applyAlignment="1">
      <alignment horizontal="left" vertical="center" wrapText="1"/>
    </xf>
    <xf numFmtId="0" fontId="48" fillId="7" borderId="8" xfId="0" applyFont="1" applyFill="1" applyBorder="1" applyAlignment="1">
      <alignment horizontal="left" vertical="center" wrapText="1"/>
    </xf>
    <xf numFmtId="0" fontId="57" fillId="7" borderId="7" xfId="0" applyFont="1" applyFill="1" applyBorder="1" applyAlignment="1">
      <alignment horizontal="left" vertical="center" wrapText="1"/>
    </xf>
    <xf numFmtId="0" fontId="45" fillId="9" borderId="89" xfId="0" applyFont="1" applyFill="1" applyBorder="1" applyAlignment="1">
      <alignment horizontal="left" vertical="center" wrapText="1"/>
    </xf>
    <xf numFmtId="0" fontId="45" fillId="9" borderId="6" xfId="0" quotePrefix="1" applyFont="1" applyFill="1" applyBorder="1" applyAlignment="1">
      <alignment horizontal="left" vertical="center" wrapText="1"/>
    </xf>
    <xf numFmtId="164" fontId="45" fillId="9" borderId="6" xfId="0" applyNumberFormat="1" applyFont="1" applyFill="1" applyBorder="1" applyAlignment="1">
      <alignment horizontal="left" vertical="center" wrapText="1"/>
    </xf>
    <xf numFmtId="0" fontId="48" fillId="9" borderId="7" xfId="0" applyFont="1" applyFill="1" applyBorder="1" applyAlignment="1">
      <alignment horizontal="left" vertical="center" wrapText="1"/>
    </xf>
    <xf numFmtId="0" fontId="48" fillId="9" borderId="6" xfId="0" quotePrefix="1" applyFont="1" applyFill="1" applyBorder="1" applyAlignment="1">
      <alignment horizontal="left" vertical="center" wrapText="1"/>
    </xf>
    <xf numFmtId="2" fontId="48" fillId="9" borderId="6" xfId="0" applyNumberFormat="1" applyFont="1" applyFill="1" applyBorder="1" applyAlignment="1">
      <alignment horizontal="left" vertical="center" wrapText="1"/>
    </xf>
    <xf numFmtId="0" fontId="48" fillId="9" borderId="8" xfId="0" applyFont="1" applyFill="1" applyBorder="1" applyAlignment="1">
      <alignment horizontal="left" vertical="center" wrapText="1"/>
    </xf>
    <xf numFmtId="0" fontId="48" fillId="9" borderId="114" xfId="0" quotePrefix="1" applyFont="1" applyFill="1" applyBorder="1" applyAlignment="1">
      <alignment horizontal="left" vertical="center" wrapText="1"/>
    </xf>
    <xf numFmtId="0" fontId="48" fillId="9" borderId="127" xfId="0" quotePrefix="1" applyFont="1" applyFill="1" applyBorder="1" applyAlignment="1">
      <alignment horizontal="left" vertical="center" wrapText="1"/>
    </xf>
    <xf numFmtId="0" fontId="48" fillId="9" borderId="89" xfId="0" quotePrefix="1" applyFont="1" applyFill="1" applyBorder="1" applyAlignment="1">
      <alignment horizontal="left" vertical="center" wrapText="1"/>
    </xf>
    <xf numFmtId="0" fontId="48" fillId="9" borderId="137" xfId="0" quotePrefix="1" applyFont="1" applyFill="1" applyBorder="1" applyAlignment="1">
      <alignment horizontal="left" vertical="center" wrapText="1"/>
    </xf>
    <xf numFmtId="0" fontId="48" fillId="9" borderId="8" xfId="0" quotePrefix="1" applyFont="1" applyFill="1" applyBorder="1" applyAlignment="1">
      <alignment horizontal="left" vertical="center" wrapText="1"/>
    </xf>
    <xf numFmtId="0" fontId="48" fillId="9" borderId="9" xfId="0" applyFont="1" applyFill="1" applyBorder="1" applyAlignment="1">
      <alignment horizontal="left" vertical="center" wrapText="1"/>
    </xf>
    <xf numFmtId="0" fontId="48" fillId="9" borderId="10" xfId="0" quotePrefix="1" applyFont="1" applyFill="1" applyBorder="1" applyAlignment="1">
      <alignment horizontal="left" vertical="center" wrapText="1"/>
    </xf>
    <xf numFmtId="0" fontId="48" fillId="9" borderId="11" xfId="0" quotePrefix="1" applyFont="1" applyFill="1" applyBorder="1" applyAlignment="1">
      <alignment horizontal="left" vertical="center" wrapText="1"/>
    </xf>
    <xf numFmtId="0" fontId="52" fillId="8" borderId="80" xfId="0" applyFont="1" applyFill="1" applyBorder="1" applyAlignment="1">
      <alignment horizontal="left" vertical="center" wrapText="1"/>
    </xf>
    <xf numFmtId="0" fontId="52" fillId="8" borderId="77" xfId="0" applyFont="1" applyFill="1" applyBorder="1" applyAlignment="1">
      <alignment horizontal="left" vertical="center" wrapText="1"/>
    </xf>
    <xf numFmtId="0" fontId="48" fillId="8" borderId="81" xfId="0" applyFont="1" applyFill="1" applyBorder="1" applyAlignment="1">
      <alignment horizontal="left" vertical="center" wrapText="1"/>
    </xf>
    <xf numFmtId="0" fontId="52" fillId="8" borderId="82" xfId="0" applyFont="1" applyFill="1" applyBorder="1" applyAlignment="1">
      <alignment horizontal="left" vertical="center" wrapText="1"/>
    </xf>
    <xf numFmtId="0" fontId="52" fillId="8" borderId="7" xfId="0" applyFont="1" applyFill="1" applyBorder="1" applyAlignment="1">
      <alignment horizontal="left" vertical="center" wrapText="1"/>
    </xf>
    <xf numFmtId="0" fontId="52" fillId="8" borderId="89" xfId="0" applyFont="1" applyFill="1" applyBorder="1" applyAlignment="1">
      <alignment horizontal="left" vertical="center" wrapText="1"/>
    </xf>
    <xf numFmtId="0" fontId="52" fillId="8" borderId="8" xfId="0" applyFont="1" applyFill="1" applyBorder="1" applyAlignment="1">
      <alignment horizontal="left" vertical="center" wrapText="1"/>
    </xf>
    <xf numFmtId="0" fontId="52" fillId="11" borderId="126" xfId="0" applyFont="1" applyFill="1" applyBorder="1" applyAlignment="1">
      <alignment horizontal="left" vertical="center" wrapText="1"/>
    </xf>
    <xf numFmtId="0" fontId="52" fillId="11" borderId="127" xfId="0" applyFont="1" applyFill="1" applyBorder="1" applyAlignment="1">
      <alignment horizontal="left" vertical="center" wrapText="1"/>
    </xf>
    <xf numFmtId="0" fontId="52" fillId="19" borderId="127" xfId="0" applyFont="1" applyFill="1" applyBorder="1" applyAlignment="1">
      <alignment horizontal="left" vertical="center" wrapText="1"/>
    </xf>
    <xf numFmtId="0" fontId="52" fillId="10" borderId="89" xfId="0" applyFont="1" applyFill="1" applyBorder="1" applyAlignment="1">
      <alignment horizontal="left" vertical="center" wrapText="1"/>
    </xf>
    <xf numFmtId="0" fontId="52" fillId="12" borderId="7" xfId="0" applyFont="1" applyFill="1" applyBorder="1" applyAlignment="1">
      <alignment horizontal="left" vertical="center" wrapText="1"/>
    </xf>
    <xf numFmtId="0" fontId="52" fillId="12" borderId="89" xfId="0" applyFont="1" applyFill="1" applyBorder="1" applyAlignment="1">
      <alignment horizontal="left" vertical="center" wrapText="1"/>
    </xf>
    <xf numFmtId="0" fontId="52" fillId="12" borderId="8" xfId="0" applyFont="1" applyFill="1" applyBorder="1" applyAlignment="1">
      <alignment horizontal="left" vertical="center" wrapText="1"/>
    </xf>
    <xf numFmtId="0" fontId="52" fillId="9" borderId="89" xfId="0" applyFont="1" applyFill="1" applyBorder="1" applyAlignment="1">
      <alignment horizontal="left" vertical="center" wrapText="1"/>
    </xf>
    <xf numFmtId="0" fontId="52" fillId="16" borderId="7" xfId="0" applyFont="1" applyFill="1" applyBorder="1" applyAlignment="1">
      <alignment horizontal="left" vertical="center" wrapText="1"/>
    </xf>
    <xf numFmtId="0" fontId="52" fillId="16" borderId="89" xfId="0" applyFont="1" applyFill="1" applyBorder="1" applyAlignment="1">
      <alignment horizontal="left" vertical="center" wrapText="1"/>
    </xf>
    <xf numFmtId="0" fontId="48" fillId="16" borderId="6" xfId="0" applyFont="1" applyFill="1" applyBorder="1" applyAlignment="1">
      <alignment horizontal="left" vertical="center" wrapText="1"/>
    </xf>
    <xf numFmtId="0" fontId="52" fillId="16" borderId="8" xfId="0" applyFont="1" applyFill="1" applyBorder="1" applyAlignment="1">
      <alignment horizontal="left" vertical="center" wrapText="1"/>
    </xf>
    <xf numFmtId="0" fontId="52" fillId="16" borderId="9" xfId="0" applyFont="1" applyFill="1" applyBorder="1" applyAlignment="1">
      <alignment horizontal="left" vertical="center" wrapText="1"/>
    </xf>
    <xf numFmtId="0" fontId="48" fillId="16" borderId="10" xfId="0" applyFont="1" applyFill="1" applyBorder="1" applyAlignment="1">
      <alignment horizontal="left" vertical="center" wrapText="1"/>
    </xf>
    <xf numFmtId="0" fontId="52" fillId="16" borderId="11" xfId="0" applyFont="1" applyFill="1" applyBorder="1" applyAlignment="1">
      <alignment horizontal="left" vertical="center" wrapText="1"/>
    </xf>
    <xf numFmtId="0" fontId="55" fillId="7" borderId="4" xfId="0" applyFont="1" applyFill="1" applyBorder="1" applyAlignment="1">
      <alignment horizontal="left" vertical="center" wrapText="1"/>
    </xf>
    <xf numFmtId="0" fontId="56" fillId="7" borderId="35" xfId="0" applyFont="1" applyFill="1" applyBorder="1" applyAlignment="1">
      <alignment horizontal="left" vertical="center" wrapText="1"/>
    </xf>
    <xf numFmtId="0" fontId="56" fillId="7" borderId="37" xfId="0" applyFont="1" applyFill="1" applyBorder="1" applyAlignment="1">
      <alignment horizontal="left" vertical="center" wrapText="1"/>
    </xf>
    <xf numFmtId="166" fontId="48" fillId="20" borderId="90" xfId="0" applyNumberFormat="1" applyFont="1" applyFill="1" applyBorder="1" applyAlignment="1">
      <alignment horizontal="left" vertical="center" wrapText="1"/>
    </xf>
    <xf numFmtId="0" fontId="48" fillId="20" borderId="94" xfId="0" applyFont="1" applyFill="1" applyBorder="1" applyAlignment="1">
      <alignment horizontal="left" vertical="center" wrapText="1"/>
    </xf>
    <xf numFmtId="166" fontId="48" fillId="20" borderId="137" xfId="0" applyNumberFormat="1" applyFont="1" applyFill="1" applyBorder="1" applyAlignment="1">
      <alignment horizontal="left" vertical="center" wrapText="1"/>
    </xf>
    <xf numFmtId="167" fontId="48" fillId="20" borderId="137" xfId="0" applyNumberFormat="1" applyFont="1" applyFill="1" applyBorder="1" applyAlignment="1">
      <alignment horizontal="left" vertical="center" wrapText="1"/>
    </xf>
    <xf numFmtId="0" fontId="48" fillId="20" borderId="137" xfId="0" quotePrefix="1" applyFont="1" applyFill="1" applyBorder="1" applyAlignment="1">
      <alignment horizontal="left" vertical="center" wrapText="1"/>
    </xf>
    <xf numFmtId="0" fontId="48" fillId="20" borderId="127" xfId="0" applyFont="1" applyFill="1" applyBorder="1" applyAlignment="1">
      <alignment horizontal="left" vertical="center" wrapText="1"/>
    </xf>
    <xf numFmtId="166" fontId="48" fillId="20" borderId="125" xfId="0" applyNumberFormat="1" applyFont="1" applyFill="1" applyBorder="1" applyAlignment="1">
      <alignment horizontal="left" vertical="center" wrapText="1"/>
    </xf>
    <xf numFmtId="0" fontId="48" fillId="20" borderId="125" xfId="0" quotePrefix="1" applyFont="1" applyFill="1" applyBorder="1" applyAlignment="1">
      <alignment horizontal="left" vertical="center" wrapText="1"/>
    </xf>
    <xf numFmtId="0" fontId="48" fillId="20" borderId="129" xfId="0" applyFont="1" applyFill="1" applyBorder="1" applyAlignment="1">
      <alignment horizontal="left" vertical="center" wrapText="1"/>
    </xf>
    <xf numFmtId="0" fontId="55" fillId="7" borderId="45" xfId="0" applyFont="1" applyFill="1" applyBorder="1" applyAlignment="1">
      <alignment horizontal="left" vertical="center" wrapText="1"/>
    </xf>
    <xf numFmtId="0" fontId="48" fillId="20" borderId="77" xfId="0" applyFont="1" applyFill="1" applyBorder="1" applyAlignment="1">
      <alignment horizontal="left" vertical="center" wrapText="1"/>
    </xf>
    <xf numFmtId="167" fontId="48" fillId="20" borderId="67" xfId="0" applyNumberFormat="1" applyFont="1" applyFill="1" applyBorder="1" applyAlignment="1">
      <alignment horizontal="left" vertical="center" wrapText="1"/>
    </xf>
    <xf numFmtId="0" fontId="48" fillId="20" borderId="67" xfId="0" quotePrefix="1" applyFont="1" applyFill="1" applyBorder="1" applyAlignment="1">
      <alignment horizontal="left" vertical="center" wrapText="1"/>
    </xf>
    <xf numFmtId="0" fontId="48" fillId="20" borderId="68" xfId="0" applyFont="1" applyFill="1" applyBorder="1" applyAlignment="1">
      <alignment horizontal="left" vertical="center" wrapText="1"/>
    </xf>
    <xf numFmtId="167" fontId="48" fillId="20" borderId="6" xfId="0" applyNumberFormat="1" applyFont="1" applyFill="1" applyBorder="1" applyAlignment="1">
      <alignment horizontal="left" vertical="center" wrapText="1"/>
    </xf>
    <xf numFmtId="0" fontId="48" fillId="20" borderId="6" xfId="0" quotePrefix="1" applyFont="1" applyFill="1" applyBorder="1" applyAlignment="1">
      <alignment horizontal="left" vertical="center" wrapText="1"/>
    </xf>
    <xf numFmtId="0" fontId="48" fillId="20" borderId="8" xfId="0" applyFont="1" applyFill="1" applyBorder="1" applyAlignment="1">
      <alignment horizontal="left" vertical="center" wrapText="1"/>
    </xf>
    <xf numFmtId="167" fontId="48" fillId="20" borderId="10" xfId="0" applyNumberFormat="1" applyFont="1" applyFill="1" applyBorder="1" applyAlignment="1">
      <alignment horizontal="left" vertical="center" wrapText="1"/>
    </xf>
    <xf numFmtId="0" fontId="48" fillId="20" borderId="10" xfId="0" quotePrefix="1" applyFont="1" applyFill="1" applyBorder="1" applyAlignment="1">
      <alignment horizontal="left" vertical="center" wrapText="1"/>
    </xf>
    <xf numFmtId="0" fontId="48" fillId="20" borderId="11" xfId="0" applyFont="1" applyFill="1" applyBorder="1" applyAlignment="1">
      <alignment horizontal="left" vertical="center" wrapText="1"/>
    </xf>
    <xf numFmtId="167" fontId="48" fillId="20" borderId="81" xfId="0" applyNumberFormat="1" applyFont="1" applyFill="1" applyBorder="1" applyAlignment="1">
      <alignment horizontal="left" vertical="center" wrapText="1"/>
    </xf>
    <xf numFmtId="0" fontId="48" fillId="20" borderId="81" xfId="0" quotePrefix="1" applyFont="1" applyFill="1" applyBorder="1" applyAlignment="1">
      <alignment horizontal="left" vertical="center" wrapText="1"/>
    </xf>
    <xf numFmtId="0" fontId="48" fillId="20" borderId="82" xfId="0" applyFont="1" applyFill="1" applyBorder="1" applyAlignment="1">
      <alignment horizontal="left" vertical="center" wrapText="1"/>
    </xf>
    <xf numFmtId="0" fontId="48" fillId="20" borderId="97" xfId="0" applyFont="1" applyFill="1" applyBorder="1" applyAlignment="1">
      <alignment horizontal="left" vertical="center" wrapText="1"/>
    </xf>
    <xf numFmtId="0" fontId="48" fillId="20" borderId="8" xfId="0" applyFont="1" applyFill="1" applyBorder="1" applyAlignment="1">
      <alignment horizontal="center" vertical="center" wrapText="1"/>
    </xf>
    <xf numFmtId="0" fontId="48" fillId="20" borderId="29" xfId="0" applyFont="1" applyFill="1" applyBorder="1" applyAlignment="1">
      <alignment horizontal="left" vertical="center" wrapText="1"/>
    </xf>
    <xf numFmtId="0" fontId="48" fillId="20" borderId="36" xfId="0" applyFont="1" applyFill="1" applyBorder="1" applyAlignment="1">
      <alignment horizontal="left" vertical="center" wrapText="1"/>
    </xf>
    <xf numFmtId="0" fontId="48" fillId="20" borderId="60" xfId="24" applyFont="1" applyFill="1" applyBorder="1" applyAlignment="1">
      <alignment horizontal="left" vertical="center" wrapText="1"/>
    </xf>
    <xf numFmtId="0" fontId="48" fillId="20" borderId="61" xfId="24" applyFont="1" applyFill="1" applyBorder="1" applyAlignment="1">
      <alignment horizontal="left" vertical="center" wrapText="1"/>
    </xf>
    <xf numFmtId="167" fontId="48" fillId="20" borderId="61" xfId="0" applyNumberFormat="1" applyFont="1" applyFill="1" applyBorder="1" applyAlignment="1">
      <alignment horizontal="left" vertical="center" wrapText="1"/>
    </xf>
    <xf numFmtId="0" fontId="48" fillId="20" borderId="61" xfId="0" quotePrefix="1" applyFont="1" applyFill="1" applyBorder="1" applyAlignment="1">
      <alignment horizontal="left" vertical="center" wrapText="1"/>
    </xf>
    <xf numFmtId="0" fontId="48" fillId="20" borderId="62" xfId="0" applyFont="1" applyFill="1" applyBorder="1" applyAlignment="1">
      <alignment horizontal="left" vertical="center" wrapText="1"/>
    </xf>
    <xf numFmtId="0" fontId="48" fillId="20" borderId="7" xfId="24" applyFont="1" applyFill="1" applyBorder="1" applyAlignment="1">
      <alignment horizontal="left" vertical="center" wrapText="1"/>
    </xf>
    <xf numFmtId="0" fontId="48" fillId="20" borderId="6" xfId="24" applyFont="1" applyFill="1" applyBorder="1" applyAlignment="1">
      <alignment horizontal="left" vertical="center" wrapText="1"/>
    </xf>
    <xf numFmtId="0" fontId="48" fillId="20" borderId="9" xfId="24" applyFont="1" applyFill="1" applyBorder="1" applyAlignment="1">
      <alignment horizontal="left" vertical="center" wrapText="1"/>
    </xf>
    <xf numFmtId="0" fontId="48" fillId="20" borderId="10" xfId="24" applyFont="1" applyFill="1" applyBorder="1" applyAlignment="1">
      <alignment horizontal="left" vertical="center" wrapText="1"/>
    </xf>
    <xf numFmtId="0" fontId="48" fillId="20" borderId="38" xfId="0" applyFont="1" applyFill="1" applyBorder="1" applyAlignment="1">
      <alignment horizontal="left" vertical="center" wrapText="1"/>
    </xf>
    <xf numFmtId="167" fontId="48" fillId="20" borderId="14" xfId="0" applyNumberFormat="1" applyFont="1" applyFill="1" applyBorder="1" applyAlignment="1">
      <alignment horizontal="left" vertical="center" wrapText="1"/>
    </xf>
    <xf numFmtId="0" fontId="48" fillId="20" borderId="39" xfId="0" applyFont="1" applyFill="1" applyBorder="1" applyAlignment="1">
      <alignment horizontal="left" vertical="center" wrapText="1"/>
    </xf>
    <xf numFmtId="165" fontId="48" fillId="20" borderId="10" xfId="0" applyNumberFormat="1" applyFont="1" applyFill="1" applyBorder="1" applyAlignment="1">
      <alignment horizontal="left" vertical="center" wrapText="1"/>
    </xf>
    <xf numFmtId="0" fontId="56" fillId="7" borderId="110" xfId="0" applyFont="1" applyFill="1" applyBorder="1" applyAlignment="1">
      <alignment horizontal="left" vertical="center" wrapText="1"/>
    </xf>
    <xf numFmtId="0" fontId="48" fillId="20" borderId="123" xfId="0" quotePrefix="1" applyFont="1" applyFill="1" applyBorder="1" applyAlignment="1">
      <alignment horizontal="left" vertical="center" wrapText="1"/>
    </xf>
    <xf numFmtId="0" fontId="48" fillId="20" borderId="124" xfId="0" applyFont="1" applyFill="1" applyBorder="1" applyAlignment="1">
      <alignment horizontal="left" vertical="center" wrapText="1"/>
    </xf>
    <xf numFmtId="0" fontId="48" fillId="20" borderId="114" xfId="0" quotePrefix="1" applyFont="1" applyFill="1" applyBorder="1" applyAlignment="1">
      <alignment horizontal="left" vertical="center" wrapText="1"/>
    </xf>
    <xf numFmtId="0" fontId="48" fillId="20" borderId="98" xfId="0" applyFont="1" applyFill="1" applyBorder="1" applyAlignment="1">
      <alignment horizontal="left" vertical="center" wrapText="1"/>
    </xf>
    <xf numFmtId="0" fontId="55" fillId="7" borderId="131" xfId="0" applyFont="1" applyFill="1" applyBorder="1" applyAlignment="1">
      <alignment horizontal="left" vertical="center" wrapText="1"/>
    </xf>
    <xf numFmtId="0" fontId="48" fillId="20" borderId="90" xfId="0" quotePrefix="1" applyFont="1" applyFill="1" applyBorder="1" applyAlignment="1">
      <alignment horizontal="left" vertical="center" wrapText="1"/>
    </xf>
    <xf numFmtId="0" fontId="48" fillId="20" borderId="148" xfId="0" quotePrefix="1" applyFont="1" applyFill="1" applyBorder="1" applyAlignment="1">
      <alignment horizontal="left" vertical="center" wrapText="1"/>
    </xf>
    <xf numFmtId="11" fontId="48" fillId="20" borderId="123" xfId="0" applyNumberFormat="1" applyFont="1" applyFill="1" applyBorder="1" applyAlignment="1">
      <alignment horizontal="left" vertical="center" wrapText="1"/>
    </xf>
    <xf numFmtId="11" fontId="48" fillId="20" borderId="114" xfId="0" applyNumberFormat="1" applyFont="1" applyFill="1" applyBorder="1" applyAlignment="1">
      <alignment horizontal="left" vertical="center" wrapText="1"/>
    </xf>
    <xf numFmtId="0" fontId="48" fillId="20" borderId="112" xfId="0" applyFont="1" applyFill="1" applyBorder="1" applyAlignment="1">
      <alignment horizontal="left" vertical="center" wrapText="1"/>
    </xf>
    <xf numFmtId="0" fontId="48" fillId="20" borderId="88" xfId="0" applyFont="1" applyFill="1" applyBorder="1" applyAlignment="1">
      <alignment horizontal="left" vertical="center" wrapText="1"/>
    </xf>
    <xf numFmtId="11" fontId="48" fillId="20" borderId="88" xfId="0" applyNumberFormat="1" applyFont="1" applyFill="1" applyBorder="1" applyAlignment="1">
      <alignment horizontal="left" vertical="center" wrapText="1"/>
    </xf>
    <xf numFmtId="0" fontId="48" fillId="20" borderId="88" xfId="0" quotePrefix="1" applyFont="1" applyFill="1" applyBorder="1" applyAlignment="1">
      <alignment horizontal="left" vertical="center" wrapText="1"/>
    </xf>
    <xf numFmtId="0" fontId="48" fillId="20" borderId="111" xfId="0" applyFont="1" applyFill="1" applyBorder="1" applyAlignment="1">
      <alignment horizontal="left" vertical="center" wrapText="1"/>
    </xf>
    <xf numFmtId="0" fontId="48" fillId="4" borderId="88" xfId="0" applyFont="1" applyFill="1" applyBorder="1" applyAlignment="1">
      <alignment horizontal="left" vertical="center" wrapText="1"/>
    </xf>
    <xf numFmtId="0" fontId="45" fillId="4" borderId="150" xfId="0" quotePrefix="1" applyFont="1" applyFill="1" applyBorder="1" applyAlignment="1">
      <alignment horizontal="left" vertical="center" wrapText="1"/>
    </xf>
    <xf numFmtId="0" fontId="48" fillId="10" borderId="152" xfId="0" applyFont="1" applyFill="1" applyBorder="1" applyAlignment="1">
      <alignment vertical="center" wrapText="1"/>
    </xf>
    <xf numFmtId="0" fontId="48" fillId="10" borderId="150" xfId="0" applyFont="1" applyFill="1" applyBorder="1" applyAlignment="1">
      <alignment vertical="center" wrapText="1"/>
    </xf>
    <xf numFmtId="0" fontId="48" fillId="10" borderId="150" xfId="0" quotePrefix="1" applyFont="1" applyFill="1" applyBorder="1" applyAlignment="1">
      <alignment horizontal="left" vertical="center" wrapText="1"/>
    </xf>
    <xf numFmtId="0" fontId="48" fillId="22" borderId="152" xfId="0" applyFont="1" applyFill="1" applyBorder="1" applyAlignment="1">
      <alignment vertical="center" wrapText="1"/>
    </xf>
    <xf numFmtId="0" fontId="48" fillId="22" borderId="150" xfId="0" applyFont="1" applyFill="1" applyBorder="1" applyAlignment="1">
      <alignment vertical="center" wrapText="1"/>
    </xf>
    <xf numFmtId="0" fontId="48" fillId="22" borderId="150" xfId="0" quotePrefix="1" applyFont="1" applyFill="1" applyBorder="1" applyAlignment="1">
      <alignment horizontal="left" vertical="center" wrapText="1"/>
    </xf>
    <xf numFmtId="2" fontId="48" fillId="22" borderId="150" xfId="0" applyNumberFormat="1" applyFont="1" applyFill="1" applyBorder="1" applyAlignment="1">
      <alignment horizontal="left" vertical="center" wrapText="1"/>
    </xf>
    <xf numFmtId="0" fontId="48" fillId="22" borderId="151" xfId="0" quotePrefix="1" applyFont="1" applyFill="1" applyBorder="1" applyAlignment="1">
      <alignment vertical="center" wrapText="1"/>
    </xf>
    <xf numFmtId="0" fontId="48" fillId="22" borderId="150" xfId="0" applyFont="1" applyFill="1" applyBorder="1" applyAlignment="1">
      <alignment horizontal="left" vertical="center" wrapText="1"/>
    </xf>
    <xf numFmtId="0" fontId="48" fillId="20" borderId="152" xfId="0" applyFont="1" applyFill="1" applyBorder="1" applyAlignment="1">
      <alignment vertical="center" wrapText="1"/>
    </xf>
    <xf numFmtId="0" fontId="48" fillId="20" borderId="150" xfId="0" applyFont="1" applyFill="1" applyBorder="1" applyAlignment="1">
      <alignment vertical="center" wrapText="1"/>
    </xf>
    <xf numFmtId="0" fontId="48" fillId="20" borderId="150" xfId="0" quotePrefix="1" applyFont="1" applyFill="1" applyBorder="1" applyAlignment="1">
      <alignment horizontal="left" vertical="center" wrapText="1"/>
    </xf>
    <xf numFmtId="0" fontId="45" fillId="20" borderId="150" xfId="0" quotePrefix="1" applyFont="1" applyFill="1" applyBorder="1" applyAlignment="1">
      <alignment horizontal="left" vertical="center" wrapText="1"/>
    </xf>
    <xf numFmtId="0" fontId="48" fillId="20" borderId="150" xfId="0" applyFont="1" applyFill="1" applyBorder="1" applyAlignment="1">
      <alignment horizontal="left" vertical="center" wrapText="1"/>
    </xf>
    <xf numFmtId="0" fontId="0" fillId="0" borderId="0" xfId="0" applyAlignment="1">
      <alignment vertical="center" wrapText="1"/>
    </xf>
    <xf numFmtId="0" fontId="75" fillId="0" borderId="0" xfId="0" applyFont="1" applyAlignment="1">
      <alignment horizontal="left" vertical="center" wrapText="1"/>
    </xf>
    <xf numFmtId="0" fontId="48" fillId="10" borderId="167" xfId="0" applyFont="1" applyFill="1" applyBorder="1" applyAlignment="1">
      <alignment horizontal="left" vertical="center" wrapText="1"/>
    </xf>
    <xf numFmtId="0" fontId="48" fillId="10" borderId="184" xfId="0" applyFont="1" applyFill="1" applyBorder="1" applyAlignment="1">
      <alignment horizontal="left" vertical="center" wrapText="1"/>
    </xf>
    <xf numFmtId="0" fontId="45" fillId="10" borderId="168" xfId="0" applyFont="1" applyFill="1" applyBorder="1" applyAlignment="1">
      <alignment horizontal="left" vertical="center" wrapText="1"/>
    </xf>
    <xf numFmtId="0" fontId="33" fillId="0" borderId="0" xfId="0" applyFont="1" applyAlignment="1">
      <alignment horizontal="left" vertical="center" wrapText="1"/>
    </xf>
    <xf numFmtId="0" fontId="45" fillId="10" borderId="151" xfId="0" applyFont="1" applyFill="1" applyBorder="1" applyAlignment="1">
      <alignment horizontal="left" vertical="center" wrapText="1"/>
    </xf>
    <xf numFmtId="0" fontId="48" fillId="10" borderId="93" xfId="0" applyFont="1" applyFill="1" applyBorder="1" applyAlignment="1">
      <alignment horizontal="left" vertical="center" wrapText="1"/>
    </xf>
    <xf numFmtId="0" fontId="45" fillId="10" borderId="94" xfId="0" applyFont="1" applyFill="1" applyBorder="1" applyAlignment="1">
      <alignment horizontal="left" vertical="center" wrapText="1"/>
    </xf>
    <xf numFmtId="0" fontId="52" fillId="10" borderId="152" xfId="0" applyFont="1" applyFill="1" applyBorder="1" applyAlignment="1">
      <alignment horizontal="left" vertical="center" wrapText="1"/>
    </xf>
    <xf numFmtId="0" fontId="55" fillId="0" borderId="0" xfId="0" applyFont="1" applyAlignment="1">
      <alignment vertical="center" wrapText="1"/>
    </xf>
    <xf numFmtId="0" fontId="48" fillId="10" borderId="189" xfId="0" applyFont="1" applyFill="1" applyBorder="1" applyAlignment="1">
      <alignment horizontal="left" vertical="center" wrapText="1"/>
    </xf>
    <xf numFmtId="0" fontId="45" fillId="10" borderId="190" xfId="0" applyFont="1" applyFill="1" applyBorder="1" applyAlignment="1">
      <alignment horizontal="left" vertical="center" wrapText="1"/>
    </xf>
    <xf numFmtId="0" fontId="48" fillId="10" borderId="7" xfId="0" applyFont="1" applyFill="1" applyBorder="1" applyAlignment="1">
      <alignment horizontal="left" vertical="center" wrapText="1"/>
    </xf>
    <xf numFmtId="0" fontId="45" fillId="10" borderId="8" xfId="0" applyFont="1" applyFill="1" applyBorder="1" applyAlignment="1">
      <alignment horizontal="left" vertical="center" wrapText="1"/>
    </xf>
    <xf numFmtId="0" fontId="48" fillId="10" borderId="97" xfId="0" applyFont="1" applyFill="1" applyBorder="1" applyAlignment="1">
      <alignment horizontal="left" vertical="center" wrapText="1"/>
    </xf>
    <xf numFmtId="0" fontId="48" fillId="10" borderId="9" xfId="0" applyFont="1" applyFill="1" applyBorder="1" applyAlignment="1">
      <alignment horizontal="left" vertical="center" wrapText="1"/>
    </xf>
    <xf numFmtId="0" fontId="45" fillId="10" borderId="11" xfId="0" applyFont="1" applyFill="1" applyBorder="1" applyAlignment="1">
      <alignment horizontal="left" vertical="center" wrapText="1"/>
    </xf>
    <xf numFmtId="0" fontId="48" fillId="7" borderId="93" xfId="0" applyFont="1" applyFill="1" applyBorder="1" applyAlignment="1">
      <alignment horizontal="left" vertical="center" wrapText="1"/>
    </xf>
    <xf numFmtId="0" fontId="48" fillId="7" borderId="90" xfId="0" applyFont="1" applyFill="1" applyBorder="1" applyAlignment="1">
      <alignment horizontal="left" vertical="center" wrapText="1"/>
    </xf>
    <xf numFmtId="0" fontId="45" fillId="7" borderId="94" xfId="0" applyFont="1" applyFill="1" applyBorder="1" applyAlignment="1">
      <alignment horizontal="left" vertical="center" wrapText="1"/>
    </xf>
    <xf numFmtId="0" fontId="45" fillId="7" borderId="8" xfId="0" applyFont="1" applyFill="1" applyBorder="1" applyAlignment="1">
      <alignment horizontal="left" vertical="center" wrapText="1"/>
    </xf>
    <xf numFmtId="0" fontId="48" fillId="7" borderId="9" xfId="0" applyFont="1" applyFill="1" applyBorder="1" applyAlignment="1">
      <alignment horizontal="left" vertical="center" wrapText="1"/>
    </xf>
    <xf numFmtId="0" fontId="45" fillId="7" borderId="11" xfId="0" applyFont="1" applyFill="1" applyBorder="1" applyAlignment="1">
      <alignment horizontal="left" vertical="center" wrapText="1"/>
    </xf>
    <xf numFmtId="0" fontId="48" fillId="8" borderId="39" xfId="0" applyFont="1" applyFill="1" applyBorder="1" applyAlignment="1">
      <alignment horizontal="left" vertical="center" wrapText="1"/>
    </xf>
    <xf numFmtId="0" fontId="48" fillId="8" borderId="127" xfId="0" applyFont="1" applyFill="1" applyBorder="1" applyAlignment="1">
      <alignment horizontal="left" vertical="center" wrapText="1"/>
    </xf>
    <xf numFmtId="0" fontId="48" fillId="8" borderId="129" xfId="0" applyFont="1" applyFill="1" applyBorder="1" applyAlignment="1">
      <alignment horizontal="left" vertical="center" wrapText="1"/>
    </xf>
    <xf numFmtId="2" fontId="48" fillId="25" borderId="14" xfId="0" applyNumberFormat="1" applyFont="1" applyFill="1" applyBorder="1" applyAlignment="1">
      <alignment horizontal="left" vertical="center" wrapText="1"/>
    </xf>
    <xf numFmtId="0" fontId="48" fillId="25" borderId="39" xfId="0" applyFont="1" applyFill="1" applyBorder="1" applyAlignment="1">
      <alignment horizontal="left" vertical="center" wrapText="1"/>
    </xf>
    <xf numFmtId="0" fontId="48" fillId="25" borderId="8" xfId="0" applyFont="1" applyFill="1" applyBorder="1" applyAlignment="1">
      <alignment horizontal="left" vertical="center" wrapText="1"/>
    </xf>
    <xf numFmtId="165" fontId="48" fillId="25" borderId="10" xfId="0" applyNumberFormat="1" applyFont="1" applyFill="1" applyBorder="1" applyAlignment="1">
      <alignment horizontal="left" vertical="center" wrapText="1"/>
    </xf>
    <xf numFmtId="0" fontId="48" fillId="25" borderId="11" xfId="0" applyFont="1" applyFill="1" applyBorder="1" applyAlignment="1">
      <alignment horizontal="left" vertical="center" wrapText="1"/>
    </xf>
    <xf numFmtId="0" fontId="48" fillId="11" borderId="129" xfId="0" applyFont="1" applyFill="1" applyBorder="1" applyAlignment="1">
      <alignment horizontal="left" vertical="center" wrapText="1"/>
    </xf>
    <xf numFmtId="164" fontId="48" fillId="12" borderId="123" xfId="0" applyNumberFormat="1" applyFont="1" applyFill="1" applyBorder="1" applyAlignment="1">
      <alignment horizontal="left" vertical="center" wrapText="1"/>
    </xf>
    <xf numFmtId="0" fontId="48" fillId="12" borderId="124" xfId="0" applyFont="1" applyFill="1" applyBorder="1" applyAlignment="1">
      <alignment horizontal="left" vertical="center" wrapText="1"/>
    </xf>
    <xf numFmtId="164" fontId="48" fillId="12" borderId="114" xfId="0" applyNumberFormat="1" applyFont="1" applyFill="1" applyBorder="1" applyAlignment="1">
      <alignment horizontal="left" vertical="center" wrapText="1"/>
    </xf>
    <xf numFmtId="0" fontId="48" fillId="12" borderId="127" xfId="0" applyFont="1" applyFill="1" applyBorder="1" applyAlignment="1">
      <alignment horizontal="left" vertical="center" wrapText="1"/>
    </xf>
    <xf numFmtId="0" fontId="48" fillId="12" borderId="129" xfId="0" applyFont="1" applyFill="1" applyBorder="1" applyAlignment="1">
      <alignment horizontal="left" vertical="center" wrapText="1"/>
    </xf>
    <xf numFmtId="2" fontId="48" fillId="12" borderId="14" xfId="0" applyNumberFormat="1" applyFont="1" applyFill="1" applyBorder="1" applyAlignment="1">
      <alignment horizontal="left" vertical="center" wrapText="1"/>
    </xf>
    <xf numFmtId="0" fontId="48" fillId="12" borderId="39" xfId="0" applyFont="1" applyFill="1" applyBorder="1" applyAlignment="1">
      <alignment horizontal="left" vertical="center" wrapText="1"/>
    </xf>
    <xf numFmtId="165" fontId="48" fillId="12" borderId="10" xfId="0" applyNumberFormat="1" applyFont="1" applyFill="1" applyBorder="1" applyAlignment="1">
      <alignment horizontal="left" vertical="center" wrapText="1"/>
    </xf>
    <xf numFmtId="0" fontId="48" fillId="12" borderId="11" xfId="0" applyFont="1" applyFill="1" applyBorder="1" applyAlignment="1">
      <alignment horizontal="left" vertical="center" wrapText="1"/>
    </xf>
    <xf numFmtId="0" fontId="33" fillId="0" borderId="0" xfId="0" applyFont="1" applyAlignment="1">
      <alignment vertical="center" wrapText="1"/>
    </xf>
    <xf numFmtId="0" fontId="48" fillId="10" borderId="151" xfId="0" applyFont="1" applyFill="1" applyBorder="1" applyAlignment="1">
      <alignment vertical="center" wrapText="1"/>
    </xf>
    <xf numFmtId="0" fontId="48" fillId="22" borderId="151" xfId="0" applyFont="1" applyFill="1" applyBorder="1" applyAlignment="1">
      <alignment vertical="center" wrapText="1"/>
    </xf>
    <xf numFmtId="0" fontId="48" fillId="20" borderId="151" xfId="0" applyFont="1" applyFill="1" applyBorder="1" applyAlignment="1">
      <alignment vertical="center" wrapText="1"/>
    </xf>
    <xf numFmtId="0" fontId="45" fillId="8" borderId="7" xfId="0" applyFont="1" applyFill="1" applyBorder="1" applyAlignment="1">
      <alignment vertical="center" wrapText="1"/>
    </xf>
    <xf numFmtId="0" fontId="45" fillId="8" borderId="8" xfId="0" applyFont="1" applyFill="1" applyBorder="1" applyAlignment="1">
      <alignment vertical="center" wrapText="1"/>
    </xf>
    <xf numFmtId="0" fontId="45" fillId="21" borderId="7" xfId="0" applyFont="1" applyFill="1" applyBorder="1" applyAlignment="1">
      <alignment vertical="center" wrapText="1"/>
    </xf>
    <xf numFmtId="0" fontId="45" fillId="21" borderId="8" xfId="0" applyFont="1" applyFill="1" applyBorder="1" applyAlignment="1">
      <alignment vertical="center" wrapText="1"/>
    </xf>
    <xf numFmtId="0" fontId="45" fillId="10" borderId="8" xfId="0" applyFont="1" applyFill="1" applyBorder="1" applyAlignment="1">
      <alignment vertical="center" wrapText="1"/>
    </xf>
    <xf numFmtId="0" fontId="45" fillId="10" borderId="126" xfId="0" applyFont="1" applyFill="1" applyBorder="1" applyAlignment="1">
      <alignment vertical="center" wrapText="1"/>
    </xf>
    <xf numFmtId="0" fontId="45" fillId="10" borderId="127" xfId="0" applyFont="1" applyFill="1" applyBorder="1" applyAlignment="1">
      <alignment vertical="center" wrapText="1"/>
    </xf>
    <xf numFmtId="0" fontId="48" fillId="10" borderId="98" xfId="0" applyFont="1" applyFill="1" applyBorder="1" applyAlignment="1">
      <alignment vertical="center" wrapText="1"/>
    </xf>
    <xf numFmtId="0" fontId="45" fillId="22" borderId="8" xfId="0" applyFont="1" applyFill="1" applyBorder="1" applyAlignment="1">
      <alignment vertical="center" wrapText="1"/>
    </xf>
    <xf numFmtId="0" fontId="45" fillId="20" borderId="8" xfId="0" applyFont="1" applyFill="1" applyBorder="1" applyAlignment="1">
      <alignment vertical="center" wrapText="1"/>
    </xf>
    <xf numFmtId="0" fontId="45" fillId="11" borderId="127" xfId="0" applyFont="1" applyFill="1" applyBorder="1" applyAlignment="1">
      <alignment vertical="center" wrapText="1"/>
    </xf>
    <xf numFmtId="0" fontId="45" fillId="9" borderId="7" xfId="0" applyFont="1" applyFill="1" applyBorder="1" applyAlignment="1">
      <alignment horizontal="left" vertical="center" wrapText="1"/>
    </xf>
    <xf numFmtId="0" fontId="45" fillId="9" borderId="8" xfId="0" applyFont="1" applyFill="1" applyBorder="1" applyAlignment="1">
      <alignment horizontal="left" vertical="center" wrapText="1"/>
    </xf>
    <xf numFmtId="0" fontId="45" fillId="9" borderId="7" xfId="0" applyFont="1" applyFill="1" applyBorder="1" applyAlignment="1">
      <alignment vertical="center" wrapText="1"/>
    </xf>
    <xf numFmtId="0" fontId="0" fillId="10" borderId="95" xfId="0" applyFill="1" applyBorder="1" applyAlignment="1">
      <alignment vertical="center" wrapText="1"/>
    </xf>
    <xf numFmtId="0" fontId="0" fillId="10" borderId="6" xfId="0" applyFill="1" applyBorder="1" applyAlignment="1">
      <alignment horizontal="left" vertical="center" wrapText="1"/>
    </xf>
    <xf numFmtId="0" fontId="0" fillId="10" borderId="6" xfId="0" applyFill="1" applyBorder="1" applyAlignment="1">
      <alignment vertical="center" wrapText="1"/>
    </xf>
    <xf numFmtId="0" fontId="0" fillId="20" borderId="95" xfId="0" applyFill="1" applyBorder="1" applyAlignment="1">
      <alignment vertical="center" wrapText="1"/>
    </xf>
    <xf numFmtId="0" fontId="0" fillId="20" borderId="6" xfId="0" applyFill="1" applyBorder="1" applyAlignment="1">
      <alignment horizontal="left" vertical="center" wrapText="1"/>
    </xf>
    <xf numFmtId="0" fontId="0" fillId="20" borderId="6" xfId="0" applyFill="1" applyBorder="1" applyAlignment="1">
      <alignment vertical="center" wrapText="1"/>
    </xf>
    <xf numFmtId="0" fontId="0" fillId="20" borderId="90" xfId="0" applyFill="1" applyBorder="1" applyAlignment="1">
      <alignment horizontal="left" vertical="center" wrapText="1"/>
    </xf>
    <xf numFmtId="0" fontId="0" fillId="20" borderId="137" xfId="0" applyFill="1" applyBorder="1" applyAlignment="1">
      <alignment horizontal="left" vertical="center" wrapText="1"/>
    </xf>
    <xf numFmtId="0" fontId="0" fillId="20" borderId="125" xfId="0" applyFill="1" applyBorder="1" applyAlignment="1">
      <alignment horizontal="left" vertical="center" wrapText="1"/>
    </xf>
    <xf numFmtId="0" fontId="0" fillId="20" borderId="114" xfId="0" applyFill="1" applyBorder="1" applyAlignment="1">
      <alignment horizontal="left" vertical="center" wrapText="1"/>
    </xf>
    <xf numFmtId="0" fontId="13" fillId="20" borderId="114" xfId="0" applyFont="1" applyFill="1" applyBorder="1" applyAlignment="1">
      <alignment horizontal="left" vertical="center" wrapText="1"/>
    </xf>
    <xf numFmtId="0" fontId="55" fillId="7" borderId="191" xfId="0" applyFont="1" applyFill="1" applyBorder="1" applyAlignment="1">
      <alignment horizontal="left" vertical="center"/>
    </xf>
    <xf numFmtId="0" fontId="56" fillId="7" borderId="186" xfId="0" applyFont="1" applyFill="1" applyBorder="1" applyAlignment="1">
      <alignment horizontal="left" vertical="center"/>
    </xf>
    <xf numFmtId="0" fontId="56" fillId="7" borderId="187" xfId="0" applyFont="1" applyFill="1" applyBorder="1" applyAlignment="1">
      <alignment horizontal="left" vertical="center"/>
    </xf>
    <xf numFmtId="0" fontId="56" fillId="7" borderId="191" xfId="0" applyFont="1" applyFill="1" applyBorder="1" applyAlignment="1">
      <alignment horizontal="left" vertical="center" wrapText="1"/>
    </xf>
    <xf numFmtId="0" fontId="56" fillId="7" borderId="185" xfId="0" applyFont="1" applyFill="1" applyBorder="1" applyAlignment="1">
      <alignment horizontal="left" vertical="center" wrapText="1"/>
    </xf>
    <xf numFmtId="0" fontId="48" fillId="20" borderId="184" xfId="0" quotePrefix="1" applyFont="1" applyFill="1" applyBorder="1" applyAlignment="1">
      <alignment horizontal="left" vertical="center"/>
    </xf>
    <xf numFmtId="0" fontId="48" fillId="20" borderId="189" xfId="0" applyFont="1" applyFill="1" applyBorder="1" applyAlignment="1">
      <alignment horizontal="left" vertical="center"/>
    </xf>
    <xf numFmtId="0" fontId="48" fillId="20" borderId="183" xfId="0" applyFont="1" applyFill="1" applyBorder="1" applyAlignment="1">
      <alignment horizontal="left" vertical="center"/>
    </xf>
    <xf numFmtId="0" fontId="48" fillId="20" borderId="153" xfId="0" applyFont="1" applyFill="1" applyBorder="1" applyAlignment="1">
      <alignment horizontal="left" vertical="center"/>
    </xf>
    <xf numFmtId="2" fontId="48" fillId="20" borderId="153" xfId="0" applyNumberFormat="1" applyFont="1" applyFill="1" applyBorder="1" applyAlignment="1">
      <alignment horizontal="left" vertical="center"/>
    </xf>
    <xf numFmtId="0" fontId="48" fillId="20" borderId="154" xfId="0" applyFont="1" applyFill="1" applyBorder="1" applyAlignment="1">
      <alignment horizontal="left" vertical="center"/>
    </xf>
    <xf numFmtId="0" fontId="48" fillId="20" borderId="167" xfId="0" applyFont="1" applyFill="1" applyBorder="1" applyAlignment="1">
      <alignment horizontal="left" vertical="center"/>
    </xf>
    <xf numFmtId="0" fontId="48" fillId="20" borderId="184" xfId="0" applyFont="1" applyFill="1" applyBorder="1" applyAlignment="1">
      <alignment horizontal="left" vertical="center"/>
    </xf>
    <xf numFmtId="2" fontId="48" fillId="20" borderId="184" xfId="0" quotePrefix="1" applyNumberFormat="1" applyFont="1" applyFill="1" applyBorder="1" applyAlignment="1">
      <alignment horizontal="left" vertical="center"/>
    </xf>
    <xf numFmtId="0" fontId="48" fillId="20" borderId="168" xfId="0" applyFont="1" applyFill="1" applyBorder="1" applyAlignment="1">
      <alignment horizontal="left" vertical="center"/>
    </xf>
    <xf numFmtId="0" fontId="48" fillId="20" borderId="152" xfId="0" applyFont="1" applyFill="1" applyBorder="1" applyAlignment="1">
      <alignment horizontal="left" vertical="center"/>
    </xf>
    <xf numFmtId="0" fontId="48" fillId="20" borderId="150" xfId="0" applyFont="1" applyFill="1" applyBorder="1" applyAlignment="1">
      <alignment horizontal="left" vertical="center"/>
    </xf>
    <xf numFmtId="2" fontId="48" fillId="20" borderId="150" xfId="0" quotePrefix="1" applyNumberFormat="1" applyFont="1" applyFill="1" applyBorder="1" applyAlignment="1">
      <alignment horizontal="left" vertical="center"/>
    </xf>
    <xf numFmtId="0" fontId="48" fillId="20" borderId="150" xfId="0" quotePrefix="1" applyFont="1" applyFill="1" applyBorder="1" applyAlignment="1">
      <alignment horizontal="left" vertical="center"/>
    </xf>
    <xf numFmtId="0" fontId="48" fillId="20" borderId="151" xfId="0" applyFont="1" applyFill="1" applyBorder="1" applyAlignment="1">
      <alignment horizontal="left" vertical="center"/>
    </xf>
    <xf numFmtId="2" fontId="48" fillId="20" borderId="153" xfId="0" quotePrefix="1" applyNumberFormat="1" applyFont="1" applyFill="1" applyBorder="1" applyAlignment="1">
      <alignment horizontal="left" vertical="center"/>
    </xf>
    <xf numFmtId="0" fontId="48" fillId="20" borderId="153" xfId="0" quotePrefix="1" applyFont="1" applyFill="1" applyBorder="1" applyAlignment="1">
      <alignment horizontal="left" vertical="center"/>
    </xf>
    <xf numFmtId="0" fontId="48" fillId="14" borderId="189" xfId="0" applyFont="1" applyFill="1" applyBorder="1" applyAlignment="1">
      <alignment horizontal="left" vertical="center" wrapText="1"/>
    </xf>
    <xf numFmtId="0" fontId="48" fillId="14" borderId="150" xfId="0" applyFont="1" applyFill="1" applyBorder="1" applyAlignment="1">
      <alignment horizontal="left" vertical="center"/>
    </xf>
    <xf numFmtId="0" fontId="48" fillId="14" borderId="150" xfId="0" applyFont="1" applyFill="1" applyBorder="1" applyAlignment="1">
      <alignment horizontal="center" vertical="center"/>
    </xf>
    <xf numFmtId="166" fontId="48" fillId="14" borderId="150" xfId="0" applyNumberFormat="1" applyFont="1" applyFill="1" applyBorder="1" applyAlignment="1">
      <alignment horizontal="center" vertical="center"/>
    </xf>
    <xf numFmtId="0" fontId="48" fillId="14" borderId="150" xfId="0" quotePrefix="1" applyFont="1" applyFill="1" applyBorder="1" applyAlignment="1">
      <alignment horizontal="center" vertical="center"/>
    </xf>
    <xf numFmtId="2" fontId="48" fillId="20" borderId="150" xfId="0" applyNumberFormat="1" applyFont="1" applyFill="1" applyBorder="1" applyAlignment="1">
      <alignment horizontal="left" vertical="center"/>
    </xf>
    <xf numFmtId="0" fontId="28" fillId="7" borderId="192" xfId="0" applyFont="1" applyFill="1" applyBorder="1" applyAlignment="1">
      <alignment horizontal="left" vertical="center" wrapText="1"/>
    </xf>
    <xf numFmtId="0" fontId="48" fillId="20" borderId="38" xfId="0" applyFont="1" applyFill="1" applyBorder="1" applyAlignment="1">
      <alignment horizontal="left" vertical="center"/>
    </xf>
    <xf numFmtId="166" fontId="48" fillId="9" borderId="150" xfId="0" applyNumberFormat="1" applyFont="1" applyFill="1" applyBorder="1" applyAlignment="1">
      <alignment horizontal="center" vertical="center" wrapText="1"/>
    </xf>
    <xf numFmtId="0" fontId="48" fillId="24" borderId="151" xfId="0" applyFont="1" applyFill="1" applyBorder="1" applyAlignment="1">
      <alignment horizontal="left" vertical="center" wrapText="1"/>
    </xf>
    <xf numFmtId="0" fontId="48" fillId="8" borderId="152" xfId="0" applyFont="1" applyFill="1" applyBorder="1" applyAlignment="1">
      <alignment horizontal="left" vertical="center"/>
    </xf>
    <xf numFmtId="0" fontId="52" fillId="8" borderId="189" xfId="0" applyFont="1" applyFill="1" applyBorder="1" applyAlignment="1">
      <alignment horizontal="left"/>
    </xf>
    <xf numFmtId="0" fontId="52" fillId="10" borderId="152" xfId="0" applyFont="1" applyFill="1" applyBorder="1" applyAlignment="1">
      <alignment horizontal="left"/>
    </xf>
    <xf numFmtId="164" fontId="52" fillId="10" borderId="150" xfId="0" applyNumberFormat="1" applyFont="1" applyFill="1" applyBorder="1" applyAlignment="1">
      <alignment horizontal="left" vertical="center" wrapText="1"/>
    </xf>
    <xf numFmtId="164" fontId="52" fillId="10" borderId="150" xfId="0" applyNumberFormat="1" applyFont="1" applyFill="1" applyBorder="1" applyAlignment="1">
      <alignment horizontal="center" vertical="center" wrapText="1"/>
    </xf>
    <xf numFmtId="0" fontId="48" fillId="10" borderId="151" xfId="0" applyFont="1" applyFill="1" applyBorder="1" applyAlignment="1">
      <alignment horizontal="center" vertical="center" wrapText="1"/>
    </xf>
    <xf numFmtId="0" fontId="48" fillId="8" borderId="150" xfId="0" applyFont="1" applyFill="1" applyBorder="1" applyAlignment="1">
      <alignment horizontal="center" vertical="center" wrapText="1"/>
    </xf>
    <xf numFmtId="0" fontId="48" fillId="8" borderId="151" xfId="0" applyFont="1" applyFill="1" applyBorder="1" applyAlignment="1">
      <alignment horizontal="left" vertical="center" wrapText="1"/>
    </xf>
    <xf numFmtId="0" fontId="48" fillId="11" borderId="152" xfId="0" applyFont="1" applyFill="1" applyBorder="1" applyAlignment="1">
      <alignment horizontal="left" vertical="center"/>
    </xf>
    <xf numFmtId="0" fontId="48" fillId="11" borderId="150" xfId="0" applyFont="1" applyFill="1" applyBorder="1" applyAlignment="1">
      <alignment horizontal="left" vertical="center" wrapText="1"/>
    </xf>
    <xf numFmtId="2" fontId="48" fillId="11" borderId="150" xfId="0" applyNumberFormat="1" applyFont="1" applyFill="1" applyBorder="1" applyAlignment="1">
      <alignment horizontal="center" vertical="center" wrapText="1"/>
    </xf>
    <xf numFmtId="0" fontId="48" fillId="11" borderId="150" xfId="0" applyFont="1" applyFill="1" applyBorder="1" applyAlignment="1">
      <alignment horizontal="center" vertical="center" wrapText="1"/>
    </xf>
    <xf numFmtId="0" fontId="48" fillId="11" borderId="150" xfId="0" applyFont="1" applyFill="1" applyBorder="1" applyAlignment="1">
      <alignment horizontal="center" vertical="center"/>
    </xf>
    <xf numFmtId="0" fontId="48" fillId="11" borderId="151" xfId="0" applyFont="1" applyFill="1" applyBorder="1" applyAlignment="1">
      <alignment horizontal="left" vertical="center" wrapText="1"/>
    </xf>
    <xf numFmtId="0" fontId="48" fillId="11" borderId="150" xfId="0" applyFont="1" applyFill="1" applyBorder="1" applyAlignment="1">
      <alignment horizontal="left" vertical="center"/>
    </xf>
    <xf numFmtId="2" fontId="48" fillId="11" borderId="150" xfId="0" applyNumberFormat="1" applyFont="1" applyFill="1" applyBorder="1" applyAlignment="1">
      <alignment horizontal="center" vertical="center"/>
    </xf>
    <xf numFmtId="0" fontId="48" fillId="11" borderId="151" xfId="0" applyFont="1" applyFill="1" applyBorder="1" applyAlignment="1">
      <alignment horizontal="left" vertical="center"/>
    </xf>
    <xf numFmtId="0" fontId="48" fillId="19" borderId="150" xfId="0" quotePrefix="1" applyFont="1" applyFill="1" applyBorder="1" applyAlignment="1">
      <alignment horizontal="center" vertical="center" wrapText="1"/>
    </xf>
    <xf numFmtId="0" fontId="48" fillId="19" borderId="150" xfId="0" applyFont="1" applyFill="1" applyBorder="1" applyAlignment="1">
      <alignment horizontal="center" vertical="center" wrapText="1"/>
    </xf>
    <xf numFmtId="0" fontId="48" fillId="19" borderId="150" xfId="0" applyFont="1" applyFill="1" applyBorder="1" applyAlignment="1">
      <alignment horizontal="center" vertical="center"/>
    </xf>
    <xf numFmtId="0" fontId="48" fillId="19" borderId="138" xfId="0" applyFont="1" applyFill="1" applyBorder="1" applyAlignment="1">
      <alignment horizontal="left" vertical="center" wrapText="1"/>
    </xf>
    <xf numFmtId="0" fontId="48" fillId="10" borderId="152" xfId="0" applyFont="1" applyFill="1" applyBorder="1" applyAlignment="1">
      <alignment horizontal="left" vertical="center"/>
    </xf>
    <xf numFmtId="1" fontId="48" fillId="10" borderId="150" xfId="0" applyNumberFormat="1" applyFont="1" applyFill="1" applyBorder="1" applyAlignment="1">
      <alignment horizontal="left" vertical="center" wrapText="1"/>
    </xf>
    <xf numFmtId="2" fontId="48" fillId="10" borderId="150" xfId="0" applyNumberFormat="1" applyFont="1" applyFill="1" applyBorder="1" applyAlignment="1">
      <alignment horizontal="center" vertical="center" wrapText="1"/>
    </xf>
    <xf numFmtId="0" fontId="48" fillId="10" borderId="150" xfId="0" applyFont="1" applyFill="1" applyBorder="1" applyAlignment="1">
      <alignment horizontal="center" vertical="center" wrapText="1"/>
    </xf>
    <xf numFmtId="0" fontId="48" fillId="10" borderId="151" xfId="0" applyFont="1" applyFill="1" applyBorder="1" applyAlignment="1">
      <alignment horizontal="left" vertical="center" wrapText="1"/>
    </xf>
    <xf numFmtId="0" fontId="52" fillId="22" borderId="152" xfId="0" applyFont="1" applyFill="1" applyBorder="1" applyAlignment="1">
      <alignment horizontal="left"/>
    </xf>
    <xf numFmtId="0" fontId="52" fillId="22" borderId="150" xfId="0" applyFont="1" applyFill="1" applyBorder="1" applyAlignment="1">
      <alignment horizontal="center" vertical="center" wrapText="1"/>
    </xf>
    <xf numFmtId="0" fontId="52" fillId="22" borderId="150" xfId="0" applyFont="1" applyFill="1" applyBorder="1" applyAlignment="1">
      <alignment horizontal="left" vertical="center" wrapText="1"/>
    </xf>
    <xf numFmtId="0" fontId="52" fillId="22" borderId="151" xfId="0" applyFont="1" applyFill="1" applyBorder="1" applyAlignment="1">
      <alignment horizontal="left" vertical="center" wrapText="1"/>
    </xf>
    <xf numFmtId="11" fontId="52" fillId="22" borderId="150" xfId="0" applyNumberFormat="1" applyFont="1" applyFill="1" applyBorder="1" applyAlignment="1">
      <alignment horizontal="left" vertical="center" wrapText="1"/>
    </xf>
    <xf numFmtId="0" fontId="52" fillId="20" borderId="152" xfId="0" applyFont="1" applyFill="1" applyBorder="1" applyAlignment="1">
      <alignment horizontal="left"/>
    </xf>
    <xf numFmtId="0" fontId="52" fillId="20" borderId="150" xfId="0" applyFont="1" applyFill="1" applyBorder="1" applyAlignment="1">
      <alignment horizontal="center" vertical="center" wrapText="1"/>
    </xf>
    <xf numFmtId="0" fontId="52" fillId="20" borderId="150" xfId="0" applyFont="1" applyFill="1" applyBorder="1" applyAlignment="1">
      <alignment horizontal="left" vertical="center" wrapText="1"/>
    </xf>
    <xf numFmtId="0" fontId="100" fillId="20" borderId="151" xfId="0" applyFont="1" applyFill="1" applyBorder="1" applyAlignment="1">
      <alignment horizontal="left" vertical="center"/>
    </xf>
    <xf numFmtId="0" fontId="48" fillId="7" borderId="152" xfId="0" applyFont="1" applyFill="1" applyBorder="1" applyAlignment="1">
      <alignment horizontal="left" vertical="center"/>
    </xf>
    <xf numFmtId="0" fontId="52" fillId="7" borderId="150" xfId="0" applyFont="1" applyFill="1" applyBorder="1" applyAlignment="1">
      <alignment horizontal="center" vertical="center" wrapText="1"/>
    </xf>
    <xf numFmtId="0" fontId="48" fillId="7" borderId="150" xfId="0" applyFont="1" applyFill="1" applyBorder="1" applyAlignment="1">
      <alignment horizontal="center" vertical="center"/>
    </xf>
    <xf numFmtId="0" fontId="48" fillId="7" borderId="150" xfId="0" applyFont="1" applyFill="1" applyBorder="1" applyAlignment="1">
      <alignment horizontal="left" vertical="center"/>
    </xf>
    <xf numFmtId="0" fontId="48" fillId="7" borderId="151" xfId="0" applyFont="1" applyFill="1" applyBorder="1" applyAlignment="1">
      <alignment horizontal="left" vertical="center"/>
    </xf>
    <xf numFmtId="166" fontId="48" fillId="7" borderId="150" xfId="0" applyNumberFormat="1" applyFont="1" applyFill="1" applyBorder="1" applyAlignment="1">
      <alignment horizontal="left" vertical="center" wrapText="1"/>
    </xf>
    <xf numFmtId="0" fontId="48" fillId="9" borderId="115" xfId="0" applyFont="1" applyFill="1" applyBorder="1" applyAlignment="1">
      <alignment horizontal="left" vertical="center"/>
    </xf>
    <xf numFmtId="166" fontId="48" fillId="9" borderId="138" xfId="0" applyNumberFormat="1" applyFont="1" applyFill="1" applyBorder="1" applyAlignment="1">
      <alignment horizontal="left" vertical="center" wrapText="1"/>
    </xf>
    <xf numFmtId="0" fontId="52" fillId="9" borderId="150" xfId="0" applyFont="1" applyFill="1" applyBorder="1" applyAlignment="1">
      <alignment horizontal="center" vertical="center" wrapText="1"/>
    </xf>
    <xf numFmtId="0" fontId="48" fillId="9" borderId="150" xfId="0" applyFont="1" applyFill="1" applyBorder="1" applyAlignment="1">
      <alignment horizontal="center" vertical="center"/>
    </xf>
    <xf numFmtId="0" fontId="48" fillId="9" borderId="150" xfId="0" applyFont="1" applyFill="1" applyBorder="1" applyAlignment="1">
      <alignment horizontal="left" vertical="center"/>
    </xf>
    <xf numFmtId="0" fontId="48" fillId="9" borderId="151" xfId="0" applyFont="1" applyFill="1" applyBorder="1" applyAlignment="1">
      <alignment horizontal="left" vertical="center"/>
    </xf>
    <xf numFmtId="0" fontId="48" fillId="10" borderId="152" xfId="0" quotePrefix="1" applyFont="1" applyFill="1" applyBorder="1" applyAlignment="1">
      <alignment horizontal="left" vertical="center"/>
    </xf>
    <xf numFmtId="0" fontId="48" fillId="10" borderId="150" xfId="0" quotePrefix="1" applyFont="1" applyFill="1" applyBorder="1" applyAlignment="1">
      <alignment horizontal="left" vertical="center"/>
    </xf>
    <xf numFmtId="0" fontId="48" fillId="8" borderId="152" xfId="0" quotePrefix="1" applyFont="1" applyFill="1" applyBorder="1" applyAlignment="1">
      <alignment horizontal="left" vertical="center"/>
    </xf>
    <xf numFmtId="0" fontId="48" fillId="8" borderId="150" xfId="0" quotePrefix="1" applyFont="1" applyFill="1" applyBorder="1" applyAlignment="1">
      <alignment horizontal="left" vertical="center" wrapText="1"/>
    </xf>
    <xf numFmtId="164" fontId="48" fillId="8" borderId="150" xfId="0" applyNumberFormat="1" applyFont="1" applyFill="1" applyBorder="1" applyAlignment="1">
      <alignment horizontal="left" vertical="center"/>
    </xf>
    <xf numFmtId="0" fontId="48" fillId="8" borderId="150" xfId="0" quotePrefix="1" applyFont="1" applyFill="1" applyBorder="1" applyAlignment="1">
      <alignment horizontal="left" vertical="center"/>
    </xf>
    <xf numFmtId="0" fontId="48" fillId="8" borderId="150" xfId="0" applyFont="1" applyFill="1" applyBorder="1" applyAlignment="1">
      <alignment horizontal="left" vertical="center"/>
    </xf>
    <xf numFmtId="0" fontId="48" fillId="11" borderId="152" xfId="0" applyFont="1" applyFill="1" applyBorder="1" applyAlignment="1">
      <alignment horizontal="left" vertical="center" wrapText="1"/>
    </xf>
    <xf numFmtId="164" fontId="48" fillId="11" borderId="150" xfId="0" applyNumberFormat="1" applyFont="1" applyFill="1" applyBorder="1" applyAlignment="1">
      <alignment horizontal="left" vertical="center" wrapText="1"/>
    </xf>
    <xf numFmtId="0" fontId="48" fillId="19" borderId="150" xfId="0" quotePrefix="1" applyFont="1" applyFill="1" applyBorder="1" applyAlignment="1">
      <alignment horizontal="left" vertical="center"/>
    </xf>
    <xf numFmtId="164" fontId="48" fillId="19" borderId="150" xfId="0" applyNumberFormat="1" applyFont="1" applyFill="1" applyBorder="1" applyAlignment="1">
      <alignment horizontal="left" vertical="center"/>
    </xf>
    <xf numFmtId="0" fontId="48" fillId="19" borderId="150" xfId="0" applyFont="1" applyFill="1" applyBorder="1" applyAlignment="1">
      <alignment horizontal="left" vertical="center"/>
    </xf>
    <xf numFmtId="0" fontId="48" fillId="19" borderId="151" xfId="0" applyFont="1" applyFill="1" applyBorder="1" applyAlignment="1">
      <alignment horizontal="left" vertical="center" wrapText="1"/>
    </xf>
    <xf numFmtId="166" fontId="48" fillId="9" borderId="152" xfId="0" applyNumberFormat="1" applyFont="1" applyFill="1" applyBorder="1" applyAlignment="1">
      <alignment horizontal="left" vertical="center" wrapText="1"/>
    </xf>
    <xf numFmtId="166" fontId="48" fillId="9" borderId="150" xfId="0" applyNumberFormat="1" applyFont="1" applyFill="1" applyBorder="1" applyAlignment="1">
      <alignment horizontal="left" vertical="center" wrapText="1"/>
    </xf>
    <xf numFmtId="164" fontId="48" fillId="9" borderId="150" xfId="0" applyNumberFormat="1" applyFont="1" applyFill="1" applyBorder="1" applyAlignment="1">
      <alignment horizontal="left" vertical="center" wrapText="1"/>
    </xf>
    <xf numFmtId="1" fontId="48" fillId="9" borderId="150" xfId="0" applyNumberFormat="1" applyFont="1" applyFill="1" applyBorder="1" applyAlignment="1">
      <alignment horizontal="left" vertical="center" wrapText="1"/>
    </xf>
    <xf numFmtId="166" fontId="48" fillId="9" borderId="151" xfId="0" applyNumberFormat="1" applyFont="1" applyFill="1" applyBorder="1" applyAlignment="1">
      <alignment horizontal="left" vertical="center" wrapText="1"/>
    </xf>
    <xf numFmtId="166" fontId="48" fillId="9" borderId="189" xfId="0" applyNumberFormat="1" applyFont="1" applyFill="1" applyBorder="1" applyAlignment="1">
      <alignment horizontal="left" vertical="center" wrapText="1"/>
    </xf>
    <xf numFmtId="166" fontId="48" fillId="9" borderId="153" xfId="0" applyNumberFormat="1" applyFont="1" applyFill="1" applyBorder="1" applyAlignment="1">
      <alignment horizontal="left" vertical="center" wrapText="1"/>
    </xf>
    <xf numFmtId="164" fontId="48" fillId="9" borderId="153" xfId="0" applyNumberFormat="1" applyFont="1" applyFill="1" applyBorder="1" applyAlignment="1">
      <alignment horizontal="left" vertical="center" wrapText="1"/>
    </xf>
    <xf numFmtId="1" fontId="48" fillId="9" borderId="153" xfId="0" applyNumberFormat="1" applyFont="1" applyFill="1" applyBorder="1" applyAlignment="1">
      <alignment horizontal="left" vertical="center" wrapText="1"/>
    </xf>
    <xf numFmtId="166" fontId="48" fillId="9" borderId="154" xfId="0" applyNumberFormat="1" applyFont="1" applyFill="1" applyBorder="1" applyAlignment="1">
      <alignment horizontal="left" vertical="center" wrapText="1"/>
    </xf>
    <xf numFmtId="2" fontId="48" fillId="10" borderId="150" xfId="0" applyNumberFormat="1" applyFont="1" applyFill="1" applyBorder="1" applyAlignment="1">
      <alignment horizontal="left" vertical="center"/>
    </xf>
    <xf numFmtId="0" fontId="48" fillId="22" borderId="150" xfId="0" quotePrefix="1" applyFont="1" applyFill="1" applyBorder="1" applyAlignment="1">
      <alignment horizontal="left" vertical="center"/>
    </xf>
    <xf numFmtId="2" fontId="48" fillId="22" borderId="150" xfId="0" applyNumberFormat="1" applyFont="1" applyFill="1" applyBorder="1" applyAlignment="1">
      <alignment horizontal="left" vertical="center"/>
    </xf>
    <xf numFmtId="0" fontId="48" fillId="11" borderId="150" xfId="0" quotePrefix="1" applyFont="1" applyFill="1" applyBorder="1" applyAlignment="1">
      <alignment horizontal="left" vertical="center"/>
    </xf>
    <xf numFmtId="2" fontId="48" fillId="11" borderId="150" xfId="0" applyNumberFormat="1" applyFont="1" applyFill="1" applyBorder="1" applyAlignment="1">
      <alignment horizontal="left" vertical="center"/>
    </xf>
    <xf numFmtId="2" fontId="48" fillId="19" borderId="150" xfId="0" applyNumberFormat="1" applyFont="1" applyFill="1" applyBorder="1" applyAlignment="1">
      <alignment horizontal="left" vertical="center"/>
    </xf>
    <xf numFmtId="0" fontId="48" fillId="9" borderId="150" xfId="0" quotePrefix="1" applyFont="1" applyFill="1" applyBorder="1" applyAlignment="1">
      <alignment horizontal="left" vertical="center"/>
    </xf>
    <xf numFmtId="166" fontId="48" fillId="10" borderId="150" xfId="0" applyNumberFormat="1" applyFont="1" applyFill="1" applyBorder="1" applyAlignment="1">
      <alignment horizontal="center" vertical="center" wrapText="1"/>
    </xf>
    <xf numFmtId="166" fontId="52" fillId="10" borderId="150" xfId="0" applyNumberFormat="1" applyFont="1" applyFill="1" applyBorder="1" applyAlignment="1">
      <alignment horizontal="center" vertical="center" wrapText="1"/>
    </xf>
    <xf numFmtId="165" fontId="52" fillId="10" borderId="150" xfId="0" applyNumberFormat="1" applyFont="1" applyFill="1" applyBorder="1" applyAlignment="1">
      <alignment horizontal="center" vertical="center" wrapText="1"/>
    </xf>
    <xf numFmtId="0" fontId="34" fillId="0" borderId="0" xfId="0" applyFont="1" applyAlignment="1">
      <alignment horizontal="left" vertical="center" wrapText="1"/>
    </xf>
    <xf numFmtId="0" fontId="56" fillId="7" borderId="157" xfId="0" applyFont="1" applyFill="1" applyBorder="1" applyAlignment="1">
      <alignment horizontal="left" vertical="center"/>
    </xf>
    <xf numFmtId="0" fontId="56" fillId="7" borderId="158" xfId="0" applyFont="1" applyFill="1" applyBorder="1" applyAlignment="1">
      <alignment horizontal="left" vertical="center"/>
    </xf>
    <xf numFmtId="2" fontId="48" fillId="9" borderId="151" xfId="0" quotePrefix="1" applyNumberFormat="1" applyFont="1" applyFill="1" applyBorder="1" applyAlignment="1">
      <alignment horizontal="left" vertical="center" wrapText="1"/>
    </xf>
    <xf numFmtId="2" fontId="48" fillId="24" borderId="151" xfId="0" quotePrefix="1" applyNumberFormat="1" applyFont="1" applyFill="1" applyBorder="1" applyAlignment="1">
      <alignment horizontal="left" vertical="center" wrapText="1"/>
    </xf>
    <xf numFmtId="0" fontId="52" fillId="10" borderId="189" xfId="0" applyFont="1" applyFill="1" applyBorder="1" applyAlignment="1">
      <alignment horizontal="left"/>
    </xf>
    <xf numFmtId="164" fontId="52" fillId="10" borderId="153" xfId="0" applyNumberFormat="1" applyFont="1" applyFill="1" applyBorder="1" applyAlignment="1">
      <alignment horizontal="left" vertical="center" wrapText="1"/>
    </xf>
    <xf numFmtId="164" fontId="52" fillId="10" borderId="153" xfId="0" applyNumberFormat="1" applyFont="1" applyFill="1" applyBorder="1" applyAlignment="1">
      <alignment horizontal="center" vertical="center" wrapText="1"/>
    </xf>
    <xf numFmtId="0" fontId="52" fillId="10" borderId="153" xfId="0" applyFont="1" applyFill="1" applyBorder="1" applyAlignment="1">
      <alignment horizontal="center" vertical="center" wrapText="1"/>
    </xf>
    <xf numFmtId="0" fontId="48" fillId="10" borderId="154" xfId="0" applyFont="1" applyFill="1" applyBorder="1" applyAlignment="1">
      <alignment horizontal="center" vertical="center" wrapText="1"/>
    </xf>
    <xf numFmtId="0" fontId="45" fillId="0" borderId="87" xfId="47" applyFont="1" applyBorder="1" applyAlignment="1">
      <alignment horizontal="left" vertical="center"/>
    </xf>
    <xf numFmtId="0" fontId="48" fillId="0" borderId="87" xfId="47" applyFont="1" applyBorder="1" applyAlignment="1">
      <alignment horizontal="left" vertical="center"/>
    </xf>
    <xf numFmtId="0" fontId="48" fillId="0" borderId="87" xfId="47" applyFont="1" applyBorder="1" applyAlignment="1">
      <alignment horizontal="left" vertical="center" wrapText="1"/>
    </xf>
    <xf numFmtId="0" fontId="48" fillId="0" borderId="87" xfId="47" applyFont="1" applyBorder="1" applyAlignment="1">
      <alignment horizontal="left"/>
    </xf>
    <xf numFmtId="0" fontId="9" fillId="0" borderId="0" xfId="48" applyAlignment="1">
      <alignment horizontal="left" vertical="center"/>
    </xf>
    <xf numFmtId="0" fontId="48" fillId="0" borderId="87" xfId="47" applyFont="1" applyBorder="1" applyAlignment="1">
      <alignment horizontal="center" vertical="center"/>
    </xf>
    <xf numFmtId="166" fontId="48" fillId="8" borderId="150" xfId="0" applyNumberFormat="1" applyFont="1" applyFill="1" applyBorder="1" applyAlignment="1">
      <alignment horizontal="center" vertical="center" wrapText="1"/>
    </xf>
    <xf numFmtId="2" fontId="48" fillId="7" borderId="150" xfId="0" applyNumberFormat="1" applyFont="1" applyFill="1" applyBorder="1" applyAlignment="1">
      <alignment horizontal="center" vertical="center" wrapText="1"/>
    </xf>
    <xf numFmtId="2" fontId="48" fillId="22" borderId="150" xfId="0" applyNumberFormat="1" applyFont="1" applyFill="1" applyBorder="1" applyAlignment="1">
      <alignment horizontal="center" vertical="center" wrapText="1"/>
    </xf>
    <xf numFmtId="2" fontId="48" fillId="20" borderId="150" xfId="0" applyNumberFormat="1" applyFont="1" applyFill="1" applyBorder="1" applyAlignment="1">
      <alignment horizontal="center" vertical="center" wrapText="1"/>
    </xf>
    <xf numFmtId="0" fontId="48" fillId="22" borderId="152" xfId="0" applyFont="1" applyFill="1" applyBorder="1" applyAlignment="1">
      <alignment vertical="center"/>
    </xf>
    <xf numFmtId="0" fontId="48" fillId="22" borderId="150" xfId="0" applyFont="1" applyFill="1" applyBorder="1" applyAlignment="1">
      <alignment vertical="center"/>
    </xf>
    <xf numFmtId="164" fontId="48" fillId="22" borderId="150" xfId="0" applyNumberFormat="1" applyFont="1" applyFill="1" applyBorder="1" applyAlignment="1">
      <alignment horizontal="left" vertical="center"/>
    </xf>
    <xf numFmtId="0" fontId="48" fillId="22" borderId="150" xfId="0" applyFont="1" applyFill="1" applyBorder="1" applyAlignment="1">
      <alignment horizontal="left" vertical="center"/>
    </xf>
    <xf numFmtId="0" fontId="48" fillId="22" borderId="151" xfId="0" applyFont="1" applyFill="1" applyBorder="1" applyAlignment="1">
      <alignment vertical="center"/>
    </xf>
    <xf numFmtId="0" fontId="45" fillId="7" borderId="151" xfId="0" applyFont="1" applyFill="1" applyBorder="1" applyAlignment="1">
      <alignment horizontal="left" vertical="center" wrapText="1"/>
    </xf>
    <xf numFmtId="0" fontId="48" fillId="8" borderId="151" xfId="0" applyFont="1" applyFill="1" applyBorder="1" applyAlignment="1">
      <alignment horizontal="left" vertical="center"/>
    </xf>
    <xf numFmtId="2" fontId="52" fillId="10" borderId="150" xfId="0" applyNumberFormat="1" applyFont="1" applyFill="1" applyBorder="1" applyAlignment="1">
      <alignment horizontal="center" vertical="center" wrapText="1"/>
    </xf>
    <xf numFmtId="164" fontId="48" fillId="8" borderId="150" xfId="0" applyNumberFormat="1" applyFont="1" applyFill="1" applyBorder="1" applyAlignment="1">
      <alignment horizontal="center" vertical="center" wrapText="1"/>
    </xf>
    <xf numFmtId="2" fontId="48" fillId="8" borderId="150" xfId="0" applyNumberFormat="1" applyFont="1" applyFill="1" applyBorder="1" applyAlignment="1">
      <alignment horizontal="center" vertical="center" wrapText="1"/>
    </xf>
    <xf numFmtId="164" fontId="52" fillId="8" borderId="153" xfId="0" applyNumberFormat="1" applyFont="1" applyFill="1" applyBorder="1" applyAlignment="1">
      <alignment horizontal="center" vertical="center" wrapText="1"/>
    </xf>
    <xf numFmtId="0" fontId="28" fillId="9" borderId="150" xfId="0" applyFont="1" applyFill="1" applyBorder="1" applyAlignment="1">
      <alignment horizontal="center" vertical="center"/>
    </xf>
    <xf numFmtId="0" fontId="0" fillId="9" borderId="150" xfId="0" applyFill="1" applyBorder="1" applyAlignment="1">
      <alignment horizontal="left" vertical="center"/>
    </xf>
    <xf numFmtId="0" fontId="56" fillId="15" borderId="150" xfId="0" applyFont="1" applyFill="1" applyBorder="1" applyAlignment="1">
      <alignment horizontal="center" vertical="center"/>
    </xf>
    <xf numFmtId="0" fontId="48" fillId="15" borderId="150" xfId="0" applyFont="1" applyFill="1" applyBorder="1" applyAlignment="1">
      <alignment horizontal="left" vertical="center"/>
    </xf>
    <xf numFmtId="0" fontId="0" fillId="38" borderId="150" xfId="0" applyFill="1" applyBorder="1" applyAlignment="1">
      <alignment horizontal="left" vertical="center"/>
    </xf>
    <xf numFmtId="0" fontId="45" fillId="4" borderId="138" xfId="0" applyFont="1" applyFill="1" applyBorder="1" applyAlignment="1">
      <alignment horizontal="left" vertical="center"/>
    </xf>
    <xf numFmtId="0" fontId="45" fillId="18" borderId="138" xfId="0" applyFont="1" applyFill="1" applyBorder="1" applyAlignment="1">
      <alignment horizontal="left" vertical="center"/>
    </xf>
    <xf numFmtId="0" fontId="45" fillId="18" borderId="153" xfId="0" applyFont="1" applyFill="1" applyBorder="1" applyAlignment="1">
      <alignment horizontal="left" vertical="center"/>
    </xf>
    <xf numFmtId="0" fontId="45" fillId="0" borderId="150" xfId="0" applyFont="1" applyBorder="1" applyAlignment="1">
      <alignment horizontal="left" vertical="center"/>
    </xf>
    <xf numFmtId="0" fontId="48" fillId="12" borderId="152" xfId="0" applyFont="1" applyFill="1" applyBorder="1" applyAlignment="1">
      <alignment horizontal="left" vertical="center"/>
    </xf>
    <xf numFmtId="0" fontId="80" fillId="12" borderId="150" xfId="0" applyFont="1" applyFill="1" applyBorder="1" applyAlignment="1">
      <alignment horizontal="center" vertical="center"/>
    </xf>
    <xf numFmtId="0" fontId="48" fillId="12" borderId="150" xfId="0" applyFont="1" applyFill="1" applyBorder="1" applyAlignment="1">
      <alignment horizontal="center" vertical="center"/>
    </xf>
    <xf numFmtId="0" fontId="48" fillId="12" borderId="150" xfId="0" applyFont="1" applyFill="1" applyBorder="1" applyAlignment="1">
      <alignment horizontal="left" vertical="center"/>
    </xf>
    <xf numFmtId="0" fontId="48" fillId="12" borderId="151" xfId="0" applyFont="1" applyFill="1" applyBorder="1" applyAlignment="1">
      <alignment horizontal="left" vertical="center"/>
    </xf>
    <xf numFmtId="0" fontId="48" fillId="12" borderId="150" xfId="0" quotePrefix="1" applyFont="1" applyFill="1" applyBorder="1" applyAlignment="1">
      <alignment horizontal="left" vertical="center" wrapText="1"/>
    </xf>
    <xf numFmtId="0" fontId="48" fillId="12" borderId="150" xfId="0" applyFont="1" applyFill="1" applyBorder="1" applyAlignment="1">
      <alignment horizontal="left" vertical="center" wrapText="1"/>
    </xf>
    <xf numFmtId="0" fontId="75" fillId="0" borderId="0" xfId="0" applyFont="1" applyAlignment="1">
      <alignment horizontal="left" vertical="center"/>
    </xf>
    <xf numFmtId="0" fontId="48" fillId="12" borderId="152" xfId="0" quotePrefix="1" applyFont="1" applyFill="1" applyBorder="1" applyAlignment="1">
      <alignment horizontal="left" vertical="center"/>
    </xf>
    <xf numFmtId="164" fontId="48" fillId="12" borderId="150" xfId="0" applyNumberFormat="1" applyFont="1" applyFill="1" applyBorder="1" applyAlignment="1">
      <alignment horizontal="left" vertical="center"/>
    </xf>
    <xf numFmtId="0" fontId="48" fillId="12" borderId="150" xfId="0" quotePrefix="1" applyFont="1" applyFill="1" applyBorder="1" applyAlignment="1">
      <alignment horizontal="left" vertical="center"/>
    </xf>
    <xf numFmtId="0" fontId="79" fillId="23" borderId="169" xfId="48" applyFont="1" applyFill="1" applyBorder="1" applyAlignment="1">
      <alignment horizontal="left" vertical="center"/>
    </xf>
    <xf numFmtId="0" fontId="79" fillId="23" borderId="170" xfId="48" applyFont="1" applyFill="1" applyBorder="1" applyAlignment="1">
      <alignment horizontal="left" vertical="center"/>
    </xf>
    <xf numFmtId="0" fontId="79" fillId="23" borderId="171" xfId="48" applyFont="1" applyFill="1" applyBorder="1" applyAlignment="1">
      <alignment horizontal="left" vertical="center"/>
    </xf>
    <xf numFmtId="0" fontId="79" fillId="23" borderId="172" xfId="48" applyFont="1" applyFill="1" applyBorder="1" applyAlignment="1">
      <alignment horizontal="left" vertical="center"/>
    </xf>
    <xf numFmtId="0" fontId="79" fillId="23" borderId="173" xfId="48" applyFont="1" applyFill="1" applyBorder="1" applyAlignment="1">
      <alignment horizontal="left" vertical="center"/>
    </xf>
    <xf numFmtId="0" fontId="9" fillId="2" borderId="0" xfId="48" applyFill="1" applyAlignment="1">
      <alignment horizontal="left" vertical="center"/>
    </xf>
    <xf numFmtId="0" fontId="8" fillId="0" borderId="0" xfId="162" applyAlignment="1">
      <alignment horizontal="left" vertical="center"/>
    </xf>
    <xf numFmtId="0" fontId="48" fillId="0" borderId="87" xfId="162" applyFont="1" applyBorder="1" applyAlignment="1">
      <alignment horizontal="center" vertical="center"/>
    </xf>
    <xf numFmtId="0" fontId="48" fillId="0" borderId="87" xfId="162" applyFont="1" applyBorder="1" applyAlignment="1">
      <alignment horizontal="left" vertical="center"/>
    </xf>
    <xf numFmtId="0" fontId="45" fillId="0" borderId="87" xfId="162" applyFont="1" applyBorder="1" applyAlignment="1">
      <alignment horizontal="left" vertical="center"/>
    </xf>
    <xf numFmtId="0" fontId="48" fillId="0" borderId="87" xfId="162" applyFont="1" applyBorder="1" applyAlignment="1">
      <alignment horizontal="left"/>
    </xf>
    <xf numFmtId="0" fontId="79" fillId="23" borderId="174" xfId="48" applyFont="1" applyFill="1" applyBorder="1" applyAlignment="1">
      <alignment horizontal="left" vertical="center"/>
    </xf>
    <xf numFmtId="0" fontId="79" fillId="23" borderId="175" xfId="48" applyFont="1" applyFill="1" applyBorder="1" applyAlignment="1">
      <alignment horizontal="left" vertical="center"/>
    </xf>
    <xf numFmtId="0" fontId="79" fillId="23" borderId="176" xfId="48" applyFont="1" applyFill="1" applyBorder="1" applyAlignment="1">
      <alignment horizontal="left" vertical="center"/>
    </xf>
    <xf numFmtId="0" fontId="79" fillId="23" borderId="177" xfId="48" applyFont="1" applyFill="1" applyBorder="1" applyAlignment="1">
      <alignment horizontal="left" vertical="center"/>
    </xf>
    <xf numFmtId="11" fontId="48" fillId="0" borderId="87" xfId="47" applyNumberFormat="1" applyFont="1" applyBorder="1" applyAlignment="1">
      <alignment horizontal="left" vertical="center"/>
    </xf>
    <xf numFmtId="0" fontId="9" fillId="0" borderId="0" xfId="47"/>
    <xf numFmtId="0" fontId="48" fillId="0" borderId="178" xfId="48" applyFont="1" applyBorder="1" applyAlignment="1">
      <alignment horizontal="left" vertical="center"/>
    </xf>
    <xf numFmtId="0" fontId="48" fillId="0" borderId="178" xfId="60" applyFont="1" applyBorder="1" applyAlignment="1">
      <alignment horizontal="left" vertical="center"/>
    </xf>
    <xf numFmtId="167" fontId="48" fillId="0" borderId="178" xfId="60" applyNumberFormat="1" applyFont="1" applyBorder="1" applyAlignment="1">
      <alignment horizontal="left" vertical="center"/>
    </xf>
    <xf numFmtId="0" fontId="48" fillId="0" borderId="87" xfId="60" applyFont="1" applyBorder="1" applyAlignment="1">
      <alignment horizontal="left" vertical="center"/>
    </xf>
    <xf numFmtId="0" fontId="48" fillId="0" borderId="178" xfId="60" quotePrefix="1" applyFont="1" applyBorder="1" applyAlignment="1">
      <alignment horizontal="center" vertical="center"/>
    </xf>
    <xf numFmtId="0" fontId="45" fillId="0" borderId="193" xfId="6" applyFont="1" applyBorder="1"/>
    <xf numFmtId="0" fontId="45" fillId="0" borderId="194" xfId="6" applyFont="1" applyBorder="1"/>
    <xf numFmtId="0" fontId="45" fillId="0" borderId="189" xfId="6" applyFont="1" applyBorder="1"/>
    <xf numFmtId="0" fontId="45" fillId="0" borderId="183" xfId="6" applyFont="1" applyBorder="1"/>
    <xf numFmtId="0" fontId="45" fillId="0" borderId="190" xfId="6" applyFont="1" applyBorder="1"/>
    <xf numFmtId="164" fontId="48" fillId="20" borderId="90" xfId="0" quotePrefix="1" applyNumberFormat="1" applyFont="1" applyFill="1" applyBorder="1" applyAlignment="1">
      <alignment horizontal="left" vertical="center" wrapText="1"/>
    </xf>
    <xf numFmtId="164" fontId="48" fillId="20" borderId="137" xfId="0" quotePrefix="1" applyNumberFormat="1" applyFont="1" applyFill="1" applyBorder="1" applyAlignment="1">
      <alignment horizontal="left" vertical="center" wrapText="1"/>
    </xf>
    <xf numFmtId="164" fontId="48" fillId="20" borderId="125" xfId="0" applyNumberFormat="1" applyFont="1" applyFill="1" applyBorder="1" applyAlignment="1">
      <alignment horizontal="left" vertical="center" wrapText="1"/>
    </xf>
    <xf numFmtId="164" fontId="48" fillId="20" borderId="114" xfId="0" quotePrefix="1" applyNumberFormat="1" applyFont="1" applyFill="1" applyBorder="1" applyAlignment="1">
      <alignment horizontal="left" vertical="center" wrapText="1"/>
    </xf>
    <xf numFmtId="165" fontId="48" fillId="12" borderId="150" xfId="0" applyNumberFormat="1" applyFont="1" applyFill="1" applyBorder="1" applyAlignment="1">
      <alignment horizontal="left" vertical="center"/>
    </xf>
    <xf numFmtId="0" fontId="56" fillId="7" borderId="186" xfId="0" applyFont="1" applyFill="1" applyBorder="1" applyAlignment="1">
      <alignment horizontal="center" vertical="center" wrapText="1"/>
    </xf>
    <xf numFmtId="11" fontId="52" fillId="22" borderId="150" xfId="0" applyNumberFormat="1" applyFont="1" applyFill="1" applyBorder="1" applyAlignment="1">
      <alignment horizontal="center" vertical="center" wrapText="1"/>
    </xf>
    <xf numFmtId="0" fontId="48" fillId="0" borderId="150" xfId="0" applyFont="1" applyBorder="1" applyAlignment="1">
      <alignment horizontal="center" vertical="center" wrapText="1"/>
    </xf>
    <xf numFmtId="0" fontId="48" fillId="0" borderId="194" xfId="0" applyFont="1" applyBorder="1" applyAlignment="1">
      <alignment horizontal="center" vertical="center" wrapText="1"/>
    </xf>
    <xf numFmtId="0" fontId="48" fillId="0" borderId="150" xfId="0" applyFont="1" applyBorder="1" applyAlignment="1">
      <alignment horizontal="center" vertical="center"/>
    </xf>
    <xf numFmtId="0" fontId="48" fillId="39" borderId="94" xfId="0" applyFont="1" applyFill="1" applyBorder="1" applyAlignment="1">
      <alignment horizontal="center" vertical="center"/>
    </xf>
    <xf numFmtId="0" fontId="94" fillId="39" borderId="189" xfId="2" applyFont="1" applyFill="1" applyBorder="1" applyAlignment="1">
      <alignment horizontal="left" vertical="center" wrapText="1"/>
    </xf>
    <xf numFmtId="0" fontId="48" fillId="39" borderId="190" xfId="0" applyFont="1" applyFill="1" applyBorder="1" applyAlignment="1">
      <alignment horizontal="center" vertical="center"/>
    </xf>
    <xf numFmtId="0" fontId="94" fillId="39" borderId="115" xfId="2" applyFont="1" applyFill="1" applyBorder="1" applyAlignment="1">
      <alignment horizontal="left" vertical="center" wrapText="1"/>
    </xf>
    <xf numFmtId="0" fontId="48" fillId="39" borderId="117" xfId="0" applyFont="1" applyFill="1" applyBorder="1" applyAlignment="1">
      <alignment horizontal="center" vertical="center"/>
    </xf>
    <xf numFmtId="0" fontId="45" fillId="5" borderId="150" xfId="0" applyFont="1" applyFill="1" applyBorder="1" applyAlignment="1">
      <alignment horizontal="center" vertical="center"/>
    </xf>
    <xf numFmtId="0" fontId="45" fillId="8" borderId="184" xfId="0" quotePrefix="1" applyFont="1" applyFill="1" applyBorder="1" applyAlignment="1">
      <alignment horizontal="center" vertical="center"/>
    </xf>
    <xf numFmtId="0" fontId="45" fillId="11" borderId="150" xfId="0" quotePrefix="1" applyFont="1" applyFill="1" applyBorder="1" applyAlignment="1">
      <alignment horizontal="center" vertical="center"/>
    </xf>
    <xf numFmtId="0" fontId="45" fillId="11" borderId="150" xfId="0" applyFont="1" applyFill="1" applyBorder="1" applyAlignment="1">
      <alignment horizontal="center" vertical="center"/>
    </xf>
    <xf numFmtId="0" fontId="56" fillId="38" borderId="150" xfId="0" applyFont="1" applyFill="1" applyBorder="1" applyAlignment="1">
      <alignment horizontal="center" vertical="center"/>
    </xf>
    <xf numFmtId="0" fontId="45" fillId="4" borderId="138" xfId="0" quotePrefix="1" applyFont="1" applyFill="1" applyBorder="1" applyAlignment="1">
      <alignment horizontal="center" vertical="center"/>
    </xf>
    <xf numFmtId="0" fontId="45" fillId="18" borderId="138" xfId="0" applyFont="1" applyFill="1" applyBorder="1" applyAlignment="1">
      <alignment horizontal="center" vertical="center"/>
    </xf>
    <xf numFmtId="0" fontId="45" fillId="18" borderId="183" xfId="0" applyFont="1" applyFill="1" applyBorder="1" applyAlignment="1">
      <alignment horizontal="center" vertical="center"/>
    </xf>
    <xf numFmtId="0" fontId="45" fillId="5" borderId="184" xfId="0" applyFont="1" applyFill="1" applyBorder="1" applyAlignment="1">
      <alignment horizontal="center" vertical="center"/>
    </xf>
    <xf numFmtId="0" fontId="45" fillId="5" borderId="183" xfId="0" applyFont="1" applyFill="1" applyBorder="1" applyAlignment="1">
      <alignment horizontal="center" vertical="center"/>
    </xf>
    <xf numFmtId="0" fontId="48" fillId="40" borderId="167" xfId="0" applyFont="1" applyFill="1" applyBorder="1" applyAlignment="1">
      <alignment horizontal="left" vertical="center"/>
    </xf>
    <xf numFmtId="0" fontId="0" fillId="40" borderId="184" xfId="0" applyFill="1" applyBorder="1" applyAlignment="1">
      <alignment horizontal="left"/>
    </xf>
    <xf numFmtId="164" fontId="48" fillId="40" borderId="184" xfId="0" applyNumberFormat="1" applyFont="1" applyFill="1" applyBorder="1" applyAlignment="1">
      <alignment horizontal="center" vertical="center"/>
    </xf>
    <xf numFmtId="0" fontId="48" fillId="40" borderId="184" xfId="0" applyFont="1" applyFill="1" applyBorder="1" applyAlignment="1">
      <alignment horizontal="center" vertical="center" wrapText="1"/>
    </xf>
    <xf numFmtId="0" fontId="52" fillId="40" borderId="184" xfId="0" applyFont="1" applyFill="1" applyBorder="1" applyAlignment="1">
      <alignment horizontal="center" vertical="center" wrapText="1"/>
    </xf>
    <xf numFmtId="0" fontId="48" fillId="40" borderId="184" xfId="0" applyFont="1" applyFill="1" applyBorder="1" applyAlignment="1">
      <alignment horizontal="left" vertical="center" wrapText="1"/>
    </xf>
    <xf numFmtId="0" fontId="48" fillId="40" borderId="168" xfId="0" applyFont="1" applyFill="1" applyBorder="1" applyAlignment="1">
      <alignment horizontal="left" vertical="center"/>
    </xf>
    <xf numFmtId="0" fontId="48" fillId="40" borderId="189" xfId="0" applyFont="1" applyFill="1" applyBorder="1" applyAlignment="1">
      <alignment horizontal="left" vertical="center"/>
    </xf>
    <xf numFmtId="0" fontId="0" fillId="40" borderId="183" xfId="0" applyFill="1" applyBorder="1" applyAlignment="1">
      <alignment horizontal="left"/>
    </xf>
    <xf numFmtId="1" fontId="48" fillId="40" borderId="183" xfId="0" applyNumberFormat="1" applyFont="1" applyFill="1" applyBorder="1" applyAlignment="1">
      <alignment horizontal="center" vertical="center"/>
    </xf>
    <xf numFmtId="0" fontId="48" fillId="40" borderId="183" xfId="0" applyFont="1" applyFill="1" applyBorder="1" applyAlignment="1">
      <alignment horizontal="center" vertical="center" wrapText="1"/>
    </xf>
    <xf numFmtId="0" fontId="52" fillId="40" borderId="183" xfId="0" applyFont="1" applyFill="1" applyBorder="1" applyAlignment="1">
      <alignment horizontal="center" vertical="center" wrapText="1"/>
    </xf>
    <xf numFmtId="0" fontId="48" fillId="40" borderId="183" xfId="0" applyFont="1" applyFill="1" applyBorder="1" applyAlignment="1">
      <alignment horizontal="left" vertical="center" wrapText="1"/>
    </xf>
    <xf numFmtId="0" fontId="48" fillId="40" borderId="190" xfId="0" applyFont="1" applyFill="1" applyBorder="1" applyAlignment="1">
      <alignment horizontal="left" vertical="center"/>
    </xf>
    <xf numFmtId="0" fontId="56" fillId="11" borderId="189" xfId="0" applyFont="1" applyFill="1" applyBorder="1" applyAlignment="1">
      <alignment horizontal="center" vertical="center"/>
    </xf>
    <xf numFmtId="0" fontId="56" fillId="11" borderId="183" xfId="0" applyFont="1" applyFill="1" applyBorder="1" applyAlignment="1">
      <alignment horizontal="center" vertical="center"/>
    </xf>
    <xf numFmtId="0" fontId="0" fillId="11" borderId="183" xfId="0" applyFill="1" applyBorder="1" applyAlignment="1">
      <alignment horizontal="left" vertical="center"/>
    </xf>
    <xf numFmtId="0" fontId="45" fillId="11" borderId="183" xfId="0" applyFont="1" applyFill="1" applyBorder="1" applyAlignment="1">
      <alignment horizontal="center" vertical="center"/>
    </xf>
    <xf numFmtId="0" fontId="45" fillId="11" borderId="183" xfId="0" quotePrefix="1" applyFont="1" applyFill="1" applyBorder="1" applyAlignment="1">
      <alignment horizontal="center" vertical="center"/>
    </xf>
    <xf numFmtId="0" fontId="45" fillId="11" borderId="183" xfId="0" applyFont="1" applyFill="1" applyBorder="1" applyAlignment="1">
      <alignment horizontal="left" vertical="center"/>
    </xf>
    <xf numFmtId="0" fontId="0" fillId="11" borderId="183" xfId="0" applyFill="1" applyBorder="1" applyAlignment="1">
      <alignment horizontal="center" vertical="center"/>
    </xf>
    <xf numFmtId="0" fontId="45" fillId="11" borderId="190" xfId="0" applyFont="1" applyFill="1" applyBorder="1" applyAlignment="1">
      <alignment horizontal="left" vertical="center"/>
    </xf>
    <xf numFmtId="165" fontId="48" fillId="9" borderId="90" xfId="0" applyNumberFormat="1" applyFont="1" applyFill="1" applyBorder="1" applyAlignment="1">
      <alignment horizontal="center" vertical="center"/>
    </xf>
    <xf numFmtId="165" fontId="48" fillId="9" borderId="183" xfId="0" applyNumberFormat="1" applyFont="1" applyFill="1" applyBorder="1" applyAlignment="1">
      <alignment horizontal="center" vertical="center"/>
    </xf>
    <xf numFmtId="0" fontId="48" fillId="4" borderId="93" xfId="0" applyFont="1" applyFill="1" applyBorder="1" applyAlignment="1">
      <alignment horizontal="left" vertical="center"/>
    </xf>
    <xf numFmtId="11" fontId="48" fillId="4" borderId="90" xfId="0" applyNumberFormat="1" applyFont="1" applyFill="1" applyBorder="1" applyAlignment="1">
      <alignment horizontal="left" vertical="center"/>
    </xf>
    <xf numFmtId="0" fontId="48" fillId="4" borderId="90" xfId="0" applyFont="1" applyFill="1" applyBorder="1" applyAlignment="1">
      <alignment horizontal="left" vertical="center"/>
    </xf>
    <xf numFmtId="0" fontId="48" fillId="4" borderId="150" xfId="0" applyFont="1" applyFill="1" applyBorder="1" applyAlignment="1">
      <alignment horizontal="left" vertical="center"/>
    </xf>
    <xf numFmtId="0" fontId="48" fillId="4" borderId="194" xfId="0" applyFont="1" applyFill="1" applyBorder="1" applyAlignment="1">
      <alignment horizontal="left" vertical="center"/>
    </xf>
    <xf numFmtId="2" fontId="48" fillId="8" borderId="184" xfId="0" applyNumberFormat="1" applyFont="1" applyFill="1" applyBorder="1" applyAlignment="1">
      <alignment horizontal="center" vertical="center" wrapText="1"/>
    </xf>
    <xf numFmtId="0" fontId="48" fillId="8" borderId="184" xfId="0" applyFont="1" applyFill="1" applyBorder="1" applyAlignment="1">
      <alignment horizontal="center" vertical="center" wrapText="1"/>
    </xf>
    <xf numFmtId="164" fontId="48" fillId="11" borderId="150" xfId="0" applyNumberFormat="1" applyFont="1" applyFill="1" applyBorder="1" applyAlignment="1">
      <alignment horizontal="center" vertical="center" wrapText="1"/>
    </xf>
    <xf numFmtId="0" fontId="48" fillId="20" borderId="150" xfId="0" applyFont="1" applyFill="1" applyBorder="1" applyAlignment="1">
      <alignment horizontal="center" vertical="center"/>
    </xf>
    <xf numFmtId="2" fontId="48" fillId="12" borderId="150" xfId="0" applyNumberFormat="1" applyFont="1" applyFill="1" applyBorder="1" applyAlignment="1">
      <alignment horizontal="center" vertical="center" wrapText="1"/>
    </xf>
    <xf numFmtId="0" fontId="48" fillId="12" borderId="150" xfId="0" applyFont="1" applyFill="1" applyBorder="1" applyAlignment="1">
      <alignment horizontal="center" vertical="center" wrapText="1"/>
    </xf>
    <xf numFmtId="2" fontId="48" fillId="18" borderId="183" xfId="0" applyNumberFormat="1" applyFont="1" applyFill="1" applyBorder="1" applyAlignment="1">
      <alignment horizontal="center" vertical="center" wrapText="1"/>
    </xf>
    <xf numFmtId="0" fontId="48" fillId="18" borderId="183" xfId="0" applyFont="1" applyFill="1" applyBorder="1" applyAlignment="1">
      <alignment horizontal="center" vertical="center" wrapText="1"/>
    </xf>
    <xf numFmtId="0" fontId="52" fillId="9" borderId="193" xfId="0" applyFont="1" applyFill="1" applyBorder="1" applyAlignment="1">
      <alignment horizontal="left" vertical="center" wrapText="1"/>
    </xf>
    <xf numFmtId="166" fontId="52" fillId="9" borderId="150" xfId="0" applyNumberFormat="1" applyFont="1" applyFill="1" applyBorder="1" applyAlignment="1">
      <alignment vertical="center" wrapText="1"/>
    </xf>
    <xf numFmtId="0" fontId="52" fillId="9" borderId="150" xfId="0" applyFont="1" applyFill="1" applyBorder="1" applyAlignment="1">
      <alignment horizontal="left" vertical="center" wrapText="1"/>
    </xf>
    <xf numFmtId="0" fontId="52" fillId="9" borderId="194" xfId="0" applyFont="1" applyFill="1" applyBorder="1" applyAlignment="1">
      <alignment horizontal="left" vertical="center" wrapText="1"/>
    </xf>
    <xf numFmtId="169" fontId="52" fillId="9" borderId="150" xfId="0" applyNumberFormat="1" applyFont="1" applyFill="1" applyBorder="1" applyAlignment="1">
      <alignment horizontal="center" vertical="center" wrapText="1"/>
    </xf>
    <xf numFmtId="0" fontId="52" fillId="9" borderId="193" xfId="0" applyFont="1" applyFill="1" applyBorder="1" applyAlignment="1">
      <alignment horizontal="left" vertical="center"/>
    </xf>
    <xf numFmtId="0" fontId="52" fillId="9" borderId="150" xfId="0" applyFont="1" applyFill="1" applyBorder="1" applyAlignment="1">
      <alignment vertical="center" wrapText="1"/>
    </xf>
    <xf numFmtId="166" fontId="52" fillId="9" borderId="150" xfId="0" applyNumberFormat="1" applyFont="1" applyFill="1" applyBorder="1" applyAlignment="1">
      <alignment horizontal="center" vertical="center"/>
    </xf>
    <xf numFmtId="0" fontId="52" fillId="9" borderId="150" xfId="0" quotePrefix="1" applyFont="1" applyFill="1" applyBorder="1" applyAlignment="1">
      <alignment horizontal="center" vertical="center" wrapText="1"/>
    </xf>
    <xf numFmtId="0" fontId="52" fillId="9" borderId="150" xfId="0" applyFont="1" applyFill="1" applyBorder="1" applyAlignment="1">
      <alignment horizontal="left" vertical="center"/>
    </xf>
    <xf numFmtId="0" fontId="55" fillId="9" borderId="194" xfId="0" applyFont="1" applyFill="1" applyBorder="1" applyAlignment="1">
      <alignment horizontal="left" vertical="center"/>
    </xf>
    <xf numFmtId="0" fontId="52" fillId="9" borderId="193" xfId="0" applyFont="1" applyFill="1" applyBorder="1" applyAlignment="1">
      <alignment vertical="center"/>
    </xf>
    <xf numFmtId="0" fontId="56" fillId="7" borderId="193" xfId="0" applyFont="1" applyFill="1" applyBorder="1" applyAlignment="1">
      <alignment horizontal="center" vertical="center"/>
    </xf>
    <xf numFmtId="0" fontId="56" fillId="7" borderId="150" xfId="0" applyFont="1" applyFill="1" applyBorder="1" applyAlignment="1">
      <alignment horizontal="center" vertical="center"/>
    </xf>
    <xf numFmtId="0" fontId="47" fillId="16" borderId="193" xfId="0" applyFont="1" applyFill="1" applyBorder="1" applyAlignment="1">
      <alignment horizontal="center" vertical="center"/>
    </xf>
    <xf numFmtId="0" fontId="56" fillId="16" borderId="193" xfId="0" applyFont="1" applyFill="1" applyBorder="1" applyAlignment="1">
      <alignment horizontal="center" vertical="center"/>
    </xf>
    <xf numFmtId="0" fontId="56" fillId="16" borderId="150" xfId="0" applyFont="1" applyFill="1" applyBorder="1" applyAlignment="1">
      <alignment horizontal="center" vertical="center"/>
    </xf>
    <xf numFmtId="0" fontId="28" fillId="9" borderId="193" xfId="0" applyFont="1" applyFill="1" applyBorder="1" applyAlignment="1">
      <alignment horizontal="center" vertical="center"/>
    </xf>
    <xf numFmtId="0" fontId="56" fillId="15" borderId="193" xfId="0" applyFont="1" applyFill="1" applyBorder="1" applyAlignment="1">
      <alignment horizontal="center" vertical="center"/>
    </xf>
    <xf numFmtId="0" fontId="56" fillId="38" borderId="193" xfId="0" applyFont="1" applyFill="1" applyBorder="1" applyAlignment="1">
      <alignment horizontal="center" vertical="center"/>
    </xf>
    <xf numFmtId="0" fontId="47" fillId="4" borderId="193" xfId="0" applyFont="1" applyFill="1" applyBorder="1" applyAlignment="1">
      <alignment horizontal="center" vertical="center"/>
    </xf>
    <xf numFmtId="0" fontId="47" fillId="18" borderId="193" xfId="0" applyFont="1" applyFill="1" applyBorder="1" applyAlignment="1">
      <alignment horizontal="center" vertical="center"/>
    </xf>
    <xf numFmtId="0" fontId="47" fillId="18" borderId="189" xfId="0" applyFont="1" applyFill="1" applyBorder="1" applyAlignment="1">
      <alignment horizontal="center" vertical="center"/>
    </xf>
    <xf numFmtId="0" fontId="47" fillId="18" borderId="183" xfId="0" applyFont="1" applyFill="1" applyBorder="1" applyAlignment="1">
      <alignment horizontal="center" vertical="center"/>
    </xf>
    <xf numFmtId="0" fontId="45" fillId="9" borderId="194" xfId="0" applyFont="1" applyFill="1" applyBorder="1" applyAlignment="1">
      <alignment horizontal="left" vertical="center"/>
    </xf>
    <xf numFmtId="0" fontId="47" fillId="18" borderId="38" xfId="0" applyFont="1" applyFill="1" applyBorder="1" applyAlignment="1">
      <alignment horizontal="center" vertical="center"/>
    </xf>
    <xf numFmtId="0" fontId="47" fillId="18" borderId="90" xfId="0" applyFont="1" applyFill="1" applyBorder="1" applyAlignment="1">
      <alignment horizontal="center" vertical="center"/>
    </xf>
    <xf numFmtId="0" fontId="45" fillId="18" borderId="90" xfId="0" applyFont="1" applyFill="1" applyBorder="1" applyAlignment="1">
      <alignment horizontal="left" vertical="center"/>
    </xf>
    <xf numFmtId="0" fontId="45" fillId="18" borderId="90" xfId="0" applyFont="1" applyFill="1" applyBorder="1" applyAlignment="1">
      <alignment horizontal="center" vertical="center"/>
    </xf>
    <xf numFmtId="0" fontId="45" fillId="18" borderId="90" xfId="0" quotePrefix="1" applyFont="1" applyFill="1" applyBorder="1" applyAlignment="1">
      <alignment horizontal="center" vertical="center"/>
    </xf>
    <xf numFmtId="0" fontId="45" fillId="18" borderId="94" xfId="0" applyFont="1" applyFill="1" applyBorder="1" applyAlignment="1">
      <alignment horizontal="center" vertical="center"/>
    </xf>
    <xf numFmtId="0" fontId="47" fillId="7" borderId="185" xfId="0" applyFont="1" applyFill="1" applyBorder="1" applyAlignment="1">
      <alignment horizontal="center" vertical="center"/>
    </xf>
    <xf numFmtId="0" fontId="47" fillId="7" borderId="186" xfId="0" applyFont="1" applyFill="1" applyBorder="1" applyAlignment="1">
      <alignment horizontal="center" vertical="center"/>
    </xf>
    <xf numFmtId="0" fontId="56" fillId="7" borderId="186" xfId="3" applyFont="1" applyFill="1" applyBorder="1" applyAlignment="1">
      <alignment horizontal="center" vertical="center" wrapText="1"/>
    </xf>
    <xf numFmtId="0" fontId="60" fillId="7" borderId="186" xfId="3" applyFont="1" applyFill="1" applyBorder="1" applyAlignment="1">
      <alignment horizontal="center" vertical="center" wrapText="1"/>
    </xf>
    <xf numFmtId="0" fontId="60" fillId="7" borderId="180" xfId="3" applyFont="1" applyFill="1" applyBorder="1" applyAlignment="1">
      <alignment horizontal="center" vertical="center" wrapText="1"/>
    </xf>
    <xf numFmtId="0" fontId="47" fillId="7" borderId="186" xfId="0" applyFont="1" applyFill="1" applyBorder="1" applyAlignment="1">
      <alignment horizontal="left" vertical="center"/>
    </xf>
    <xf numFmtId="0" fontId="47" fillId="7" borderId="186" xfId="0" applyFont="1" applyFill="1" applyBorder="1" applyAlignment="1">
      <alignment horizontal="left" vertical="center" wrapText="1"/>
    </xf>
    <xf numFmtId="0" fontId="47" fillId="7" borderId="187" xfId="0" applyFont="1" applyFill="1" applyBorder="1" applyAlignment="1">
      <alignment horizontal="left" vertical="center" wrapText="1"/>
    </xf>
    <xf numFmtId="0" fontId="47" fillId="8" borderId="167" xfId="0" applyFont="1" applyFill="1" applyBorder="1" applyAlignment="1">
      <alignment horizontal="center"/>
    </xf>
    <xf numFmtId="0" fontId="47" fillId="8" borderId="184" xfId="0" applyFont="1" applyFill="1" applyBorder="1" applyAlignment="1">
      <alignment horizontal="center"/>
    </xf>
    <xf numFmtId="0" fontId="45" fillId="8" borderId="184" xfId="0" applyFont="1" applyFill="1" applyBorder="1"/>
    <xf numFmtId="0" fontId="45" fillId="8" borderId="184" xfId="0" applyFont="1" applyFill="1" applyBorder="1" applyAlignment="1">
      <alignment horizontal="center" vertical="center"/>
    </xf>
    <xf numFmtId="0" fontId="45" fillId="8" borderId="184" xfId="0" quotePrefix="1" applyFont="1" applyFill="1" applyBorder="1" applyAlignment="1">
      <alignment horizontal="left" vertical="center"/>
    </xf>
    <xf numFmtId="0" fontId="45" fillId="8" borderId="184" xfId="0" applyFont="1" applyFill="1" applyBorder="1" applyAlignment="1">
      <alignment horizontal="left" vertical="center"/>
    </xf>
    <xf numFmtId="0" fontId="45" fillId="8" borderId="168" xfId="0" applyFont="1" applyFill="1" applyBorder="1" applyAlignment="1">
      <alignment horizontal="left" vertical="center"/>
    </xf>
    <xf numFmtId="0" fontId="45" fillId="8" borderId="194" xfId="0" applyFont="1" applyFill="1" applyBorder="1" applyAlignment="1">
      <alignment horizontal="left" vertical="center"/>
    </xf>
    <xf numFmtId="0" fontId="45" fillId="8" borderId="194" xfId="0" quotePrefix="1" applyFont="1" applyFill="1" applyBorder="1" applyAlignment="1">
      <alignment horizontal="left" vertical="center"/>
    </xf>
    <xf numFmtId="0" fontId="47" fillId="21" borderId="193" xfId="0" applyFont="1" applyFill="1" applyBorder="1" applyAlignment="1">
      <alignment horizontal="center"/>
    </xf>
    <xf numFmtId="0" fontId="45" fillId="21" borderId="194" xfId="0" applyFont="1" applyFill="1" applyBorder="1" applyAlignment="1">
      <alignment horizontal="left" vertical="center"/>
    </xf>
    <xf numFmtId="0" fontId="47" fillId="11" borderId="193" xfId="0" applyFont="1" applyFill="1" applyBorder="1" applyAlignment="1">
      <alignment horizontal="center" vertical="center"/>
    </xf>
    <xf numFmtId="0" fontId="47" fillId="11" borderId="150" xfId="0" applyFont="1" applyFill="1" applyBorder="1" applyAlignment="1">
      <alignment horizontal="center" vertical="center"/>
    </xf>
    <xf numFmtId="0" fontId="45" fillId="11" borderId="150" xfId="0" applyFont="1" applyFill="1" applyBorder="1" applyAlignment="1">
      <alignment horizontal="left" vertical="center"/>
    </xf>
    <xf numFmtId="0" fontId="45" fillId="11" borderId="150" xfId="0" quotePrefix="1" applyFont="1" applyFill="1" applyBorder="1" applyAlignment="1">
      <alignment horizontal="left" vertical="center"/>
    </xf>
    <xf numFmtId="0" fontId="45" fillId="11" borderId="194" xfId="0" quotePrefix="1" applyFont="1" applyFill="1" applyBorder="1" applyAlignment="1">
      <alignment horizontal="left" vertical="center"/>
    </xf>
    <xf numFmtId="0" fontId="45" fillId="11" borderId="194" xfId="0" applyFont="1" applyFill="1" applyBorder="1" applyAlignment="1">
      <alignment horizontal="left" vertical="center"/>
    </xf>
    <xf numFmtId="0" fontId="47" fillId="10" borderId="193" xfId="0" applyFont="1" applyFill="1" applyBorder="1" applyAlignment="1">
      <alignment horizontal="center"/>
    </xf>
    <xf numFmtId="0" fontId="45" fillId="10" borderId="194" xfId="0" quotePrefix="1" applyFont="1" applyFill="1" applyBorder="1" applyAlignment="1">
      <alignment horizontal="left" vertical="center"/>
    </xf>
    <xf numFmtId="0" fontId="45" fillId="10" borderId="194" xfId="0" applyFont="1" applyFill="1" applyBorder="1" applyAlignment="1">
      <alignment horizontal="left" vertical="center"/>
    </xf>
    <xf numFmtId="0" fontId="47" fillId="22" borderId="193" xfId="0" applyFont="1" applyFill="1" applyBorder="1" applyAlignment="1">
      <alignment horizontal="center"/>
    </xf>
    <xf numFmtId="0" fontId="45" fillId="22" borderId="194" xfId="0" applyFont="1" applyFill="1" applyBorder="1" applyAlignment="1">
      <alignment horizontal="left" vertical="center"/>
    </xf>
    <xf numFmtId="0" fontId="47" fillId="20" borderId="193" xfId="0" applyFont="1" applyFill="1" applyBorder="1" applyAlignment="1">
      <alignment horizontal="center"/>
    </xf>
    <xf numFmtId="0" fontId="45" fillId="20" borderId="194" xfId="0" quotePrefix="1" applyFont="1" applyFill="1" applyBorder="1" applyAlignment="1">
      <alignment horizontal="left" vertical="center"/>
    </xf>
    <xf numFmtId="0" fontId="45" fillId="20" borderId="194" xfId="0" applyFont="1" applyFill="1" applyBorder="1" applyAlignment="1">
      <alignment horizontal="left" vertical="center"/>
    </xf>
    <xf numFmtId="0" fontId="47" fillId="12" borderId="193" xfId="0" applyFont="1" applyFill="1" applyBorder="1" applyAlignment="1">
      <alignment horizontal="center"/>
    </xf>
    <xf numFmtId="0" fontId="45" fillId="12" borderId="194" xfId="0" applyFont="1" applyFill="1" applyBorder="1" applyAlignment="1">
      <alignment horizontal="left" vertical="center"/>
    </xf>
    <xf numFmtId="0" fontId="47" fillId="18" borderId="193" xfId="0" applyFont="1" applyFill="1" applyBorder="1" applyAlignment="1">
      <alignment horizontal="center"/>
    </xf>
    <xf numFmtId="0" fontId="45" fillId="18" borderId="194" xfId="0" applyFont="1" applyFill="1" applyBorder="1" applyAlignment="1">
      <alignment horizontal="left" vertical="center"/>
    </xf>
    <xf numFmtId="0" fontId="47" fillId="9" borderId="193" xfId="0" applyFont="1" applyFill="1" applyBorder="1" applyAlignment="1">
      <alignment horizontal="center"/>
    </xf>
    <xf numFmtId="0" fontId="48" fillId="7" borderId="150" xfId="3" quotePrefix="1" applyFont="1" applyFill="1" applyBorder="1" applyAlignment="1">
      <alignment horizontal="center" vertical="center"/>
    </xf>
    <xf numFmtId="0" fontId="45" fillId="7" borderId="194" xfId="0" applyFont="1" applyFill="1" applyBorder="1" applyAlignment="1">
      <alignment horizontal="left" vertical="center"/>
    </xf>
    <xf numFmtId="0" fontId="45" fillId="16" borderId="194" xfId="0" applyFont="1" applyFill="1" applyBorder="1" applyAlignment="1">
      <alignment horizontal="left" vertical="center"/>
    </xf>
    <xf numFmtId="0" fontId="0" fillId="9" borderId="150" xfId="0" quotePrefix="1" applyFill="1" applyBorder="1" applyAlignment="1">
      <alignment horizontal="center" vertical="center"/>
    </xf>
    <xf numFmtId="0" fontId="48" fillId="9" borderId="150" xfId="3" quotePrefix="1" applyFont="1" applyFill="1" applyBorder="1" applyAlignment="1">
      <alignment horizontal="center" vertical="center"/>
    </xf>
    <xf numFmtId="0" fontId="0" fillId="9" borderId="150" xfId="0" applyFill="1" applyBorder="1" applyAlignment="1">
      <alignment horizontal="center" vertical="center"/>
    </xf>
    <xf numFmtId="0" fontId="45" fillId="15" borderId="194" xfId="0" applyFont="1" applyFill="1" applyBorder="1" applyAlignment="1">
      <alignment horizontal="left" vertical="center"/>
    </xf>
    <xf numFmtId="0" fontId="90" fillId="38" borderId="150" xfId="0" applyFont="1" applyFill="1" applyBorder="1" applyAlignment="1">
      <alignment horizontal="center" vertical="center"/>
    </xf>
    <xf numFmtId="0" fontId="45" fillId="38" borderId="150" xfId="0" applyFont="1" applyFill="1" applyBorder="1" applyAlignment="1">
      <alignment horizontal="left" vertical="center"/>
    </xf>
    <xf numFmtId="0" fontId="0" fillId="38" borderId="150" xfId="0" applyFill="1" applyBorder="1" applyAlignment="1">
      <alignment horizontal="center" vertical="center"/>
    </xf>
    <xf numFmtId="0" fontId="56" fillId="38" borderId="150" xfId="0" applyFont="1" applyFill="1" applyBorder="1" applyAlignment="1">
      <alignment horizontal="left" vertical="center"/>
    </xf>
    <xf numFmtId="0" fontId="56" fillId="38" borderId="194" xfId="0" applyFont="1" applyFill="1" applyBorder="1" applyAlignment="1">
      <alignment horizontal="left" vertical="center"/>
    </xf>
    <xf numFmtId="0" fontId="45" fillId="4" borderId="194" xfId="0" applyFont="1" applyFill="1" applyBorder="1" applyAlignment="1">
      <alignment horizontal="left" vertical="center"/>
    </xf>
    <xf numFmtId="0" fontId="45" fillId="4" borderId="138" xfId="0" applyFont="1" applyFill="1" applyBorder="1" applyAlignment="1">
      <alignment horizontal="center" vertical="center"/>
    </xf>
    <xf numFmtId="0" fontId="47" fillId="4" borderId="189" xfId="0" applyFont="1" applyFill="1" applyBorder="1" applyAlignment="1">
      <alignment horizontal="center" vertical="center"/>
    </xf>
    <xf numFmtId="0" fontId="47" fillId="4" borderId="183" xfId="0" applyFont="1" applyFill="1" applyBorder="1" applyAlignment="1">
      <alignment horizontal="center" vertical="center"/>
    </xf>
    <xf numFmtId="0" fontId="45" fillId="4" borderId="183" xfId="0" applyFont="1" applyFill="1" applyBorder="1" applyAlignment="1">
      <alignment horizontal="left" vertical="center"/>
    </xf>
    <xf numFmtId="0" fontId="45" fillId="4" borderId="183" xfId="0" applyFont="1" applyFill="1" applyBorder="1" applyAlignment="1">
      <alignment horizontal="center" vertical="center"/>
    </xf>
    <xf numFmtId="0" fontId="45" fillId="4" borderId="183" xfId="0" quotePrefix="1" applyFont="1" applyFill="1" applyBorder="1" applyAlignment="1">
      <alignment horizontal="center" vertical="center"/>
    </xf>
    <xf numFmtId="0" fontId="45" fillId="4" borderId="190" xfId="0" applyFont="1" applyFill="1" applyBorder="1" applyAlignment="1">
      <alignment horizontal="left" vertical="center"/>
    </xf>
    <xf numFmtId="0" fontId="52" fillId="9" borderId="194" xfId="0" applyFont="1" applyFill="1" applyBorder="1" applyAlignment="1">
      <alignment horizontal="left" vertical="center"/>
    </xf>
    <xf numFmtId="1" fontId="52" fillId="9" borderId="150" xfId="0" applyNumberFormat="1" applyFont="1" applyFill="1" applyBorder="1" applyAlignment="1">
      <alignment horizontal="center" vertical="center" wrapText="1"/>
    </xf>
    <xf numFmtId="0" fontId="55" fillId="7" borderId="2" xfId="0" applyFont="1" applyFill="1" applyBorder="1" applyAlignment="1">
      <alignment horizontal="left" vertical="center" wrapText="1"/>
    </xf>
    <xf numFmtId="0" fontId="52" fillId="41" borderId="167" xfId="0" applyFont="1" applyFill="1" applyBorder="1" applyAlignment="1">
      <alignment horizontal="left"/>
    </xf>
    <xf numFmtId="0" fontId="52" fillId="41" borderId="184" xfId="0" applyFont="1" applyFill="1" applyBorder="1" applyAlignment="1">
      <alignment horizontal="left" vertical="center" wrapText="1"/>
    </xf>
    <xf numFmtId="2" fontId="52" fillId="41" borderId="184" xfId="0" applyNumberFormat="1" applyFont="1" applyFill="1" applyBorder="1" applyAlignment="1">
      <alignment horizontal="center" vertical="center" wrapText="1"/>
    </xf>
    <xf numFmtId="0" fontId="52" fillId="41" borderId="184" xfId="0" applyFont="1" applyFill="1" applyBorder="1" applyAlignment="1">
      <alignment horizontal="center" vertical="center" wrapText="1"/>
    </xf>
    <xf numFmtId="0" fontId="48" fillId="41" borderId="184" xfId="0" applyFont="1" applyFill="1" applyBorder="1" applyAlignment="1">
      <alignment horizontal="left" vertical="center" wrapText="1"/>
    </xf>
    <xf numFmtId="0" fontId="48" fillId="41" borderId="168" xfId="0" applyFont="1" applyFill="1" applyBorder="1" applyAlignment="1">
      <alignment horizontal="left" vertical="center" wrapText="1"/>
    </xf>
    <xf numFmtId="0" fontId="52" fillId="41" borderId="193" xfId="0" applyFont="1" applyFill="1" applyBorder="1" applyAlignment="1">
      <alignment horizontal="left"/>
    </xf>
    <xf numFmtId="0" fontId="52" fillId="41" borderId="150" xfId="0" applyFont="1" applyFill="1" applyBorder="1" applyAlignment="1">
      <alignment horizontal="left" vertical="center" wrapText="1"/>
    </xf>
    <xf numFmtId="2" fontId="52" fillId="41" borderId="150" xfId="0" applyNumberFormat="1" applyFont="1" applyFill="1" applyBorder="1" applyAlignment="1">
      <alignment horizontal="center" vertical="center" wrapText="1"/>
    </xf>
    <xf numFmtId="0" fontId="52" fillId="41" borderId="150" xfId="0" applyFont="1" applyFill="1" applyBorder="1" applyAlignment="1">
      <alignment horizontal="center" vertical="center" wrapText="1"/>
    </xf>
    <xf numFmtId="0" fontId="48" fillId="41" borderId="150" xfId="0" applyFont="1" applyFill="1" applyBorder="1" applyAlignment="1">
      <alignment horizontal="left" vertical="center" wrapText="1"/>
    </xf>
    <xf numFmtId="0" fontId="48" fillId="41" borderId="194" xfId="0" applyFont="1" applyFill="1" applyBorder="1" applyAlignment="1">
      <alignment horizontal="left" vertical="center" wrapText="1"/>
    </xf>
    <xf numFmtId="0" fontId="52" fillId="41" borderId="189" xfId="0" applyFont="1" applyFill="1" applyBorder="1" applyAlignment="1">
      <alignment horizontal="left"/>
    </xf>
    <xf numFmtId="0" fontId="52" fillId="41" borderId="183" xfId="0" applyFont="1" applyFill="1" applyBorder="1" applyAlignment="1">
      <alignment horizontal="left" vertical="center" wrapText="1"/>
    </xf>
    <xf numFmtId="2" fontId="52" fillId="41" borderId="183" xfId="0" applyNumberFormat="1" applyFont="1" applyFill="1" applyBorder="1" applyAlignment="1">
      <alignment horizontal="center" vertical="center" wrapText="1"/>
    </xf>
    <xf numFmtId="0" fontId="52" fillId="41" borderId="183" xfId="0" applyFont="1" applyFill="1" applyBorder="1" applyAlignment="1">
      <alignment horizontal="center" vertical="center" wrapText="1"/>
    </xf>
    <xf numFmtId="0" fontId="48" fillId="41" borderId="183" xfId="0" applyFont="1" applyFill="1" applyBorder="1" applyAlignment="1">
      <alignment horizontal="left" vertical="center" wrapText="1"/>
    </xf>
    <xf numFmtId="0" fontId="48" fillId="41" borderId="190" xfId="0" applyFont="1" applyFill="1" applyBorder="1" applyAlignment="1">
      <alignment horizontal="left" vertical="center" wrapText="1"/>
    </xf>
    <xf numFmtId="0" fontId="52" fillId="41" borderId="193" xfId="0" applyFont="1" applyFill="1" applyBorder="1" applyAlignment="1">
      <alignment horizontal="left" vertical="center"/>
    </xf>
    <xf numFmtId="166" fontId="52" fillId="41" borderId="150" xfId="0" applyNumberFormat="1" applyFont="1" applyFill="1" applyBorder="1" applyAlignment="1">
      <alignment horizontal="center" vertical="center" wrapText="1"/>
    </xf>
    <xf numFmtId="0" fontId="52" fillId="41" borderId="150" xfId="0" quotePrefix="1" applyFont="1" applyFill="1" applyBorder="1" applyAlignment="1">
      <alignment horizontal="center" vertical="center" wrapText="1"/>
    </xf>
    <xf numFmtId="0" fontId="55" fillId="41" borderId="194" xfId="0" applyFont="1" applyFill="1" applyBorder="1" applyAlignment="1">
      <alignment horizontal="left" vertical="center"/>
    </xf>
    <xf numFmtId="0" fontId="48" fillId="9" borderId="193" xfId="0" applyFont="1" applyFill="1" applyBorder="1" applyAlignment="1">
      <alignment horizontal="left" vertical="center"/>
    </xf>
    <xf numFmtId="0" fontId="48" fillId="9" borderId="194" xfId="0" applyFont="1" applyFill="1" applyBorder="1" applyAlignment="1">
      <alignment horizontal="left" vertical="center" wrapText="1"/>
    </xf>
    <xf numFmtId="0" fontId="48" fillId="24" borderId="193" xfId="0" applyFont="1" applyFill="1" applyBorder="1" applyAlignment="1">
      <alignment horizontal="left" vertical="center"/>
    </xf>
    <xf numFmtId="166" fontId="48" fillId="24" borderId="150" xfId="0" applyNumberFormat="1" applyFont="1" applyFill="1" applyBorder="1" applyAlignment="1">
      <alignment horizontal="center" vertical="center" wrapText="1"/>
    </xf>
    <xf numFmtId="0" fontId="48" fillId="24" borderId="150" xfId="0" applyFont="1" applyFill="1" applyBorder="1" applyAlignment="1">
      <alignment horizontal="center" vertical="center" wrapText="1"/>
    </xf>
    <xf numFmtId="0" fontId="48" fillId="24" borderId="150" xfId="0" applyFont="1" applyFill="1" applyBorder="1" applyAlignment="1">
      <alignment horizontal="left" vertical="center" wrapText="1"/>
    </xf>
    <xf numFmtId="0" fontId="48" fillId="24" borderId="194" xfId="0" applyFont="1" applyFill="1" applyBorder="1" applyAlignment="1">
      <alignment horizontal="left" vertical="center" wrapText="1"/>
    </xf>
    <xf numFmtId="166" fontId="48" fillId="24" borderId="150" xfId="0" applyNumberFormat="1" applyFont="1" applyFill="1" applyBorder="1" applyAlignment="1">
      <alignment horizontal="left" vertical="center" wrapText="1"/>
    </xf>
    <xf numFmtId="0" fontId="48" fillId="24" borderId="193" xfId="0" applyFont="1" applyFill="1" applyBorder="1" applyAlignment="1">
      <alignment horizontal="left" vertical="center" wrapText="1"/>
    </xf>
    <xf numFmtId="0" fontId="45" fillId="24" borderId="150" xfId="0" applyFont="1" applyFill="1" applyBorder="1" applyAlignment="1">
      <alignment horizontal="center"/>
    </xf>
    <xf numFmtId="0" fontId="75" fillId="24" borderId="150" xfId="0" applyFont="1" applyFill="1" applyBorder="1" applyAlignment="1">
      <alignment horizontal="left" vertical="center" wrapText="1"/>
    </xf>
    <xf numFmtId="166" fontId="48" fillId="24" borderId="150" xfId="0" applyNumberFormat="1" applyFont="1" applyFill="1" applyBorder="1" applyAlignment="1">
      <alignment horizontal="left" vertical="center"/>
    </xf>
    <xf numFmtId="165" fontId="48" fillId="24" borderId="150" xfId="0" applyNumberFormat="1" applyFont="1" applyFill="1" applyBorder="1" applyAlignment="1">
      <alignment horizontal="center" vertical="center"/>
    </xf>
    <xf numFmtId="0" fontId="47" fillId="41" borderId="193" xfId="0" applyFont="1" applyFill="1" applyBorder="1" applyAlignment="1">
      <alignment horizontal="center" vertical="center"/>
    </xf>
    <xf numFmtId="0" fontId="47" fillId="41" borderId="150" xfId="0" applyFont="1" applyFill="1" applyBorder="1" applyAlignment="1">
      <alignment horizontal="center" vertical="center"/>
    </xf>
    <xf numFmtId="0" fontId="45" fillId="41" borderId="150" xfId="0" applyFont="1" applyFill="1" applyBorder="1" applyAlignment="1">
      <alignment horizontal="left" vertical="center"/>
    </xf>
    <xf numFmtId="0" fontId="45" fillId="41" borderId="150" xfId="0" applyFont="1" applyFill="1" applyBorder="1" applyAlignment="1">
      <alignment horizontal="center" vertical="center"/>
    </xf>
    <xf numFmtId="0" fontId="0" fillId="41" borderId="150" xfId="0" quotePrefix="1" applyFill="1" applyBorder="1" applyAlignment="1">
      <alignment horizontal="center" vertical="center"/>
    </xf>
    <xf numFmtId="0" fontId="48" fillId="41" borderId="150" xfId="0" quotePrefix="1" applyFont="1" applyFill="1" applyBorder="1" applyAlignment="1">
      <alignment horizontal="center" vertical="center"/>
    </xf>
    <xf numFmtId="0" fontId="45" fillId="41" borderId="150" xfId="0" quotePrefix="1" applyFont="1" applyFill="1" applyBorder="1" applyAlignment="1">
      <alignment horizontal="center" vertical="center"/>
    </xf>
    <xf numFmtId="0" fontId="45" fillId="41" borderId="150" xfId="0" applyFont="1" applyFill="1" applyBorder="1" applyAlignment="1">
      <alignment horizontal="left"/>
    </xf>
    <xf numFmtId="0" fontId="45" fillId="41" borderId="104" xfId="0" applyFont="1" applyFill="1" applyBorder="1" applyAlignment="1">
      <alignment horizontal="center" vertical="center"/>
    </xf>
    <xf numFmtId="0" fontId="45" fillId="41" borderId="194" xfId="0" applyFont="1" applyFill="1" applyBorder="1" applyAlignment="1">
      <alignment horizontal="left" vertical="center"/>
    </xf>
    <xf numFmtId="0" fontId="0" fillId="41" borderId="150" xfId="0" applyFill="1" applyBorder="1" applyAlignment="1">
      <alignment horizontal="left"/>
    </xf>
    <xf numFmtId="0" fontId="48" fillId="5" borderId="184" xfId="0" applyFont="1" applyFill="1" applyBorder="1" applyAlignment="1">
      <alignment horizontal="center" vertical="center"/>
    </xf>
    <xf numFmtId="0" fontId="48" fillId="5" borderId="183" xfId="0" applyFont="1" applyFill="1" applyBorder="1" applyAlignment="1">
      <alignment horizontal="center" vertical="center"/>
    </xf>
    <xf numFmtId="0" fontId="45" fillId="0" borderId="194" xfId="0" applyFont="1" applyBorder="1"/>
    <xf numFmtId="0" fontId="34" fillId="0" borderId="0" xfId="3" applyFont="1" applyAlignment="1">
      <alignment horizontal="left" vertical="center" wrapText="1"/>
    </xf>
    <xf numFmtId="0" fontId="55" fillId="7" borderId="195" xfId="0" applyFont="1" applyFill="1" applyBorder="1" applyAlignment="1">
      <alignment horizontal="left" vertical="center" wrapText="1"/>
    </xf>
    <xf numFmtId="0" fontId="48" fillId="41" borderId="193" xfId="0" applyFont="1" applyFill="1" applyBorder="1" applyAlignment="1">
      <alignment horizontal="left" vertical="center"/>
    </xf>
    <xf numFmtId="0" fontId="48" fillId="41" borderId="150" xfId="0" quotePrefix="1" applyFont="1" applyFill="1" applyBorder="1" applyAlignment="1">
      <alignment horizontal="left" vertical="center" wrapText="1"/>
    </xf>
    <xf numFmtId="0" fontId="48" fillId="41" borderId="150" xfId="0" quotePrefix="1" applyFont="1" applyFill="1" applyBorder="1" applyAlignment="1">
      <alignment horizontal="left" vertical="center"/>
    </xf>
    <xf numFmtId="0" fontId="48" fillId="41" borderId="150" xfId="0" applyFont="1" applyFill="1" applyBorder="1" applyAlignment="1">
      <alignment horizontal="left" vertical="center"/>
    </xf>
    <xf numFmtId="0" fontId="48" fillId="41" borderId="194" xfId="0" applyFont="1" applyFill="1" applyBorder="1" applyAlignment="1">
      <alignment horizontal="left" vertical="center"/>
    </xf>
    <xf numFmtId="0" fontId="52" fillId="41" borderId="150" xfId="0" applyFont="1" applyFill="1" applyBorder="1" applyAlignment="1">
      <alignment horizontal="left" vertical="center"/>
    </xf>
    <xf numFmtId="0" fontId="52" fillId="41" borderId="194" xfId="0" applyFont="1" applyFill="1" applyBorder="1" applyAlignment="1">
      <alignment horizontal="left" vertical="center"/>
    </xf>
    <xf numFmtId="0" fontId="55" fillId="7" borderId="199" xfId="0" applyFont="1" applyFill="1" applyBorder="1" applyAlignment="1">
      <alignment horizontal="left" vertical="center" wrapText="1"/>
    </xf>
    <xf numFmtId="0" fontId="56" fillId="7" borderId="196" xfId="0" applyFont="1" applyFill="1" applyBorder="1" applyAlignment="1">
      <alignment horizontal="center" vertical="center"/>
    </xf>
    <xf numFmtId="0" fontId="56" fillId="7" borderId="197" xfId="0" applyFont="1" applyFill="1" applyBorder="1" applyAlignment="1">
      <alignment horizontal="center" vertical="center" wrapText="1"/>
    </xf>
    <xf numFmtId="0" fontId="56" fillId="7" borderId="198" xfId="0" applyFont="1" applyFill="1" applyBorder="1" applyAlignment="1">
      <alignment horizontal="center" vertical="center" wrapText="1"/>
    </xf>
    <xf numFmtId="0" fontId="56" fillId="13" borderId="200" xfId="12" applyFont="1" applyFill="1" applyBorder="1"/>
    <xf numFmtId="0" fontId="56" fillId="13" borderId="196" xfId="12" applyFont="1" applyFill="1" applyBorder="1" applyAlignment="1">
      <alignment horizontal="center"/>
    </xf>
    <xf numFmtId="0" fontId="56" fillId="13" borderId="197" xfId="12" applyFont="1" applyFill="1" applyBorder="1" applyAlignment="1">
      <alignment horizontal="center" vertical="top" wrapText="1"/>
    </xf>
    <xf numFmtId="0" fontId="56" fillId="13" borderId="197" xfId="12" applyFont="1" applyFill="1" applyBorder="1" applyAlignment="1">
      <alignment horizontal="center" vertical="center" wrapText="1"/>
    </xf>
    <xf numFmtId="0" fontId="56" fillId="13" borderId="198" xfId="12" applyFont="1" applyFill="1" applyBorder="1" applyAlignment="1">
      <alignment horizontal="center" vertical="top" wrapText="1"/>
    </xf>
    <xf numFmtId="0" fontId="45" fillId="0" borderId="201" xfId="0" applyFont="1" applyBorder="1"/>
    <xf numFmtId="0" fontId="45" fillId="0" borderId="202" xfId="0" applyFont="1" applyBorder="1"/>
    <xf numFmtId="0" fontId="45" fillId="0" borderId="202" xfId="0" applyFont="1" applyBorder="1" applyAlignment="1">
      <alignment horizontal="center"/>
    </xf>
    <xf numFmtId="0" fontId="45" fillId="0" borderId="203" xfId="0" applyFont="1" applyBorder="1"/>
    <xf numFmtId="0" fontId="45" fillId="0" borderId="38" xfId="0" applyFont="1" applyBorder="1"/>
    <xf numFmtId="0" fontId="45" fillId="0" borderId="14" xfId="0" applyFont="1" applyBorder="1"/>
    <xf numFmtId="0" fontId="45" fillId="0" borderId="14" xfId="0" applyFont="1" applyBorder="1" applyAlignment="1">
      <alignment horizontal="center"/>
    </xf>
    <xf numFmtId="0" fontId="45" fillId="0" borderId="193" xfId="22" applyFont="1" applyBorder="1"/>
    <xf numFmtId="0" fontId="45" fillId="0" borderId="150" xfId="22" applyFont="1" applyBorder="1"/>
    <xf numFmtId="0" fontId="45" fillId="0" borderId="150" xfId="22" applyFont="1" applyBorder="1" applyAlignment="1">
      <alignment horizontal="center"/>
    </xf>
    <xf numFmtId="0" fontId="45" fillId="0" borderId="150" xfId="22" applyFont="1" applyBorder="1" applyAlignment="1">
      <alignment horizontal="left" vertical="center"/>
    </xf>
    <xf numFmtId="0" fontId="45" fillId="0" borderId="194" xfId="22" applyFont="1" applyBorder="1"/>
    <xf numFmtId="0" fontId="45" fillId="0" borderId="193" xfId="22" applyFont="1" applyBorder="1" applyAlignment="1">
      <alignment horizontal="left" vertical="center"/>
    </xf>
    <xf numFmtId="0" fontId="45" fillId="0" borderId="150" xfId="22" applyFont="1" applyBorder="1" applyAlignment="1">
      <alignment horizontal="center" vertical="center"/>
    </xf>
    <xf numFmtId="0" fontId="45" fillId="0" borderId="194" xfId="22" applyFont="1" applyBorder="1" applyAlignment="1">
      <alignment horizontal="left" vertical="center"/>
    </xf>
    <xf numFmtId="0" fontId="45" fillId="0" borderId="189" xfId="22" applyFont="1" applyBorder="1"/>
    <xf numFmtId="0" fontId="45" fillId="0" borderId="183" xfId="22" applyFont="1" applyBorder="1"/>
    <xf numFmtId="0" fontId="45" fillId="0" borderId="183" xfId="22" applyFont="1" applyBorder="1" applyAlignment="1">
      <alignment horizontal="center"/>
    </xf>
    <xf numFmtId="0" fontId="45" fillId="0" borderId="190" xfId="22" applyFont="1" applyBorder="1"/>
    <xf numFmtId="0" fontId="45" fillId="9" borderId="193" xfId="0" applyFont="1" applyFill="1" applyBorder="1" applyAlignment="1">
      <alignment horizontal="left" vertical="center"/>
    </xf>
    <xf numFmtId="165" fontId="52" fillId="9" borderId="150" xfId="0" applyNumberFormat="1" applyFont="1" applyFill="1" applyBorder="1" applyAlignment="1">
      <alignment vertical="center" wrapText="1"/>
    </xf>
    <xf numFmtId="165" fontId="52" fillId="9" borderId="150" xfId="0" applyNumberFormat="1" applyFont="1" applyFill="1" applyBorder="1" applyAlignment="1">
      <alignment horizontal="center" vertical="center" wrapText="1"/>
    </xf>
    <xf numFmtId="0" fontId="45" fillId="0" borderId="193" xfId="0" applyFont="1" applyBorder="1"/>
    <xf numFmtId="0" fontId="45" fillId="0" borderId="150" xfId="0" applyFont="1" applyBorder="1"/>
    <xf numFmtId="0" fontId="45" fillId="0" borderId="150" xfId="0" applyFont="1" applyBorder="1" applyAlignment="1">
      <alignment horizontal="center"/>
    </xf>
    <xf numFmtId="0" fontId="81" fillId="0" borderId="193" xfId="34" applyFont="1" applyBorder="1" applyAlignment="1">
      <alignment horizontal="left" vertical="center" wrapText="1"/>
    </xf>
    <xf numFmtId="0" fontId="48" fillId="0" borderId="150" xfId="0" applyFont="1" applyBorder="1" applyAlignment="1">
      <alignment vertical="center"/>
    </xf>
    <xf numFmtId="0" fontId="81" fillId="0" borderId="189" xfId="34" applyFont="1" applyBorder="1" applyAlignment="1">
      <alignment horizontal="left" vertical="center" wrapText="1"/>
    </xf>
    <xf numFmtId="0" fontId="48" fillId="0" borderId="183" xfId="0" applyFont="1" applyBorder="1" applyAlignment="1">
      <alignment vertical="center"/>
    </xf>
    <xf numFmtId="0" fontId="48" fillId="0" borderId="183" xfId="0" applyFont="1" applyBorder="1" applyAlignment="1">
      <alignment horizontal="center" vertical="center"/>
    </xf>
    <xf numFmtId="0" fontId="45" fillId="0" borderId="183" xfId="0" applyFont="1" applyBorder="1" applyAlignment="1">
      <alignment horizontal="left" vertical="center"/>
    </xf>
    <xf numFmtId="0" fontId="48" fillId="0" borderId="183" xfId="0" applyFont="1" applyBorder="1" applyAlignment="1">
      <alignment horizontal="center" vertical="center" wrapText="1"/>
    </xf>
    <xf numFmtId="0" fontId="48" fillId="0" borderId="190" xfId="0" applyFont="1" applyBorder="1" applyAlignment="1">
      <alignment horizontal="center" vertical="center" wrapText="1"/>
    </xf>
    <xf numFmtId="0" fontId="45" fillId="0" borderId="112" xfId="6" applyFont="1" applyBorder="1"/>
    <xf numFmtId="0" fontId="45" fillId="0" borderId="88" xfId="6" applyFont="1" applyBorder="1"/>
    <xf numFmtId="0" fontId="45" fillId="0" borderId="88" xfId="6" applyFont="1" applyBorder="1" applyAlignment="1">
      <alignment horizontal="center"/>
    </xf>
    <xf numFmtId="0" fontId="45" fillId="0" borderId="111" xfId="6" applyFont="1" applyBorder="1"/>
    <xf numFmtId="0" fontId="7" fillId="0" borderId="0" xfId="12" applyFont="1"/>
    <xf numFmtId="0" fontId="45" fillId="0" borderId="201" xfId="6" applyFont="1" applyBorder="1"/>
    <xf numFmtId="0" fontId="45" fillId="0" borderId="202" xfId="6" applyFont="1" applyBorder="1"/>
    <xf numFmtId="0" fontId="45" fillId="0" borderId="203" xfId="6" applyFont="1" applyBorder="1"/>
    <xf numFmtId="0" fontId="45" fillId="0" borderId="150" xfId="6" applyFont="1" applyBorder="1"/>
    <xf numFmtId="0" fontId="79" fillId="42" borderId="172" xfId="0" applyFont="1" applyFill="1" applyBorder="1" applyAlignment="1">
      <alignment horizontal="left" vertical="center" wrapText="1"/>
    </xf>
    <xf numFmtId="0" fontId="7" fillId="0" borderId="0" xfId="0" applyFont="1" applyAlignment="1">
      <alignment wrapText="1"/>
    </xf>
    <xf numFmtId="0" fontId="79" fillId="42" borderId="170" xfId="0" applyFont="1" applyFill="1" applyBorder="1" applyAlignment="1">
      <alignment horizontal="left" vertical="center" wrapText="1"/>
    </xf>
    <xf numFmtId="0" fontId="79" fillId="42" borderId="171" xfId="0" applyFont="1" applyFill="1" applyBorder="1" applyAlignment="1">
      <alignment horizontal="left" vertical="center" wrapText="1"/>
    </xf>
    <xf numFmtId="0" fontId="48" fillId="0" borderId="0" xfId="0" applyFont="1" applyAlignment="1">
      <alignment wrapText="1"/>
    </xf>
    <xf numFmtId="0" fontId="105" fillId="0" borderId="19" xfId="0" applyFont="1" applyBorder="1"/>
    <xf numFmtId="0" fontId="48" fillId="0" borderId="87" xfId="0" quotePrefix="1" applyFont="1" applyBorder="1" applyAlignment="1">
      <alignment horizontal="left" vertical="center"/>
    </xf>
    <xf numFmtId="0" fontId="7" fillId="0" borderId="0" xfId="0" applyFont="1"/>
    <xf numFmtId="0" fontId="45" fillId="0" borderId="202" xfId="6" applyFont="1" applyBorder="1" applyAlignment="1">
      <alignment horizontal="center"/>
    </xf>
    <xf numFmtId="0" fontId="45" fillId="0" borderId="150" xfId="6" applyFont="1" applyBorder="1" applyAlignment="1">
      <alignment horizontal="center"/>
    </xf>
    <xf numFmtId="0" fontId="45" fillId="0" borderId="150" xfId="6" applyFont="1" applyBorder="1" applyAlignment="1">
      <alignment horizontal="center" vertical="center" wrapText="1"/>
    </xf>
    <xf numFmtId="0" fontId="45" fillId="0" borderId="183" xfId="6" applyFont="1" applyBorder="1" applyAlignment="1">
      <alignment horizontal="center"/>
    </xf>
    <xf numFmtId="0" fontId="56" fillId="7" borderId="186" xfId="6" applyFont="1" applyFill="1" applyBorder="1" applyAlignment="1">
      <alignment horizontal="center" vertical="center" wrapText="1"/>
    </xf>
    <xf numFmtId="2" fontId="48" fillId="22" borderId="10" xfId="0" applyNumberFormat="1" applyFont="1" applyFill="1" applyBorder="1" applyAlignment="1">
      <alignment horizontal="center" vertical="center" wrapText="1"/>
    </xf>
    <xf numFmtId="0" fontId="0" fillId="0" borderId="0" xfId="0" applyAlignment="1">
      <alignment vertical="center"/>
    </xf>
    <xf numFmtId="0" fontId="45" fillId="10" borderId="184" xfId="0" applyFont="1" applyFill="1" applyBorder="1" applyAlignment="1">
      <alignment horizontal="left" vertical="center" wrapText="1"/>
    </xf>
    <xf numFmtId="0" fontId="45" fillId="10" borderId="90" xfId="0" applyFont="1" applyFill="1" applyBorder="1" applyAlignment="1">
      <alignment horizontal="left" vertical="center" wrapText="1"/>
    </xf>
    <xf numFmtId="0" fontId="45" fillId="10" borderId="183" xfId="0" applyFont="1" applyFill="1" applyBorder="1" applyAlignment="1">
      <alignment horizontal="left" vertical="center" wrapText="1"/>
    </xf>
    <xf numFmtId="0" fontId="45" fillId="10" borderId="6" xfId="0" applyFont="1" applyFill="1" applyBorder="1" applyAlignment="1">
      <alignment horizontal="left" vertical="center" wrapText="1"/>
    </xf>
    <xf numFmtId="0" fontId="45" fillId="10" borderId="10" xfId="0" applyFont="1" applyFill="1" applyBorder="1" applyAlignment="1">
      <alignment horizontal="left" vertical="center" wrapText="1"/>
    </xf>
    <xf numFmtId="0" fontId="45" fillId="7" borderId="6" xfId="0" applyFont="1" applyFill="1" applyBorder="1" applyAlignment="1">
      <alignment horizontal="left" vertical="center" wrapText="1"/>
    </xf>
    <xf numFmtId="0" fontId="45" fillId="7" borderId="10" xfId="0" applyFont="1" applyFill="1" applyBorder="1" applyAlignment="1">
      <alignment horizontal="left" vertical="center" wrapText="1"/>
    </xf>
    <xf numFmtId="0" fontId="48" fillId="8" borderId="137" xfId="0" applyFont="1" applyFill="1" applyBorder="1" applyAlignment="1">
      <alignment horizontal="left" vertical="center" wrapText="1"/>
    </xf>
    <xf numFmtId="0" fontId="48" fillId="8" borderId="125" xfId="0" applyFont="1" applyFill="1" applyBorder="1" applyAlignment="1">
      <alignment horizontal="left" vertical="center" wrapText="1"/>
    </xf>
    <xf numFmtId="0" fontId="48" fillId="7" borderId="150" xfId="0" applyFont="1" applyFill="1" applyBorder="1" applyAlignment="1">
      <alignment horizontal="left" vertical="center" wrapText="1"/>
    </xf>
    <xf numFmtId="0" fontId="48" fillId="8" borderId="90" xfId="0" applyFont="1" applyFill="1" applyBorder="1" applyAlignment="1">
      <alignment horizontal="left" vertical="center" wrapText="1"/>
    </xf>
    <xf numFmtId="0" fontId="45" fillId="8" borderId="6" xfId="0" applyFont="1" applyFill="1" applyBorder="1" applyAlignment="1">
      <alignment horizontal="left" vertical="center" wrapText="1"/>
    </xf>
    <xf numFmtId="0" fontId="45" fillId="21" borderId="6" xfId="0" applyFont="1" applyFill="1" applyBorder="1" applyAlignment="1">
      <alignment horizontal="left" vertical="center" wrapText="1"/>
    </xf>
    <xf numFmtId="0" fontId="48" fillId="10" borderId="89" xfId="0" applyFont="1" applyFill="1" applyBorder="1" applyAlignment="1">
      <alignment horizontal="left" vertical="center" wrapText="1"/>
    </xf>
    <xf numFmtId="0" fontId="45" fillId="22" borderId="6" xfId="0" applyFont="1" applyFill="1" applyBorder="1" applyAlignment="1">
      <alignment horizontal="left" vertical="center" wrapText="1"/>
    </xf>
    <xf numFmtId="0" fontId="45" fillId="20" borderId="6" xfId="0" applyFont="1" applyFill="1" applyBorder="1" applyAlignment="1">
      <alignment horizontal="left" vertical="center" wrapText="1"/>
    </xf>
    <xf numFmtId="0" fontId="45" fillId="11" borderId="137" xfId="0" applyFont="1" applyFill="1" applyBorder="1" applyAlignment="1">
      <alignment horizontal="left" vertical="center" wrapText="1"/>
    </xf>
    <xf numFmtId="0" fontId="48" fillId="18" borderId="6" xfId="0" applyFont="1" applyFill="1" applyBorder="1" applyAlignment="1">
      <alignment horizontal="left" vertical="center" wrapText="1"/>
    </xf>
    <xf numFmtId="0" fontId="45" fillId="9" borderId="6" xfId="0" applyFont="1" applyFill="1" applyBorder="1" applyAlignment="1">
      <alignment horizontal="left" vertical="center" wrapText="1"/>
    </xf>
    <xf numFmtId="0" fontId="48" fillId="20" borderId="61" xfId="0" applyFont="1" applyFill="1" applyBorder="1" applyAlignment="1">
      <alignment horizontal="left" vertical="center" wrapText="1"/>
    </xf>
    <xf numFmtId="0" fontId="45" fillId="39" borderId="90" xfId="0" applyFont="1" applyFill="1" applyBorder="1" applyAlignment="1">
      <alignment horizontal="left" vertical="center" wrapText="1"/>
    </xf>
    <xf numFmtId="0" fontId="48" fillId="39" borderId="90" xfId="0" applyFont="1" applyFill="1" applyBorder="1" applyAlignment="1">
      <alignment horizontal="left" vertical="center" wrapText="1"/>
    </xf>
    <xf numFmtId="0" fontId="48" fillId="39" borderId="90" xfId="0" applyFont="1" applyFill="1" applyBorder="1" applyAlignment="1">
      <alignment horizontal="left" vertical="center"/>
    </xf>
    <xf numFmtId="0" fontId="45" fillId="39" borderId="138" xfId="0" applyFont="1" applyFill="1" applyBorder="1" applyAlignment="1">
      <alignment horizontal="left" vertical="center" wrapText="1"/>
    </xf>
    <xf numFmtId="0" fontId="48" fillId="39" borderId="138" xfId="0" applyFont="1" applyFill="1" applyBorder="1" applyAlignment="1">
      <alignment horizontal="left" vertical="center" wrapText="1"/>
    </xf>
    <xf numFmtId="0" fontId="48" fillId="39" borderId="53" xfId="0" applyFont="1" applyFill="1" applyBorder="1" applyAlignment="1">
      <alignment horizontal="left" vertical="center"/>
    </xf>
    <xf numFmtId="0" fontId="45" fillId="39" borderId="183" xfId="0" applyFont="1" applyFill="1" applyBorder="1" applyAlignment="1">
      <alignment horizontal="left" vertical="center" wrapText="1"/>
    </xf>
    <xf numFmtId="0" fontId="48" fillId="39" borderId="183" xfId="0" applyFont="1" applyFill="1" applyBorder="1" applyAlignment="1">
      <alignment horizontal="left" vertical="center" wrapText="1"/>
    </xf>
    <xf numFmtId="0" fontId="48" fillId="39" borderId="183" xfId="0" applyFont="1" applyFill="1" applyBorder="1" applyAlignment="1">
      <alignment horizontal="left" vertical="center"/>
    </xf>
    <xf numFmtId="164" fontId="48" fillId="10" borderId="150" xfId="0" applyNumberFormat="1" applyFont="1" applyFill="1" applyBorder="1" applyAlignment="1">
      <alignment horizontal="left" vertical="center"/>
    </xf>
    <xf numFmtId="0" fontId="33" fillId="0" borderId="0" xfId="0" applyFont="1" applyAlignment="1">
      <alignment horizontal="left" vertical="center"/>
    </xf>
    <xf numFmtId="2" fontId="48" fillId="20" borderId="90" xfId="0" applyNumberFormat="1" applyFont="1" applyFill="1" applyBorder="1" applyAlignment="1">
      <alignment horizontal="left" vertical="center"/>
    </xf>
    <xf numFmtId="0" fontId="90" fillId="39" borderId="90" xfId="0" applyFont="1" applyFill="1" applyBorder="1" applyAlignment="1">
      <alignment horizontal="left" vertical="center"/>
    </xf>
    <xf numFmtId="165" fontId="48" fillId="39" borderId="90" xfId="0" applyNumberFormat="1" applyFont="1" applyFill="1" applyBorder="1" applyAlignment="1">
      <alignment horizontal="left" vertical="center"/>
    </xf>
    <xf numFmtId="0" fontId="48" fillId="39" borderId="150" xfId="0" applyFont="1" applyFill="1" applyBorder="1" applyAlignment="1">
      <alignment horizontal="left" vertical="center"/>
    </xf>
    <xf numFmtId="2" fontId="48" fillId="39" borderId="90" xfId="0" applyNumberFormat="1" applyFont="1" applyFill="1" applyBorder="1" applyAlignment="1">
      <alignment horizontal="left" vertical="center"/>
    </xf>
    <xf numFmtId="0" fontId="48" fillId="39" borderId="138" xfId="0" applyFont="1" applyFill="1" applyBorder="1" applyAlignment="1">
      <alignment horizontal="left" vertical="center"/>
    </xf>
    <xf numFmtId="0" fontId="90" fillId="39" borderId="138" xfId="0" applyFont="1" applyFill="1" applyBorder="1" applyAlignment="1">
      <alignment horizontal="left" vertical="center"/>
    </xf>
    <xf numFmtId="2" fontId="48" fillId="39" borderId="138" xfId="0" applyNumberFormat="1" applyFont="1" applyFill="1" applyBorder="1" applyAlignment="1">
      <alignment horizontal="left" vertical="center"/>
    </xf>
    <xf numFmtId="0" fontId="90" fillId="39" borderId="183" xfId="0" applyFont="1" applyFill="1" applyBorder="1" applyAlignment="1">
      <alignment horizontal="left" vertical="center"/>
    </xf>
    <xf numFmtId="2" fontId="48" fillId="39" borderId="183" xfId="0" applyNumberFormat="1" applyFont="1" applyFill="1" applyBorder="1" applyAlignment="1">
      <alignment horizontal="left" vertical="center"/>
    </xf>
    <xf numFmtId="0" fontId="52" fillId="44" borderId="7" xfId="0" applyFont="1" applyFill="1" applyBorder="1" applyAlignment="1">
      <alignment horizontal="left"/>
    </xf>
    <xf numFmtId="2" fontId="52" fillId="44" borderId="89" xfId="0" applyNumberFormat="1" applyFont="1" applyFill="1" applyBorder="1" applyAlignment="1">
      <alignment vertical="center" wrapText="1"/>
    </xf>
    <xf numFmtId="0" fontId="52" fillId="44" borderId="6" xfId="0" applyFont="1" applyFill="1" applyBorder="1" applyAlignment="1">
      <alignment horizontal="center" vertical="center" wrapText="1"/>
    </xf>
    <xf numFmtId="0" fontId="52" fillId="44" borderId="6" xfId="0" applyFont="1" applyFill="1" applyBorder="1" applyAlignment="1">
      <alignment horizontal="left" vertical="center" wrapText="1"/>
    </xf>
    <xf numFmtId="0" fontId="52" fillId="44" borderId="8" xfId="0" applyFont="1" applyFill="1" applyBorder="1" applyAlignment="1">
      <alignment horizontal="left" vertical="center" wrapText="1"/>
    </xf>
    <xf numFmtId="0" fontId="52" fillId="44" borderId="9" xfId="0" applyFont="1" applyFill="1" applyBorder="1" applyAlignment="1">
      <alignment horizontal="left"/>
    </xf>
    <xf numFmtId="168" fontId="52" fillId="44" borderId="10" xfId="0" applyNumberFormat="1" applyFont="1" applyFill="1" applyBorder="1" applyAlignment="1">
      <alignment vertical="center" wrapText="1"/>
    </xf>
    <xf numFmtId="0" fontId="52" fillId="44" borderId="10" xfId="0" applyFont="1" applyFill="1" applyBorder="1" applyAlignment="1">
      <alignment horizontal="center" vertical="center" wrapText="1"/>
    </xf>
    <xf numFmtId="0" fontId="52" fillId="44" borderId="103" xfId="0" applyFont="1" applyFill="1" applyBorder="1" applyAlignment="1">
      <alignment horizontal="center" vertical="center" wrapText="1"/>
    </xf>
    <xf numFmtId="0" fontId="52" fillId="44" borderId="10" xfId="0" applyFont="1" applyFill="1" applyBorder="1" applyAlignment="1">
      <alignment horizontal="left" vertical="center" wrapText="1"/>
    </xf>
    <xf numFmtId="0" fontId="47" fillId="44" borderId="193" xfId="0" applyFont="1" applyFill="1" applyBorder="1" applyAlignment="1">
      <alignment horizontal="center"/>
    </xf>
    <xf numFmtId="0" fontId="47" fillId="44" borderId="150" xfId="0" applyFont="1" applyFill="1" applyBorder="1" applyAlignment="1">
      <alignment horizontal="center"/>
    </xf>
    <xf numFmtId="0" fontId="45" fillId="44" borderId="150" xfId="0" applyFont="1" applyFill="1" applyBorder="1"/>
    <xf numFmtId="0" fontId="45" fillId="44" borderId="150" xfId="0" applyFont="1" applyFill="1" applyBorder="1" applyAlignment="1">
      <alignment horizontal="center" vertical="center"/>
    </xf>
    <xf numFmtId="0" fontId="45" fillId="44" borderId="150" xfId="0" applyFont="1" applyFill="1" applyBorder="1" applyAlignment="1">
      <alignment horizontal="left" vertical="center"/>
    </xf>
    <xf numFmtId="0" fontId="45" fillId="44" borderId="194" xfId="0" applyFont="1" applyFill="1" applyBorder="1" applyAlignment="1">
      <alignment horizontal="left" vertical="center"/>
    </xf>
    <xf numFmtId="2" fontId="52" fillId="44" borderId="6" xfId="0" applyNumberFormat="1" applyFont="1" applyFill="1" applyBorder="1" applyAlignment="1">
      <alignment horizontal="center" vertical="center" wrapText="1"/>
    </xf>
    <xf numFmtId="0" fontId="52" fillId="44" borderId="38" xfId="0" applyFont="1" applyFill="1" applyBorder="1" applyAlignment="1">
      <alignment horizontal="left"/>
    </xf>
    <xf numFmtId="2" fontId="52" fillId="44" borderId="90" xfId="0" applyNumberFormat="1" applyFont="1" applyFill="1" applyBorder="1" applyAlignment="1">
      <alignment vertical="center" wrapText="1"/>
    </xf>
    <xf numFmtId="0" fontId="52" fillId="44" borderId="90" xfId="0" applyFont="1" applyFill="1" applyBorder="1" applyAlignment="1">
      <alignment horizontal="center" vertical="center" wrapText="1"/>
    </xf>
    <xf numFmtId="0" fontId="52" fillId="44" borderId="90" xfId="0" applyFont="1" applyFill="1" applyBorder="1" applyAlignment="1">
      <alignment horizontal="left" vertical="center" wrapText="1"/>
    </xf>
    <xf numFmtId="0" fontId="52" fillId="44" borderId="152" xfId="0" applyFont="1" applyFill="1" applyBorder="1" applyAlignment="1">
      <alignment horizontal="left"/>
    </xf>
    <xf numFmtId="168" fontId="52" fillId="44" borderId="150" xfId="0" applyNumberFormat="1" applyFont="1" applyFill="1" applyBorder="1" applyAlignment="1">
      <alignment vertical="center" wrapText="1"/>
    </xf>
    <xf numFmtId="2" fontId="48" fillId="44" borderId="150" xfId="0" applyNumberFormat="1" applyFont="1" applyFill="1" applyBorder="1" applyAlignment="1">
      <alignment horizontal="center" vertical="center" wrapText="1"/>
    </xf>
    <xf numFmtId="0" fontId="52" fillId="44" borderId="150" xfId="0" applyFont="1" applyFill="1" applyBorder="1" applyAlignment="1">
      <alignment horizontal="center" vertical="center" wrapText="1"/>
    </xf>
    <xf numFmtId="0" fontId="52" fillId="44" borderId="150" xfId="0" applyFont="1" applyFill="1" applyBorder="1" applyAlignment="1">
      <alignment horizontal="left" vertical="center" wrapText="1"/>
    </xf>
    <xf numFmtId="0" fontId="45" fillId="44" borderId="151" xfId="0" applyFont="1" applyFill="1" applyBorder="1" applyAlignment="1">
      <alignment horizontal="left" vertical="center"/>
    </xf>
    <xf numFmtId="2" fontId="45" fillId="44" borderId="150" xfId="0" applyNumberFormat="1" applyFont="1" applyFill="1" applyBorder="1" applyAlignment="1">
      <alignment horizontal="center" vertical="center"/>
    </xf>
    <xf numFmtId="0" fontId="45" fillId="44" borderId="150" xfId="0" quotePrefix="1" applyFont="1" applyFill="1" applyBorder="1" applyAlignment="1">
      <alignment horizontal="center" vertical="center"/>
    </xf>
    <xf numFmtId="11" fontId="52" fillId="44" borderId="90" xfId="0" applyNumberFormat="1" applyFont="1" applyFill="1" applyBorder="1" applyAlignment="1">
      <alignment horizontal="center" vertical="center" wrapText="1"/>
    </xf>
    <xf numFmtId="0" fontId="48" fillId="20" borderId="183" xfId="0" applyFont="1" applyFill="1" applyBorder="1" applyAlignment="1">
      <alignment horizontal="left" vertical="center" wrapText="1"/>
    </xf>
    <xf numFmtId="2" fontId="52" fillId="9" borderId="150" xfId="0" applyNumberFormat="1" applyFont="1" applyFill="1" applyBorder="1" applyAlignment="1">
      <alignment horizontal="center" vertical="center" wrapText="1"/>
    </xf>
    <xf numFmtId="2" fontId="52" fillId="9" borderId="150" xfId="0" applyNumberFormat="1" applyFont="1" applyFill="1" applyBorder="1" applyAlignment="1">
      <alignment horizontal="left" vertical="center" wrapText="1"/>
    </xf>
    <xf numFmtId="165" fontId="52" fillId="9" borderId="150" xfId="0" applyNumberFormat="1" applyFont="1" applyFill="1" applyBorder="1" applyAlignment="1">
      <alignment horizontal="left" vertical="center" wrapText="1"/>
    </xf>
    <xf numFmtId="0" fontId="55" fillId="7" borderId="162" xfId="0" applyFont="1" applyFill="1" applyBorder="1" applyAlignment="1">
      <alignment horizontal="left" vertical="center" wrapText="1"/>
    </xf>
    <xf numFmtId="0" fontId="56" fillId="7" borderId="187" xfId="0" applyFont="1" applyFill="1" applyBorder="1" applyAlignment="1">
      <alignment horizontal="left" vertical="center" wrapText="1"/>
    </xf>
    <xf numFmtId="0" fontId="48" fillId="14" borderId="201" xfId="0" applyFont="1" applyFill="1" applyBorder="1" applyAlignment="1">
      <alignment horizontal="left" vertical="center" wrapText="1"/>
    </xf>
    <xf numFmtId="0" fontId="48" fillId="14" borderId="202" xfId="0" applyFont="1" applyFill="1" applyBorder="1" applyAlignment="1">
      <alignment horizontal="left" vertical="center"/>
    </xf>
    <xf numFmtId="0" fontId="48" fillId="14" borderId="202" xfId="0" applyFont="1" applyFill="1" applyBorder="1" applyAlignment="1">
      <alignment horizontal="center" vertical="center"/>
    </xf>
    <xf numFmtId="166" fontId="48" fillId="14" borderId="202" xfId="0" applyNumberFormat="1" applyFont="1" applyFill="1" applyBorder="1" applyAlignment="1">
      <alignment horizontal="center" vertical="center"/>
    </xf>
    <xf numFmtId="0" fontId="48" fillId="14" borderId="202" xfId="0" quotePrefix="1" applyFont="1" applyFill="1" applyBorder="1" applyAlignment="1">
      <alignment horizontal="center" vertical="center"/>
    </xf>
    <xf numFmtId="0" fontId="48" fillId="14" borderId="203" xfId="0" applyFont="1" applyFill="1" applyBorder="1" applyAlignment="1">
      <alignment horizontal="left" vertical="center"/>
    </xf>
    <xf numFmtId="0" fontId="48" fillId="14" borderId="193" xfId="0" applyFont="1" applyFill="1" applyBorder="1" applyAlignment="1">
      <alignment horizontal="left" vertical="center" wrapText="1"/>
    </xf>
    <xf numFmtId="0" fontId="48" fillId="14" borderId="194" xfId="0" applyFont="1" applyFill="1" applyBorder="1" applyAlignment="1">
      <alignment horizontal="left" vertical="center"/>
    </xf>
    <xf numFmtId="0" fontId="48" fillId="14" borderId="183" xfId="0" applyFont="1" applyFill="1" applyBorder="1" applyAlignment="1">
      <alignment horizontal="left" vertical="center"/>
    </xf>
    <xf numFmtId="0" fontId="48" fillId="14" borderId="183" xfId="0" applyFont="1" applyFill="1" applyBorder="1" applyAlignment="1">
      <alignment horizontal="center" vertical="center"/>
    </xf>
    <xf numFmtId="166" fontId="48" fillId="14" borderId="183" xfId="0" applyNumberFormat="1" applyFont="1" applyFill="1" applyBorder="1" applyAlignment="1">
      <alignment horizontal="center" vertical="center"/>
    </xf>
    <xf numFmtId="0" fontId="48" fillId="14" borderId="183" xfId="0" quotePrefix="1" applyFont="1" applyFill="1" applyBorder="1" applyAlignment="1">
      <alignment horizontal="center" vertical="center"/>
    </xf>
    <xf numFmtId="0" fontId="48" fillId="14" borderId="190" xfId="0" applyFont="1" applyFill="1" applyBorder="1" applyAlignment="1">
      <alignment horizontal="left" vertical="center"/>
    </xf>
    <xf numFmtId="0" fontId="48" fillId="20" borderId="201" xfId="0" applyFont="1" applyFill="1" applyBorder="1" applyAlignment="1">
      <alignment horizontal="left" vertical="center" wrapText="1"/>
    </xf>
    <xf numFmtId="0" fontId="48" fillId="20" borderId="202" xfId="0" applyFont="1" applyFill="1" applyBorder="1" applyAlignment="1">
      <alignment horizontal="left" vertical="center"/>
    </xf>
    <xf numFmtId="0" fontId="48" fillId="20" borderId="202" xfId="0" applyFont="1" applyFill="1" applyBorder="1" applyAlignment="1">
      <alignment horizontal="center" vertical="center"/>
    </xf>
    <xf numFmtId="166" fontId="48" fillId="20" borderId="202" xfId="0" applyNumberFormat="1" applyFont="1" applyFill="1" applyBorder="1" applyAlignment="1">
      <alignment horizontal="center" vertical="center"/>
    </xf>
    <xf numFmtId="0" fontId="48" fillId="20" borderId="202" xfId="0" quotePrefix="1" applyFont="1" applyFill="1" applyBorder="1" applyAlignment="1">
      <alignment horizontal="center" vertical="center"/>
    </xf>
    <xf numFmtId="0" fontId="48" fillId="20" borderId="203" xfId="0" applyFont="1" applyFill="1" applyBorder="1" applyAlignment="1">
      <alignment horizontal="left" vertical="center"/>
    </xf>
    <xf numFmtId="0" fontId="48" fillId="20" borderId="189" xfId="0" applyFont="1" applyFill="1" applyBorder="1" applyAlignment="1">
      <alignment horizontal="left" vertical="center" wrapText="1"/>
    </xf>
    <xf numFmtId="0" fontId="48" fillId="20" borderId="183" xfId="0" applyFont="1" applyFill="1" applyBorder="1" applyAlignment="1">
      <alignment horizontal="center" vertical="center"/>
    </xf>
    <xf numFmtId="166" fontId="48" fillId="20" borderId="183" xfId="0" applyNumberFormat="1" applyFont="1" applyFill="1" applyBorder="1" applyAlignment="1">
      <alignment horizontal="center" vertical="center"/>
    </xf>
    <xf numFmtId="0" fontId="48" fillId="20" borderId="183" xfId="0" quotePrefix="1" applyFont="1" applyFill="1" applyBorder="1" applyAlignment="1">
      <alignment horizontal="center" vertical="center"/>
    </xf>
    <xf numFmtId="0" fontId="48" fillId="20" borderId="190" xfId="0" applyFont="1" applyFill="1" applyBorder="1" applyAlignment="1">
      <alignment horizontal="left" vertical="center"/>
    </xf>
    <xf numFmtId="0" fontId="48" fillId="7" borderId="150" xfId="0" quotePrefix="1" applyFont="1" applyFill="1" applyBorder="1" applyAlignment="1">
      <alignment horizontal="left" vertical="center" wrapText="1"/>
    </xf>
    <xf numFmtId="0" fontId="48" fillId="7" borderId="193" xfId="0" applyFont="1" applyFill="1" applyBorder="1" applyAlignment="1">
      <alignment horizontal="left" vertical="center"/>
    </xf>
    <xf numFmtId="0" fontId="48" fillId="7" borderId="150" xfId="0" quotePrefix="1" applyFont="1" applyFill="1" applyBorder="1" applyAlignment="1">
      <alignment horizontal="left" vertical="center"/>
    </xf>
    <xf numFmtId="0" fontId="48" fillId="7" borderId="194" xfId="0" applyFont="1" applyFill="1" applyBorder="1" applyAlignment="1">
      <alignment horizontal="left" vertical="center"/>
    </xf>
    <xf numFmtId="0" fontId="28" fillId="7" borderId="207" xfId="0" applyFont="1" applyFill="1" applyBorder="1" applyAlignment="1">
      <alignment horizontal="left" vertical="center" wrapText="1"/>
    </xf>
    <xf numFmtId="0" fontId="48" fillId="4" borderId="211" xfId="0" applyFont="1" applyFill="1" applyBorder="1" applyAlignment="1">
      <alignment horizontal="left" vertical="center"/>
    </xf>
    <xf numFmtId="0" fontId="48" fillId="4" borderId="202" xfId="0" applyFont="1" applyFill="1" applyBorder="1" applyAlignment="1">
      <alignment horizontal="left" vertical="center" wrapText="1"/>
    </xf>
    <xf numFmtId="11" fontId="48" fillId="4" borderId="202" xfId="0" applyNumberFormat="1" applyFont="1" applyFill="1" applyBorder="1" applyAlignment="1">
      <alignment horizontal="left" vertical="center"/>
    </xf>
    <xf numFmtId="0" fontId="48" fillId="4" borderId="202" xfId="0" applyFont="1" applyFill="1" applyBorder="1" applyAlignment="1">
      <alignment horizontal="left" vertical="center"/>
    </xf>
    <xf numFmtId="0" fontId="48" fillId="4" borderId="203" xfId="0" applyFont="1" applyFill="1" applyBorder="1" applyAlignment="1">
      <alignment horizontal="left" vertical="center"/>
    </xf>
    <xf numFmtId="0" fontId="48" fillId="4" borderId="112" xfId="0" applyFont="1" applyFill="1" applyBorder="1" applyAlignment="1">
      <alignment horizontal="left" vertical="center"/>
    </xf>
    <xf numFmtId="11" fontId="48" fillId="4" borderId="88" xfId="0" applyNumberFormat="1" applyFont="1" applyFill="1" applyBorder="1" applyAlignment="1">
      <alignment horizontal="left" vertical="center"/>
    </xf>
    <xf numFmtId="0" fontId="48" fillId="4" borderId="88" xfId="0" applyFont="1" applyFill="1" applyBorder="1" applyAlignment="1">
      <alignment horizontal="left" vertical="center"/>
    </xf>
    <xf numFmtId="0" fontId="48" fillId="4" borderId="183" xfId="0" applyFont="1" applyFill="1" applyBorder="1" applyAlignment="1">
      <alignment horizontal="left" vertical="center"/>
    </xf>
    <xf numFmtId="0" fontId="48" fillId="4" borderId="190" xfId="0" applyFont="1" applyFill="1" applyBorder="1" applyAlignment="1">
      <alignment horizontal="left" vertical="center"/>
    </xf>
    <xf numFmtId="0" fontId="28" fillId="7" borderId="199" xfId="0" applyFont="1" applyFill="1" applyBorder="1" applyAlignment="1">
      <alignment horizontal="left" vertical="center" wrapText="1"/>
    </xf>
    <xf numFmtId="0" fontId="48" fillId="4" borderId="212" xfId="0" applyFont="1" applyFill="1" applyBorder="1" applyAlignment="1">
      <alignment horizontal="left" vertical="center"/>
    </xf>
    <xf numFmtId="0" fontId="48" fillId="4" borderId="213" xfId="0" applyFont="1" applyFill="1" applyBorder="1" applyAlignment="1">
      <alignment horizontal="left" vertical="center" wrapText="1"/>
    </xf>
    <xf numFmtId="11" fontId="48" fillId="4" borderId="213" xfId="0" applyNumberFormat="1" applyFont="1" applyFill="1" applyBorder="1" applyAlignment="1">
      <alignment horizontal="left" vertical="center"/>
    </xf>
    <xf numFmtId="0" fontId="48" fillId="4" borderId="213" xfId="0" applyFont="1" applyFill="1" applyBorder="1" applyAlignment="1">
      <alignment horizontal="left" vertical="center"/>
    </xf>
    <xf numFmtId="0" fontId="48" fillId="4" borderId="214" xfId="0" applyFont="1" applyFill="1" applyBorder="1" applyAlignment="1">
      <alignment horizontal="left" vertical="center"/>
    </xf>
    <xf numFmtId="0" fontId="55" fillId="7" borderId="200" xfId="0" applyFont="1" applyFill="1" applyBorder="1" applyAlignment="1">
      <alignment horizontal="center" vertical="center" wrapText="1"/>
    </xf>
    <xf numFmtId="0" fontId="45" fillId="4" borderId="213" xfId="0" quotePrefix="1" applyFont="1" applyFill="1" applyBorder="1" applyAlignment="1">
      <alignment horizontal="left" vertical="center" wrapText="1"/>
    </xf>
    <xf numFmtId="164" fontId="48" fillId="4" borderId="213" xfId="0" applyNumberFormat="1" applyFont="1" applyFill="1" applyBorder="1" applyAlignment="1">
      <alignment horizontal="left" vertical="center"/>
    </xf>
    <xf numFmtId="0" fontId="48" fillId="4" borderId="193" xfId="0" applyFont="1" applyFill="1" applyBorder="1" applyAlignment="1">
      <alignment horizontal="left" vertical="center"/>
    </xf>
    <xf numFmtId="164" fontId="48" fillId="4" borderId="150" xfId="0" applyNumberFormat="1" applyFont="1" applyFill="1" applyBorder="1" applyAlignment="1">
      <alignment horizontal="left" vertical="center"/>
    </xf>
    <xf numFmtId="0" fontId="48" fillId="4" borderId="189" xfId="0" applyFont="1" applyFill="1" applyBorder="1" applyAlignment="1">
      <alignment horizontal="left" vertical="center"/>
    </xf>
    <xf numFmtId="0" fontId="48" fillId="4" borderId="183" xfId="0" applyFont="1" applyFill="1" applyBorder="1" applyAlignment="1">
      <alignment horizontal="left" vertical="center" wrapText="1"/>
    </xf>
    <xf numFmtId="0" fontId="45" fillId="4" borderId="183" xfId="0" quotePrefix="1" applyFont="1" applyFill="1" applyBorder="1" applyAlignment="1">
      <alignment horizontal="left" vertical="center" wrapText="1"/>
    </xf>
    <xf numFmtId="164" fontId="48" fillId="4" borderId="183" xfId="0" applyNumberFormat="1" applyFont="1" applyFill="1" applyBorder="1" applyAlignment="1">
      <alignment horizontal="left" vertical="center"/>
    </xf>
    <xf numFmtId="0" fontId="48" fillId="20" borderId="212" xfId="2" applyFont="1" applyFill="1" applyBorder="1" applyAlignment="1">
      <alignment horizontal="left" vertical="center" wrapText="1"/>
    </xf>
    <xf numFmtId="0" fontId="48" fillId="20" borderId="213" xfId="0" applyFont="1" applyFill="1" applyBorder="1" applyAlignment="1">
      <alignment horizontal="left" vertical="center" wrapText="1"/>
    </xf>
    <xf numFmtId="2" fontId="48" fillId="20" borderId="213" xfId="0" applyNumberFormat="1" applyFont="1" applyFill="1" applyBorder="1" applyAlignment="1">
      <alignment horizontal="left" vertical="center"/>
    </xf>
    <xf numFmtId="0" fontId="48" fillId="20" borderId="213" xfId="0" applyFont="1" applyFill="1" applyBorder="1" applyAlignment="1">
      <alignment horizontal="left" vertical="center"/>
    </xf>
    <xf numFmtId="0" fontId="48" fillId="20" borderId="214" xfId="0" applyFont="1" applyFill="1" applyBorder="1" applyAlignment="1">
      <alignment horizontal="left" vertical="center"/>
    </xf>
    <xf numFmtId="0" fontId="48" fillId="20" borderId="193" xfId="2" applyFont="1" applyFill="1" applyBorder="1" applyAlignment="1">
      <alignment horizontal="left" vertical="center" wrapText="1"/>
    </xf>
    <xf numFmtId="0" fontId="48" fillId="20" borderId="194" xfId="0" applyFont="1" applyFill="1" applyBorder="1" applyAlignment="1">
      <alignment horizontal="left" vertical="center"/>
    </xf>
    <xf numFmtId="0" fontId="48" fillId="20" borderId="93" xfId="2" applyFont="1" applyFill="1" applyBorder="1" applyAlignment="1">
      <alignment horizontal="left" vertical="center" wrapText="1"/>
    </xf>
    <xf numFmtId="0" fontId="48" fillId="20" borderId="112" xfId="2" applyFont="1" applyFill="1" applyBorder="1" applyAlignment="1">
      <alignment horizontal="left" vertical="center" wrapText="1"/>
    </xf>
    <xf numFmtId="2" fontId="48" fillId="20" borderId="88" xfId="0" applyNumberFormat="1" applyFont="1" applyFill="1" applyBorder="1" applyAlignment="1">
      <alignment horizontal="left" vertical="center"/>
    </xf>
    <xf numFmtId="0" fontId="48" fillId="20" borderId="88" xfId="0" applyFont="1" applyFill="1" applyBorder="1" applyAlignment="1">
      <alignment horizontal="left" vertical="center"/>
    </xf>
    <xf numFmtId="0" fontId="48" fillId="20" borderId="111" xfId="0" applyFont="1" applyFill="1" applyBorder="1" applyAlignment="1">
      <alignment horizontal="left" vertical="center"/>
    </xf>
    <xf numFmtId="0" fontId="56" fillId="7" borderId="196" xfId="0" applyFont="1" applyFill="1" applyBorder="1" applyAlignment="1">
      <alignment horizontal="left" vertical="center"/>
    </xf>
    <xf numFmtId="0" fontId="72" fillId="7" borderId="197" xfId="0" applyFont="1" applyFill="1" applyBorder="1" applyAlignment="1">
      <alignment horizontal="left" vertical="center"/>
    </xf>
    <xf numFmtId="0" fontId="56" fillId="7" borderId="197" xfId="0" applyFont="1" applyFill="1" applyBorder="1" applyAlignment="1">
      <alignment horizontal="left" vertical="center"/>
    </xf>
    <xf numFmtId="0" fontId="56" fillId="7" borderId="198" xfId="0" applyFont="1" applyFill="1" applyBorder="1" applyAlignment="1">
      <alignment horizontal="left" vertical="center"/>
    </xf>
    <xf numFmtId="164" fontId="48" fillId="20" borderId="90" xfId="0" applyNumberFormat="1" applyFont="1" applyFill="1" applyBorder="1" applyAlignment="1">
      <alignment horizontal="left" vertical="center"/>
    </xf>
    <xf numFmtId="164" fontId="48" fillId="20" borderId="183" xfId="0" applyNumberFormat="1" applyFont="1" applyFill="1" applyBorder="1" applyAlignment="1">
      <alignment horizontal="left" vertical="center"/>
    </xf>
    <xf numFmtId="0" fontId="48" fillId="4" borderId="215" xfId="0" applyFont="1" applyFill="1" applyBorder="1" applyAlignment="1">
      <alignment horizontal="left" vertical="center"/>
    </xf>
    <xf numFmtId="0" fontId="48" fillId="4" borderId="69" xfId="0" applyFont="1" applyFill="1" applyBorder="1" applyAlignment="1">
      <alignment horizontal="left" vertical="center"/>
    </xf>
    <xf numFmtId="0" fontId="55" fillId="7" borderId="207" xfId="0" applyFont="1" applyFill="1" applyBorder="1" applyAlignment="1">
      <alignment horizontal="left" vertical="center" wrapText="1"/>
    </xf>
    <xf numFmtId="0" fontId="56" fillId="7" borderId="209" xfId="0" applyFont="1" applyFill="1" applyBorder="1" applyAlignment="1">
      <alignment horizontal="left" vertical="center" wrapText="1"/>
    </xf>
    <xf numFmtId="0" fontId="56" fillId="7" borderId="210" xfId="0" applyFont="1" applyFill="1" applyBorder="1" applyAlignment="1">
      <alignment horizontal="left" vertical="center" wrapText="1"/>
    </xf>
    <xf numFmtId="0" fontId="48" fillId="4" borderId="212" xfId="0" applyFont="1" applyFill="1" applyBorder="1" applyAlignment="1">
      <alignment horizontal="left" vertical="center" wrapText="1"/>
    </xf>
    <xf numFmtId="164" fontId="48" fillId="4" borderId="213" xfId="0" applyNumberFormat="1" applyFont="1" applyFill="1" applyBorder="1" applyAlignment="1">
      <alignment horizontal="left" vertical="center" wrapText="1"/>
    </xf>
    <xf numFmtId="0" fontId="48" fillId="4" borderId="214" xfId="0" applyFont="1" applyFill="1" applyBorder="1" applyAlignment="1">
      <alignment horizontal="left" vertical="center" wrapText="1"/>
    </xf>
    <xf numFmtId="2" fontId="48" fillId="20" borderId="150" xfId="0" applyNumberFormat="1" applyFont="1" applyFill="1" applyBorder="1" applyAlignment="1">
      <alignment horizontal="left" vertical="center" wrapText="1"/>
    </xf>
    <xf numFmtId="0" fontId="48" fillId="20" borderId="194" xfId="0" applyFont="1" applyFill="1" applyBorder="1" applyAlignment="1">
      <alignment horizontal="left" vertical="center" wrapText="1"/>
    </xf>
    <xf numFmtId="0" fontId="39" fillId="0" borderId="0" xfId="0" applyFont="1"/>
    <xf numFmtId="0" fontId="0" fillId="0" borderId="137" xfId="0" applyBorder="1"/>
    <xf numFmtId="0" fontId="0" fillId="0" borderId="13" xfId="0" applyBorder="1"/>
    <xf numFmtId="0" fontId="37" fillId="0" borderId="0" xfId="0" applyFont="1"/>
    <xf numFmtId="0" fontId="29" fillId="0" borderId="0" xfId="0" applyFont="1"/>
    <xf numFmtId="0" fontId="0" fillId="0" borderId="0" xfId="0" quotePrefix="1" applyAlignment="1">
      <alignment horizontal="right"/>
    </xf>
    <xf numFmtId="0" fontId="0" fillId="0" borderId="116" xfId="0" applyBorder="1"/>
    <xf numFmtId="0" fontId="0" fillId="0" borderId="14" xfId="0" applyBorder="1"/>
    <xf numFmtId="0" fontId="29" fillId="0" borderId="0" xfId="0" applyFont="1" applyAlignment="1">
      <alignment horizontal="right"/>
    </xf>
    <xf numFmtId="0" fontId="0" fillId="0" borderId="104" xfId="0" applyBorder="1"/>
    <xf numFmtId="0" fontId="48" fillId="0" borderId="38" xfId="0" applyFont="1" applyBorder="1" applyAlignment="1">
      <alignment horizontal="left" vertical="center"/>
    </xf>
    <xf numFmtId="0" fontId="48" fillId="0" borderId="126" xfId="0" applyFont="1" applyBorder="1" applyAlignment="1">
      <alignment horizontal="left" vertical="center"/>
    </xf>
    <xf numFmtId="0" fontId="48" fillId="0" borderId="137" xfId="0" applyFont="1" applyBorder="1" applyAlignment="1">
      <alignment horizontal="left" vertical="center"/>
    </xf>
    <xf numFmtId="0" fontId="48" fillId="0" borderId="128" xfId="0" applyFont="1" applyBorder="1" applyAlignment="1">
      <alignment horizontal="left" vertical="center"/>
    </xf>
    <xf numFmtId="0" fontId="48" fillId="0" borderId="125" xfId="0" applyFont="1" applyBorder="1" applyAlignment="1">
      <alignment horizontal="left" vertical="center"/>
    </xf>
    <xf numFmtId="0" fontId="48" fillId="0" borderId="0" xfId="0" applyFont="1" applyAlignment="1">
      <alignment vertical="center"/>
    </xf>
    <xf numFmtId="0" fontId="48" fillId="0" borderId="0" xfId="0" applyFont="1"/>
    <xf numFmtId="0" fontId="48" fillId="0" borderId="105" xfId="0" applyFont="1" applyBorder="1" applyAlignment="1">
      <alignment vertical="center"/>
    </xf>
    <xf numFmtId="0" fontId="48" fillId="0" borderId="106" xfId="0" applyFont="1" applyBorder="1"/>
    <xf numFmtId="0" fontId="48" fillId="0" borderId="107" xfId="0" applyFont="1" applyBorder="1"/>
    <xf numFmtId="0" fontId="48" fillId="0" borderId="126" xfId="0" applyFont="1" applyBorder="1" applyAlignment="1">
      <alignment vertical="center"/>
    </xf>
    <xf numFmtId="0" fontId="48" fillId="0" borderId="137" xfId="0" applyFont="1" applyBorder="1"/>
    <xf numFmtId="0" fontId="48" fillId="0" borderId="127" xfId="0" applyFont="1" applyBorder="1"/>
    <xf numFmtId="0" fontId="48" fillId="0" borderId="137" xfId="0" applyFont="1" applyBorder="1" applyAlignment="1">
      <alignment vertical="center"/>
    </xf>
    <xf numFmtId="0" fontId="48" fillId="0" borderId="127" xfId="0" applyFont="1" applyBorder="1" applyAlignment="1">
      <alignment vertical="center"/>
    </xf>
    <xf numFmtId="0" fontId="48" fillId="0" borderId="128" xfId="0" applyFont="1" applyBorder="1" applyAlignment="1">
      <alignment vertical="center"/>
    </xf>
    <xf numFmtId="0" fontId="48" fillId="0" borderId="125" xfId="0" applyFont="1" applyBorder="1" applyAlignment="1">
      <alignment vertical="center"/>
    </xf>
    <xf numFmtId="0" fontId="48" fillId="0" borderId="129" xfId="0" applyFont="1" applyBorder="1" applyAlignment="1">
      <alignment vertical="center"/>
    </xf>
    <xf numFmtId="0" fontId="33" fillId="0" borderId="0" xfId="0" applyFont="1"/>
    <xf numFmtId="0" fontId="51" fillId="0" borderId="0" xfId="4" applyFill="1" applyAlignment="1" applyProtection="1">
      <alignment horizontal="center"/>
    </xf>
    <xf numFmtId="0" fontId="51" fillId="0" borderId="0" xfId="4" applyFill="1" applyAlignment="1" applyProtection="1">
      <alignment horizontal="left"/>
    </xf>
    <xf numFmtId="0" fontId="40" fillId="0" borderId="0" xfId="0" quotePrefix="1" applyFont="1"/>
    <xf numFmtId="0" fontId="51" fillId="0" borderId="0" xfId="4" applyFill="1" applyAlignment="1" applyProtection="1"/>
    <xf numFmtId="0" fontId="48" fillId="0" borderId="39" xfId="0" applyFont="1" applyBorder="1" applyAlignment="1">
      <alignment horizontal="left" vertical="center"/>
    </xf>
    <xf numFmtId="0" fontId="48" fillId="0" borderId="127" xfId="0" applyFont="1" applyBorder="1" applyAlignment="1">
      <alignment horizontal="left" vertical="center"/>
    </xf>
    <xf numFmtId="0" fontId="48" fillId="0" borderId="129" xfId="0" applyFont="1" applyBorder="1" applyAlignment="1">
      <alignment horizontal="left" vertical="center"/>
    </xf>
    <xf numFmtId="0" fontId="55" fillId="0" borderId="0" xfId="0" applyFont="1" applyAlignment="1">
      <alignment horizontal="left" vertical="center"/>
    </xf>
    <xf numFmtId="0" fontId="52" fillId="0" borderId="0" xfId="0" applyFont="1" applyAlignment="1">
      <alignment horizontal="left"/>
    </xf>
    <xf numFmtId="0" fontId="48" fillId="0" borderId="66" xfId="0" applyFont="1" applyBorder="1" applyAlignment="1">
      <alignment horizontal="left" vertical="center"/>
    </xf>
    <xf numFmtId="0" fontId="48" fillId="0" borderId="7" xfId="0" applyFont="1" applyBorder="1" applyAlignment="1">
      <alignment horizontal="left" vertical="center"/>
    </xf>
    <xf numFmtId="0" fontId="52" fillId="0" borderId="7" xfId="0" applyFont="1" applyBorder="1" applyAlignment="1">
      <alignment horizontal="left" vertical="center"/>
    </xf>
    <xf numFmtId="0" fontId="48" fillId="0" borderId="9" xfId="0" applyFont="1" applyBorder="1" applyAlignment="1">
      <alignment horizontal="left" vertical="center"/>
    </xf>
    <xf numFmtId="0" fontId="57" fillId="0" borderId="29" xfId="0" applyFont="1" applyBorder="1" applyAlignment="1">
      <alignment horizontal="left" vertical="center"/>
    </xf>
    <xf numFmtId="0" fontId="48" fillId="0" borderId="29" xfId="0" applyFont="1" applyBorder="1" applyAlignment="1">
      <alignment horizontal="left" vertical="center"/>
    </xf>
    <xf numFmtId="0" fontId="48" fillId="0" borderId="122" xfId="0" applyFont="1" applyBorder="1" applyAlignment="1">
      <alignment horizontal="left" vertical="center" wrapText="1"/>
    </xf>
    <xf numFmtId="0" fontId="48" fillId="0" borderId="93" xfId="0" applyFont="1" applyBorder="1" applyAlignment="1">
      <alignment horizontal="left" vertical="center" wrapText="1"/>
    </xf>
    <xf numFmtId="0" fontId="48" fillId="0" borderId="112" xfId="0" applyFont="1" applyBorder="1" applyAlignment="1">
      <alignment horizontal="left" vertical="center" wrapText="1"/>
    </xf>
    <xf numFmtId="0" fontId="48" fillId="0" borderId="167" xfId="0" applyFont="1" applyBorder="1" applyAlignment="1">
      <alignment horizontal="left" vertical="center"/>
    </xf>
    <xf numFmtId="0" fontId="48" fillId="0" borderId="93" xfId="0" applyFont="1" applyBorder="1" applyAlignment="1">
      <alignment horizontal="left" vertical="center"/>
    </xf>
    <xf numFmtId="0" fontId="45" fillId="0" borderId="105" xfId="0" applyFont="1" applyBorder="1" applyAlignment="1">
      <alignment horizontal="left"/>
    </xf>
    <xf numFmtId="0" fontId="45" fillId="0" borderId="126" xfId="0" applyFont="1" applyBorder="1" applyAlignment="1">
      <alignment horizontal="left"/>
    </xf>
    <xf numFmtId="0" fontId="45" fillId="0" borderId="193" xfId="0" applyFont="1" applyBorder="1" applyAlignment="1">
      <alignment horizontal="left"/>
    </xf>
    <xf numFmtId="0" fontId="48" fillId="0" borderId="38" xfId="2" applyFont="1" applyBorder="1" applyAlignment="1">
      <alignment horizontal="left" vertical="center" wrapText="1"/>
    </xf>
    <xf numFmtId="0" fontId="48" fillId="0" borderId="97" xfId="2" applyFont="1" applyBorder="1" applyAlignment="1">
      <alignment horizontal="left" vertical="center" wrapText="1"/>
    </xf>
    <xf numFmtId="0" fontId="48" fillId="0" borderId="115" xfId="2" applyFont="1" applyBorder="1" applyAlignment="1">
      <alignment horizontal="left" vertical="center" wrapText="1"/>
    </xf>
    <xf numFmtId="0" fontId="48" fillId="0" borderId="193" xfId="2" applyFont="1" applyBorder="1" applyAlignment="1">
      <alignment horizontal="left" vertical="center" wrapText="1"/>
    </xf>
    <xf numFmtId="0" fontId="52" fillId="0" borderId="189" xfId="0" applyFont="1" applyBorder="1" applyAlignment="1">
      <alignment horizontal="left" vertical="center"/>
    </xf>
    <xf numFmtId="0" fontId="55" fillId="0" borderId="0" xfId="0" applyFont="1" applyAlignment="1">
      <alignment vertical="center"/>
    </xf>
    <xf numFmtId="166" fontId="48" fillId="0" borderId="100" xfId="0" applyNumberFormat="1" applyFont="1" applyBorder="1" applyAlignment="1">
      <alignment vertical="center" wrapText="1"/>
    </xf>
    <xf numFmtId="166" fontId="48" fillId="0" borderId="89" xfId="0" applyNumberFormat="1" applyFont="1" applyBorder="1" applyAlignment="1">
      <alignment vertical="center" wrapText="1"/>
    </xf>
    <xf numFmtId="164" fontId="52" fillId="0" borderId="89" xfId="0" applyNumberFormat="1" applyFont="1" applyBorder="1" applyAlignment="1">
      <alignment vertical="center"/>
    </xf>
    <xf numFmtId="0" fontId="48" fillId="0" borderId="89" xfId="0" applyFont="1" applyBorder="1" applyAlignment="1">
      <alignment vertical="center"/>
    </xf>
    <xf numFmtId="2" fontId="48" fillId="0" borderId="89" xfId="0" applyNumberFormat="1" applyFont="1" applyBorder="1" applyAlignment="1">
      <alignment vertical="center" wrapText="1"/>
    </xf>
    <xf numFmtId="0" fontId="48" fillId="0" borderId="10" xfId="0" applyFont="1" applyBorder="1" applyAlignment="1">
      <alignment vertical="center"/>
    </xf>
    <xf numFmtId="0" fontId="48" fillId="0" borderId="36" xfId="0" applyFont="1" applyBorder="1" applyAlignment="1">
      <alignment vertical="center" wrapText="1"/>
    </xf>
    <xf numFmtId="0" fontId="48" fillId="0" borderId="90" xfId="0" applyFont="1" applyBorder="1" applyAlignment="1">
      <alignment vertical="center" wrapText="1"/>
    </xf>
    <xf numFmtId="166" fontId="48" fillId="0" borderId="137" xfId="0" applyNumberFormat="1" applyFont="1" applyBorder="1" applyAlignment="1">
      <alignment vertical="center"/>
    </xf>
    <xf numFmtId="166" fontId="48" fillId="0" borderId="90" xfId="0" applyNumberFormat="1" applyFont="1" applyBorder="1" applyAlignment="1">
      <alignment vertical="center"/>
    </xf>
    <xf numFmtId="166" fontId="48" fillId="0" borderId="88" xfId="0" applyNumberFormat="1" applyFont="1" applyBorder="1" applyAlignment="1">
      <alignment vertical="center"/>
    </xf>
    <xf numFmtId="2" fontId="48" fillId="0" borderId="123" xfId="0" applyNumberFormat="1" applyFont="1" applyBorder="1" applyAlignment="1">
      <alignment vertical="center" wrapText="1"/>
    </xf>
    <xf numFmtId="0" fontId="48" fillId="0" borderId="88" xfId="0" applyFont="1" applyBorder="1" applyAlignment="1">
      <alignment vertical="center" wrapText="1"/>
    </xf>
    <xf numFmtId="0" fontId="48" fillId="0" borderId="166" xfId="0" applyFont="1" applyBorder="1" applyAlignment="1">
      <alignment vertical="center"/>
    </xf>
    <xf numFmtId="0" fontId="48" fillId="0" borderId="90" xfId="0" applyFont="1" applyBorder="1" applyAlignment="1">
      <alignment vertical="center"/>
    </xf>
    <xf numFmtId="0" fontId="48" fillId="0" borderId="106" xfId="0" applyFont="1" applyBorder="1" applyAlignment="1">
      <alignment vertical="center" wrapText="1"/>
    </xf>
    <xf numFmtId="0" fontId="48" fillId="0" borderId="137" xfId="0" applyFont="1" applyBorder="1" applyAlignment="1">
      <alignment vertical="center" wrapText="1"/>
    </xf>
    <xf numFmtId="0" fontId="48" fillId="0" borderId="150" xfId="0" applyFont="1" applyBorder="1" applyAlignment="1">
      <alignment horizontal="left" vertical="center" wrapText="1"/>
    </xf>
    <xf numFmtId="0" fontId="48" fillId="0" borderId="14" xfId="0" applyFont="1" applyBorder="1" applyAlignment="1">
      <alignment vertical="center" wrapText="1"/>
    </xf>
    <xf numFmtId="0" fontId="48" fillId="0" borderId="114" xfId="0" applyFont="1" applyBorder="1" applyAlignment="1">
      <alignment vertical="center" wrapText="1"/>
    </xf>
    <xf numFmtId="0" fontId="48" fillId="0" borderId="138" xfId="0" applyFont="1" applyBorder="1" applyAlignment="1">
      <alignment vertical="center" wrapText="1"/>
    </xf>
    <xf numFmtId="0" fontId="48" fillId="0" borderId="183" xfId="0" applyFont="1" applyBorder="1" applyAlignment="1">
      <alignment horizontal="left" vertical="center" wrapText="1"/>
    </xf>
    <xf numFmtId="2" fontId="52" fillId="0" borderId="0" xfId="0" applyNumberFormat="1" applyFont="1" applyAlignment="1">
      <alignment horizontal="center" vertical="center" wrapText="1"/>
    </xf>
    <xf numFmtId="166" fontId="52" fillId="0" borderId="0" xfId="0" applyNumberFormat="1" applyFont="1" applyAlignment="1">
      <alignment horizontal="center" vertical="center" wrapText="1"/>
    </xf>
    <xf numFmtId="166" fontId="48" fillId="0" borderId="67" xfId="0" applyNumberFormat="1" applyFont="1" applyBorder="1" applyAlignment="1">
      <alignment horizontal="center" vertical="center" wrapText="1"/>
    </xf>
    <xf numFmtId="166" fontId="48" fillId="0" borderId="6" xfId="0" applyNumberFormat="1" applyFont="1" applyBorder="1" applyAlignment="1">
      <alignment horizontal="center" vertical="center" wrapText="1"/>
    </xf>
    <xf numFmtId="164" fontId="52" fillId="0" borderId="6" xfId="0" applyNumberFormat="1" applyFont="1" applyBorder="1" applyAlignment="1">
      <alignment horizontal="center" vertical="center"/>
    </xf>
    <xf numFmtId="2" fontId="48" fillId="0" borderId="6" xfId="0" applyNumberFormat="1" applyFont="1" applyBorder="1" applyAlignment="1">
      <alignment horizontal="center" vertical="center" wrapText="1"/>
    </xf>
    <xf numFmtId="0" fontId="48" fillId="0" borderId="36" xfId="0" applyFont="1" applyBorder="1" applyAlignment="1">
      <alignment horizontal="center" vertical="center" wrapText="1"/>
    </xf>
    <xf numFmtId="164" fontId="48" fillId="0" borderId="36" xfId="0" applyNumberFormat="1" applyFont="1" applyBorder="1" applyAlignment="1">
      <alignment horizontal="center" vertical="center" wrapText="1"/>
    </xf>
    <xf numFmtId="0" fontId="48" fillId="0" borderId="14" xfId="0" applyFont="1" applyBorder="1" applyAlignment="1">
      <alignment horizontal="center" vertical="center" wrapText="1"/>
    </xf>
    <xf numFmtId="166" fontId="48" fillId="0" borderId="137" xfId="0" applyNumberFormat="1" applyFont="1" applyBorder="1" applyAlignment="1">
      <alignment horizontal="center" vertical="center"/>
    </xf>
    <xf numFmtId="166" fontId="48" fillId="0" borderId="90" xfId="0" applyNumberFormat="1" applyFont="1" applyBorder="1" applyAlignment="1">
      <alignment horizontal="center" vertical="center"/>
    </xf>
    <xf numFmtId="166" fontId="48" fillId="0" borderId="88" xfId="0" applyNumberFormat="1" applyFont="1" applyBorder="1" applyAlignment="1">
      <alignment horizontal="center" vertical="center"/>
    </xf>
    <xf numFmtId="165" fontId="52" fillId="0" borderId="0" xfId="0" applyNumberFormat="1" applyFont="1" applyAlignment="1">
      <alignment horizontal="center" vertical="center" wrapText="1"/>
    </xf>
    <xf numFmtId="2" fontId="48" fillId="0" borderId="123" xfId="0" applyNumberFormat="1" applyFont="1" applyBorder="1" applyAlignment="1">
      <alignment horizontal="center" vertical="center" wrapText="1"/>
    </xf>
    <xf numFmtId="2" fontId="48" fillId="0" borderId="90" xfId="0" applyNumberFormat="1" applyFont="1" applyBorder="1" applyAlignment="1">
      <alignment horizontal="center" vertical="center" wrapText="1"/>
    </xf>
    <xf numFmtId="2" fontId="48" fillId="0" borderId="88" xfId="0" applyNumberFormat="1" applyFont="1" applyBorder="1" applyAlignment="1">
      <alignment horizontal="center" vertical="center" wrapText="1"/>
    </xf>
    <xf numFmtId="0" fontId="48" fillId="0" borderId="166" xfId="0" applyFont="1" applyBorder="1" applyAlignment="1">
      <alignment horizontal="center" vertical="center"/>
    </xf>
    <xf numFmtId="0" fontId="48" fillId="0" borderId="137" xfId="0" applyFont="1" applyBorder="1" applyAlignment="1">
      <alignment horizontal="center" vertical="center"/>
    </xf>
    <xf numFmtId="0" fontId="48" fillId="0" borderId="90" xfId="0" applyFont="1" applyBorder="1" applyAlignment="1">
      <alignment horizontal="center" vertical="center"/>
    </xf>
    <xf numFmtId="165" fontId="48" fillId="0" borderId="183" xfId="0" applyNumberFormat="1" applyFont="1" applyBorder="1" applyAlignment="1">
      <alignment horizontal="center" vertical="center"/>
    </xf>
    <xf numFmtId="0" fontId="48" fillId="0" borderId="106" xfId="0" applyFont="1" applyBorder="1" applyAlignment="1">
      <alignment horizontal="center" vertical="center" wrapText="1"/>
    </xf>
    <xf numFmtId="0" fontId="48" fillId="0" borderId="137" xfId="0" applyFont="1" applyBorder="1" applyAlignment="1">
      <alignment horizontal="center" vertical="center" wrapText="1"/>
    </xf>
    <xf numFmtId="0" fontId="48" fillId="0" borderId="114" xfId="0" applyFont="1" applyBorder="1" applyAlignment="1">
      <alignment horizontal="center" vertical="center" wrapText="1"/>
    </xf>
    <xf numFmtId="0" fontId="48" fillId="0" borderId="138" xfId="0" applyFont="1" applyBorder="1" applyAlignment="1">
      <alignment horizontal="center" vertical="center" wrapText="1"/>
    </xf>
    <xf numFmtId="0" fontId="52" fillId="0" borderId="183" xfId="0" applyFont="1" applyBorder="1" applyAlignment="1">
      <alignment horizontal="center" vertical="center"/>
    </xf>
    <xf numFmtId="0" fontId="48" fillId="0" borderId="125" xfId="0" applyFont="1" applyBorder="1" applyAlignment="1">
      <alignment horizontal="center" vertical="center"/>
    </xf>
    <xf numFmtId="0" fontId="48" fillId="0" borderId="67" xfId="0" applyFont="1" applyBorder="1" applyAlignment="1">
      <alignment horizontal="center" vertical="center" wrapText="1"/>
    </xf>
    <xf numFmtId="0" fontId="48" fillId="0" borderId="6" xfId="0" applyFont="1" applyBorder="1" applyAlignment="1">
      <alignment horizontal="center" vertical="center" wrapText="1"/>
    </xf>
    <xf numFmtId="0" fontId="48" fillId="0" borderId="123" xfId="0" applyFont="1" applyBorder="1" applyAlignment="1">
      <alignment horizontal="center" vertical="center" wrapText="1"/>
    </xf>
    <xf numFmtId="0" fontId="48" fillId="0" borderId="125" xfId="0" applyFont="1" applyBorder="1" applyAlignment="1">
      <alignment horizontal="center" vertical="center" wrapText="1"/>
    </xf>
    <xf numFmtId="0" fontId="48" fillId="0" borderId="53" xfId="0" applyFont="1" applyBorder="1" applyAlignment="1">
      <alignment horizontal="center" vertical="center" wrapText="1"/>
    </xf>
    <xf numFmtId="0" fontId="48" fillId="0" borderId="150" xfId="0" quotePrefix="1" applyFont="1" applyBorder="1" applyAlignment="1">
      <alignment horizontal="center" vertical="center" wrapText="1"/>
    </xf>
    <xf numFmtId="0" fontId="52" fillId="0" borderId="6" xfId="0" applyFont="1" applyBorder="1" applyAlignment="1">
      <alignment horizontal="center" vertical="center"/>
    </xf>
    <xf numFmtId="0" fontId="48" fillId="0" borderId="88" xfId="0" applyFont="1" applyBorder="1" applyAlignment="1">
      <alignment horizontal="center" vertical="center"/>
    </xf>
    <xf numFmtId="0" fontId="48" fillId="0" borderId="6" xfId="0" quotePrefix="1" applyFont="1" applyBorder="1" applyAlignment="1">
      <alignment horizontal="center" vertical="center" wrapText="1"/>
    </xf>
    <xf numFmtId="0" fontId="48" fillId="0" borderId="36" xfId="0" quotePrefix="1" applyFont="1" applyBorder="1" applyAlignment="1">
      <alignment horizontal="center" vertical="center" wrapText="1"/>
    </xf>
    <xf numFmtId="0" fontId="48" fillId="0" borderId="96" xfId="0" quotePrefix="1" applyFont="1" applyBorder="1" applyAlignment="1">
      <alignment horizontal="center" vertical="center" wrapText="1"/>
    </xf>
    <xf numFmtId="0" fontId="0" fillId="0" borderId="132" xfId="0" applyBorder="1" applyAlignment="1">
      <alignment horizontal="center"/>
    </xf>
    <xf numFmtId="0" fontId="48" fillId="0" borderId="114" xfId="0" quotePrefix="1" applyFont="1" applyBorder="1" applyAlignment="1">
      <alignment horizontal="center" vertical="center" wrapText="1"/>
    </xf>
    <xf numFmtId="0" fontId="48" fillId="0" borderId="125" xfId="0" quotePrefix="1" applyFont="1" applyBorder="1" applyAlignment="1">
      <alignment horizontal="center" vertical="center" wrapText="1"/>
    </xf>
    <xf numFmtId="0" fontId="48" fillId="0" borderId="67" xfId="0" applyFont="1" applyBorder="1" applyAlignment="1">
      <alignment horizontal="left" vertical="center" wrapText="1"/>
    </xf>
    <xf numFmtId="0" fontId="48" fillId="0" borderId="6" xfId="0" applyFont="1" applyBorder="1" applyAlignment="1">
      <alignment horizontal="left" vertical="center" wrapText="1"/>
    </xf>
    <xf numFmtId="0" fontId="52" fillId="0" borderId="6" xfId="0" applyFont="1" applyBorder="1" applyAlignment="1">
      <alignment horizontal="left" vertical="center"/>
    </xf>
    <xf numFmtId="0" fontId="48" fillId="0" borderId="10" xfId="0" applyFont="1" applyBorder="1" applyAlignment="1">
      <alignment horizontal="left" vertical="center"/>
    </xf>
    <xf numFmtId="0" fontId="48" fillId="0" borderId="36" xfId="0" applyFont="1" applyBorder="1" applyAlignment="1">
      <alignment horizontal="left" vertical="center" wrapText="1"/>
    </xf>
    <xf numFmtId="0" fontId="48" fillId="0" borderId="14" xfId="0" applyFont="1" applyBorder="1" applyAlignment="1">
      <alignment horizontal="left" vertical="center" wrapText="1"/>
    </xf>
    <xf numFmtId="0" fontId="48" fillId="0" borderId="90" xfId="0" applyFont="1" applyBorder="1" applyAlignment="1">
      <alignment horizontal="left" vertical="center"/>
    </xf>
    <xf numFmtId="0" fontId="48" fillId="0" borderId="88" xfId="0" applyFont="1" applyBorder="1" applyAlignment="1">
      <alignment horizontal="left" vertical="center"/>
    </xf>
    <xf numFmtId="0" fontId="48" fillId="0" borderId="123" xfId="0" applyFont="1" applyBorder="1" applyAlignment="1">
      <alignment horizontal="left" vertical="center" wrapText="1"/>
    </xf>
    <xf numFmtId="0" fontId="48" fillId="0" borderId="114" xfId="0" applyFont="1" applyBorder="1" applyAlignment="1">
      <alignment horizontal="left" vertical="center" wrapText="1"/>
    </xf>
    <xf numFmtId="0" fontId="48" fillId="0" borderId="125" xfId="0" applyFont="1" applyBorder="1" applyAlignment="1">
      <alignment horizontal="left" vertical="center" wrapText="1"/>
    </xf>
    <xf numFmtId="0" fontId="48" fillId="0" borderId="166" xfId="0" applyFont="1" applyBorder="1" applyAlignment="1">
      <alignment horizontal="left" vertical="center"/>
    </xf>
    <xf numFmtId="0" fontId="48" fillId="0" borderId="106" xfId="0" applyFont="1" applyBorder="1" applyAlignment="1">
      <alignment horizontal="left" vertical="center" wrapText="1"/>
    </xf>
    <xf numFmtId="0" fontId="48" fillId="0" borderId="137" xfId="0" applyFont="1" applyBorder="1" applyAlignment="1">
      <alignment horizontal="left" vertical="center" wrapText="1"/>
    </xf>
    <xf numFmtId="0" fontId="48" fillId="0" borderId="90" xfId="0" applyFont="1" applyBorder="1" applyAlignment="1">
      <alignment horizontal="left" vertical="center" wrapText="1"/>
    </xf>
    <xf numFmtId="0" fontId="48" fillId="0" borderId="138" xfId="0" applyFont="1" applyBorder="1" applyAlignment="1">
      <alignment horizontal="left" vertical="center" wrapText="1"/>
    </xf>
    <xf numFmtId="0" fontId="48" fillId="0" borderId="68" xfId="0" applyFont="1" applyBorder="1" applyAlignment="1">
      <alignment horizontal="left" vertical="center" wrapText="1"/>
    </xf>
    <xf numFmtId="0" fontId="48" fillId="0" borderId="8" xfId="0" applyFont="1" applyBorder="1" applyAlignment="1">
      <alignment horizontal="left" vertical="center" wrapText="1"/>
    </xf>
    <xf numFmtId="0" fontId="52" fillId="0" borderId="8" xfId="0" applyFont="1" applyBorder="1" applyAlignment="1">
      <alignment horizontal="left" vertical="center"/>
    </xf>
    <xf numFmtId="0" fontId="48" fillId="0" borderId="8" xfId="0" applyFont="1" applyBorder="1" applyAlignment="1">
      <alignment horizontal="left" vertical="center"/>
    </xf>
    <xf numFmtId="0" fontId="48" fillId="0" borderId="11" xfId="0" applyFont="1" applyBorder="1" applyAlignment="1">
      <alignment horizontal="left" vertical="center"/>
    </xf>
    <xf numFmtId="0" fontId="56" fillId="0" borderId="43" xfId="0" applyFont="1" applyBorder="1" applyAlignment="1">
      <alignment horizontal="left" vertical="center"/>
    </xf>
    <xf numFmtId="0" fontId="48" fillId="0" borderId="43" xfId="0" applyFont="1" applyBorder="1" applyAlignment="1">
      <alignment horizontal="left" vertical="center" wrapText="1"/>
    </xf>
    <xf numFmtId="0" fontId="48" fillId="0" borderId="39" xfId="0" applyFont="1" applyBorder="1" applyAlignment="1">
      <alignment horizontal="left" vertical="center" wrapText="1"/>
    </xf>
    <xf numFmtId="0" fontId="48" fillId="0" borderId="111" xfId="0" applyFont="1" applyBorder="1" applyAlignment="1">
      <alignment horizontal="left" vertical="center"/>
    </xf>
    <xf numFmtId="0" fontId="48" fillId="0" borderId="124" xfId="0" applyFont="1" applyBorder="1" applyAlignment="1">
      <alignment horizontal="left" vertical="center" wrapText="1"/>
    </xf>
    <xf numFmtId="0" fontId="48" fillId="0" borderId="127" xfId="0" applyFont="1" applyBorder="1" applyAlignment="1">
      <alignment horizontal="left" vertical="center" wrapText="1"/>
    </xf>
    <xf numFmtId="0" fontId="48" fillId="0" borderId="129" xfId="0" applyFont="1" applyBorder="1" applyAlignment="1">
      <alignment horizontal="left" vertical="center" wrapText="1"/>
    </xf>
    <xf numFmtId="0" fontId="48" fillId="0" borderId="168" xfId="0" applyFont="1" applyBorder="1" applyAlignment="1">
      <alignment horizontal="left" vertical="center"/>
    </xf>
    <xf numFmtId="0" fontId="48" fillId="0" borderId="94" xfId="0" applyFont="1" applyBorder="1" applyAlignment="1">
      <alignment horizontal="left" vertical="center"/>
    </xf>
    <xf numFmtId="0" fontId="48" fillId="0" borderId="107" xfId="0" applyFont="1" applyBorder="1" applyAlignment="1">
      <alignment horizontal="left" vertical="center" wrapText="1"/>
    </xf>
    <xf numFmtId="0" fontId="48" fillId="0" borderId="94" xfId="0" applyFont="1" applyBorder="1" applyAlignment="1">
      <alignment horizontal="left" vertical="center" wrapText="1"/>
    </xf>
    <xf numFmtId="0" fontId="48" fillId="0" borderId="98" xfId="0" applyFont="1" applyBorder="1" applyAlignment="1">
      <alignment horizontal="left" vertical="center" wrapText="1"/>
    </xf>
    <xf numFmtId="0" fontId="48" fillId="0" borderId="117" xfId="0" applyFont="1" applyBorder="1" applyAlignment="1">
      <alignment horizontal="left" vertical="center" wrapText="1"/>
    </xf>
    <xf numFmtId="0" fontId="52" fillId="0" borderId="190" xfId="0" applyFont="1" applyBorder="1" applyAlignment="1">
      <alignment horizontal="center" vertical="center"/>
    </xf>
    <xf numFmtId="165" fontId="52" fillId="0" borderId="0" xfId="0" applyNumberFormat="1" applyFont="1" applyAlignment="1">
      <alignment horizontal="center" vertical="center"/>
    </xf>
    <xf numFmtId="165" fontId="75" fillId="0" borderId="0" xfId="0" applyNumberFormat="1" applyFont="1" applyAlignment="1">
      <alignment horizontal="center" vertical="center"/>
    </xf>
    <xf numFmtId="0" fontId="56" fillId="0" borderId="0" xfId="0" applyFont="1" applyAlignment="1">
      <alignment horizontal="center" vertical="center"/>
    </xf>
    <xf numFmtId="0" fontId="52" fillId="0" borderId="150" xfId="0" applyFont="1" applyBorder="1" applyAlignment="1">
      <alignment horizontal="center" vertical="center" wrapText="1"/>
    </xf>
    <xf numFmtId="165" fontId="52" fillId="0" borderId="150" xfId="0" applyNumberFormat="1" applyFont="1" applyBorder="1" applyAlignment="1">
      <alignment horizontal="center" vertical="center"/>
    </xf>
    <xf numFmtId="165" fontId="55" fillId="0" borderId="0" xfId="0" applyNumberFormat="1" applyFont="1" applyAlignment="1">
      <alignment horizontal="center" vertical="center"/>
    </xf>
    <xf numFmtId="0" fontId="55" fillId="0" borderId="0" xfId="0" applyFont="1" applyAlignment="1">
      <alignment horizontal="left" vertical="center" wrapText="1"/>
    </xf>
    <xf numFmtId="0" fontId="55" fillId="0" borderId="150" xfId="0" applyFont="1" applyBorder="1" applyAlignment="1">
      <alignment horizontal="center" vertical="center"/>
    </xf>
    <xf numFmtId="165" fontId="55" fillId="0" borderId="150" xfId="0" applyNumberFormat="1" applyFont="1" applyBorder="1" applyAlignment="1">
      <alignment horizontal="center" vertical="center"/>
    </xf>
    <xf numFmtId="0" fontId="28" fillId="0" borderId="0" xfId="0" applyFont="1" applyAlignment="1">
      <alignment horizontal="left" vertical="center"/>
    </xf>
    <xf numFmtId="0" fontId="28" fillId="0" borderId="0" xfId="0" applyFont="1" applyAlignment="1">
      <alignment horizontal="center" vertical="center" wrapText="1"/>
    </xf>
    <xf numFmtId="0" fontId="28" fillId="0" borderId="0" xfId="0" applyFont="1" applyAlignment="1">
      <alignment horizontal="left" vertical="center" wrapText="1"/>
    </xf>
    <xf numFmtId="0" fontId="47" fillId="0" borderId="0" xfId="0" applyFont="1"/>
    <xf numFmtId="0" fontId="54" fillId="0" borderId="0" xfId="0" applyFont="1"/>
    <xf numFmtId="0" fontId="45" fillId="0" borderId="0" xfId="0" applyFont="1" applyAlignment="1">
      <alignment horizontal="left"/>
    </xf>
    <xf numFmtId="0" fontId="45" fillId="0" borderId="0" xfId="0" applyFont="1" applyAlignment="1">
      <alignment horizontal="center"/>
    </xf>
    <xf numFmtId="0" fontId="56" fillId="0" borderId="38" xfId="3" applyFont="1" applyBorder="1" applyAlignment="1">
      <alignment horizontal="left" vertical="center" wrapText="1"/>
    </xf>
    <xf numFmtId="2" fontId="45" fillId="0" borderId="14" xfId="0" applyNumberFormat="1" applyFont="1" applyBorder="1" applyAlignment="1">
      <alignment horizontal="left" vertical="center"/>
    </xf>
    <xf numFmtId="2" fontId="45" fillId="0" borderId="14" xfId="0" applyNumberFormat="1" applyFont="1" applyBorder="1" applyAlignment="1">
      <alignment horizontal="center" vertical="center"/>
    </xf>
    <xf numFmtId="2" fontId="45" fillId="0" borderId="90" xfId="0" applyNumberFormat="1" applyFont="1" applyBorder="1" applyAlignment="1">
      <alignment horizontal="center" vertical="center"/>
    </xf>
    <xf numFmtId="0" fontId="45" fillId="0" borderId="90" xfId="0" applyFont="1" applyBorder="1" applyAlignment="1">
      <alignment horizontal="center" vertical="center"/>
    </xf>
    <xf numFmtId="0" fontId="45" fillId="0" borderId="14" xfId="0" applyFont="1" applyBorder="1" applyAlignment="1">
      <alignment horizontal="center" vertical="center"/>
    </xf>
    <xf numFmtId="0" fontId="56" fillId="0" borderId="7" xfId="3" applyFont="1" applyBorder="1" applyAlignment="1">
      <alignment horizontal="left" vertical="center" wrapText="1"/>
    </xf>
    <xf numFmtId="2" fontId="45" fillId="0" borderId="6" xfId="0" applyNumberFormat="1" applyFont="1" applyBorder="1" applyAlignment="1">
      <alignment horizontal="left" vertical="center"/>
    </xf>
    <xf numFmtId="2" fontId="45" fillId="0" borderId="6" xfId="0" applyNumberFormat="1" applyFont="1" applyBorder="1" applyAlignment="1">
      <alignment horizontal="center" vertical="center"/>
    </xf>
    <xf numFmtId="0" fontId="45" fillId="0" borderId="114" xfId="0" applyFont="1" applyBorder="1" applyAlignment="1">
      <alignment horizontal="center" vertical="center"/>
    </xf>
    <xf numFmtId="0" fontId="45" fillId="0" borderId="6" xfId="0" applyFont="1" applyBorder="1" applyAlignment="1">
      <alignment horizontal="center" vertical="center"/>
    </xf>
    <xf numFmtId="11" fontId="45" fillId="0" borderId="6" xfId="0" applyNumberFormat="1" applyFont="1" applyBorder="1" applyAlignment="1">
      <alignment horizontal="center" vertical="center"/>
    </xf>
    <xf numFmtId="0" fontId="56" fillId="0" borderId="126" xfId="3" applyFont="1" applyBorder="1" applyAlignment="1">
      <alignment horizontal="left" vertical="center" wrapText="1"/>
    </xf>
    <xf numFmtId="2" fontId="45" fillId="0" borderId="137" xfId="0" applyNumberFormat="1" applyFont="1" applyBorder="1" applyAlignment="1">
      <alignment horizontal="left" vertical="center"/>
    </xf>
    <xf numFmtId="164" fontId="14" fillId="0" borderId="137" xfId="35" applyNumberFormat="1" applyBorder="1" applyAlignment="1">
      <alignment horizontal="center" vertical="center"/>
    </xf>
    <xf numFmtId="164" fontId="45" fillId="0" borderId="137" xfId="0" applyNumberFormat="1" applyFont="1" applyBorder="1" applyAlignment="1">
      <alignment horizontal="center" vertical="center"/>
    </xf>
    <xf numFmtId="168" fontId="45" fillId="0" borderId="137" xfId="0" applyNumberFormat="1" applyFont="1" applyBorder="1" applyAlignment="1">
      <alignment horizontal="center" vertical="center"/>
    </xf>
    <xf numFmtId="164" fontId="45" fillId="0" borderId="90" xfId="0" applyNumberFormat="1" applyFont="1" applyBorder="1" applyAlignment="1">
      <alignment horizontal="center" vertical="center"/>
    </xf>
    <xf numFmtId="0" fontId="45" fillId="0" borderId="137" xfId="0" applyFont="1" applyBorder="1" applyAlignment="1">
      <alignment horizontal="center" vertical="center"/>
    </xf>
    <xf numFmtId="0" fontId="45" fillId="0" borderId="137" xfId="0" applyFont="1" applyBorder="1" applyAlignment="1">
      <alignment horizontal="left" vertical="center"/>
    </xf>
    <xf numFmtId="0" fontId="45" fillId="0" borderId="127" xfId="0" applyFont="1" applyBorder="1" applyAlignment="1">
      <alignment horizontal="left" vertical="center"/>
    </xf>
    <xf numFmtId="2" fontId="45" fillId="0" borderId="137" xfId="0" applyNumberFormat="1" applyFont="1" applyBorder="1" applyAlignment="1">
      <alignment horizontal="center" vertical="center"/>
    </xf>
    <xf numFmtId="0" fontId="72" fillId="0" borderId="193" xfId="3" applyFont="1" applyBorder="1" applyAlignment="1">
      <alignment horizontal="left" vertical="center" wrapText="1"/>
    </xf>
    <xf numFmtId="2" fontId="45" fillId="0" borderId="150" xfId="0" applyNumberFormat="1" applyFont="1" applyBorder="1" applyAlignment="1">
      <alignment horizontal="left" vertical="center"/>
    </xf>
    <xf numFmtId="2" fontId="45" fillId="0" borderId="150" xfId="0" applyNumberFormat="1" applyFont="1" applyBorder="1" applyAlignment="1">
      <alignment horizontal="center" vertical="center"/>
    </xf>
    <xf numFmtId="0" fontId="45" fillId="0" borderId="150" xfId="0" applyFont="1" applyBorder="1" applyAlignment="1">
      <alignment horizontal="center" vertical="center"/>
    </xf>
    <xf numFmtId="0" fontId="45" fillId="0" borderId="181" xfId="0" applyFont="1" applyBorder="1" applyAlignment="1">
      <alignment horizontal="center" vertical="center"/>
    </xf>
    <xf numFmtId="0" fontId="45" fillId="0" borderId="127" xfId="0" applyFont="1" applyBorder="1"/>
    <xf numFmtId="164" fontId="45" fillId="0" borderId="150" xfId="0" applyNumberFormat="1" applyFont="1" applyBorder="1" applyAlignment="1">
      <alignment horizontal="center" vertical="center"/>
    </xf>
    <xf numFmtId="2" fontId="45" fillId="0" borderId="89" xfId="0" applyNumberFormat="1" applyFont="1" applyBorder="1" applyAlignment="1">
      <alignment horizontal="left" vertical="center"/>
    </xf>
    <xf numFmtId="2" fontId="45" fillId="0" borderId="89" xfId="0" applyNumberFormat="1" applyFont="1" applyBorder="1" applyAlignment="1">
      <alignment horizontal="center" vertical="center"/>
    </xf>
    <xf numFmtId="0" fontId="72" fillId="0" borderId="7" xfId="3" applyFont="1" applyBorder="1" applyAlignment="1">
      <alignment horizontal="left" vertical="center" wrapText="1"/>
    </xf>
    <xf numFmtId="0" fontId="45" fillId="0" borderId="8" xfId="0" applyFont="1" applyBorder="1" applyAlignment="1">
      <alignment horizontal="center" vertical="center"/>
    </xf>
    <xf numFmtId="166" fontId="14" fillId="0" borderId="150" xfId="35" applyNumberFormat="1" applyBorder="1" applyAlignment="1">
      <alignment horizontal="center" vertical="center"/>
    </xf>
    <xf numFmtId="0" fontId="66" fillId="0" borderId="7" xfId="0" applyFont="1" applyBorder="1" applyAlignment="1">
      <alignment horizontal="left" vertical="center"/>
    </xf>
    <xf numFmtId="0" fontId="66" fillId="0" borderId="126" xfId="0" applyFont="1" applyBorder="1" applyAlignment="1">
      <alignment horizontal="left" vertical="center"/>
    </xf>
    <xf numFmtId="11" fontId="45" fillId="0" borderId="137" xfId="0" applyNumberFormat="1" applyFont="1" applyBorder="1" applyAlignment="1">
      <alignment horizontal="center" vertical="center"/>
    </xf>
    <xf numFmtId="166" fontId="14" fillId="0" borderId="137" xfId="35" applyNumberFormat="1" applyBorder="1" applyAlignment="1">
      <alignment horizontal="center" vertical="center"/>
    </xf>
    <xf numFmtId="0" fontId="72" fillId="0" borderId="126" xfId="3" applyFont="1" applyBorder="1" applyAlignment="1">
      <alignment horizontal="left" vertical="center" wrapText="1"/>
    </xf>
    <xf numFmtId="0" fontId="60" fillId="0" borderId="7" xfId="3" applyFont="1" applyBorder="1" applyAlignment="1">
      <alignment horizontal="left" vertical="center" wrapText="1"/>
    </xf>
    <xf numFmtId="0" fontId="60" fillId="0" borderId="193" xfId="3" applyFont="1" applyBorder="1" applyAlignment="1">
      <alignment horizontal="left" vertical="center" wrapText="1"/>
    </xf>
    <xf numFmtId="0" fontId="45" fillId="0" borderId="8" xfId="0" applyFont="1" applyBorder="1" applyAlignment="1">
      <alignment horizontal="left" vertical="center"/>
    </xf>
    <xf numFmtId="1" fontId="45" fillId="0" borderId="150" xfId="0" applyNumberFormat="1" applyFont="1" applyBorder="1" applyAlignment="1">
      <alignment horizontal="center" vertical="center"/>
    </xf>
    <xf numFmtId="0" fontId="45" fillId="0" borderId="194" xfId="0" applyFont="1" applyBorder="1" applyAlignment="1">
      <alignment horizontal="left" vertical="center"/>
    </xf>
    <xf numFmtId="0" fontId="66" fillId="0" borderId="97" xfId="0" applyFont="1" applyBorder="1" applyAlignment="1">
      <alignment horizontal="left"/>
    </xf>
    <xf numFmtId="0" fontId="45" fillId="0" borderId="114" xfId="0" applyFont="1" applyBorder="1" applyAlignment="1">
      <alignment horizontal="left"/>
    </xf>
    <xf numFmtId="166" fontId="11" fillId="0" borderId="137" xfId="45" applyNumberFormat="1" applyBorder="1" applyAlignment="1">
      <alignment horizontal="center"/>
    </xf>
    <xf numFmtId="166" fontId="11" fillId="0" borderId="150" xfId="45" applyNumberFormat="1" applyBorder="1" applyAlignment="1">
      <alignment horizontal="center"/>
    </xf>
    <xf numFmtId="0" fontId="14" fillId="0" borderId="114" xfId="39" applyBorder="1" applyAlignment="1">
      <alignment horizontal="center"/>
    </xf>
    <xf numFmtId="0" fontId="45" fillId="0" borderId="114" xfId="0" applyFont="1" applyBorder="1" applyAlignment="1">
      <alignment horizontal="center"/>
    </xf>
    <xf numFmtId="0" fontId="45" fillId="0" borderId="114" xfId="0" applyFont="1" applyBorder="1" applyAlignment="1">
      <alignment horizontal="left" vertical="center"/>
    </xf>
    <xf numFmtId="0" fontId="45" fillId="0" borderId="98" xfId="0" applyFont="1" applyBorder="1" applyAlignment="1">
      <alignment horizontal="left"/>
    </xf>
    <xf numFmtId="2" fontId="45" fillId="0" borderId="114" xfId="0" applyNumberFormat="1" applyFont="1" applyBorder="1" applyAlignment="1">
      <alignment horizontal="left" vertical="center"/>
    </xf>
    <xf numFmtId="0" fontId="0" fillId="0" borderId="114" xfId="0" applyBorder="1" applyAlignment="1">
      <alignment horizontal="center"/>
    </xf>
    <xf numFmtId="0" fontId="14" fillId="0" borderId="114" xfId="40" applyBorder="1" applyAlignment="1">
      <alignment horizontal="center"/>
    </xf>
    <xf numFmtId="166" fontId="11" fillId="0" borderId="137" xfId="46" applyNumberFormat="1" applyBorder="1" applyAlignment="1">
      <alignment horizontal="center"/>
    </xf>
    <xf numFmtId="0" fontId="14" fillId="0" borderId="114" xfId="41" applyBorder="1" applyAlignment="1">
      <alignment horizontal="center"/>
    </xf>
    <xf numFmtId="0" fontId="45" fillId="0" borderId="114" xfId="0" applyFont="1" applyBorder="1" applyAlignment="1">
      <alignment horizontal="center" vertical="center" wrapText="1"/>
    </xf>
    <xf numFmtId="0" fontId="45" fillId="0" borderId="181" xfId="0" applyFont="1" applyBorder="1" applyAlignment="1">
      <alignment horizontal="center" vertical="center" wrapText="1"/>
    </xf>
    <xf numFmtId="0" fontId="45" fillId="0" borderId="114" xfId="0" applyFont="1" applyBorder="1" applyAlignment="1">
      <alignment horizontal="left" vertical="center" wrapText="1"/>
    </xf>
    <xf numFmtId="166" fontId="11" fillId="0" borderId="150" xfId="46" applyNumberFormat="1" applyBorder="1" applyAlignment="1">
      <alignment horizontal="center"/>
    </xf>
    <xf numFmtId="0" fontId="14" fillId="0" borderId="114" xfId="42" applyBorder="1" applyAlignment="1">
      <alignment horizontal="center"/>
    </xf>
    <xf numFmtId="0" fontId="66" fillId="0" borderId="115" xfId="0" applyFont="1" applyBorder="1" applyAlignment="1">
      <alignment horizontal="left"/>
    </xf>
    <xf numFmtId="0" fontId="45" fillId="0" borderId="116" xfId="0" applyFont="1" applyBorder="1" applyAlignment="1">
      <alignment horizontal="left" vertical="center" wrapText="1"/>
    </xf>
    <xf numFmtId="166" fontId="11" fillId="0" borderId="116" xfId="46" applyNumberFormat="1" applyBorder="1" applyAlignment="1">
      <alignment horizontal="center"/>
    </xf>
    <xf numFmtId="11" fontId="45" fillId="0" borderId="116" xfId="0" applyNumberFormat="1" applyFont="1" applyBorder="1" applyAlignment="1">
      <alignment horizontal="center" vertical="center"/>
    </xf>
    <xf numFmtId="0" fontId="45" fillId="0" borderId="116" xfId="0" applyFont="1" applyBorder="1" applyAlignment="1">
      <alignment horizontal="center" vertical="center"/>
    </xf>
    <xf numFmtId="0" fontId="45" fillId="0" borderId="116" xfId="0" applyFont="1" applyBorder="1" applyAlignment="1">
      <alignment horizontal="center" vertical="center" wrapText="1"/>
    </xf>
    <xf numFmtId="0" fontId="45" fillId="0" borderId="116" xfId="0" applyFont="1" applyBorder="1" applyAlignment="1">
      <alignment horizontal="left" vertical="center"/>
    </xf>
    <xf numFmtId="0" fontId="45" fillId="0" borderId="117" xfId="0" applyFont="1" applyBorder="1" applyAlignment="1">
      <alignment horizontal="left"/>
    </xf>
    <xf numFmtId="0" fontId="66" fillId="0" borderId="9" xfId="0" applyFont="1" applyBorder="1" applyAlignment="1">
      <alignment horizontal="left"/>
    </xf>
    <xf numFmtId="0" fontId="45" fillId="0" borderId="113" xfId="0" applyFont="1" applyBorder="1" applyAlignment="1">
      <alignment horizontal="left"/>
    </xf>
    <xf numFmtId="166" fontId="11" fillId="0" borderId="125" xfId="45" applyNumberFormat="1" applyBorder="1" applyAlignment="1">
      <alignment horizontal="center"/>
    </xf>
    <xf numFmtId="166" fontId="11" fillId="0" borderId="183" xfId="45" applyNumberFormat="1" applyBorder="1" applyAlignment="1">
      <alignment horizontal="center"/>
    </xf>
    <xf numFmtId="166" fontId="14" fillId="0" borderId="113" xfId="38" applyNumberFormat="1" applyBorder="1" applyAlignment="1">
      <alignment horizontal="center"/>
    </xf>
    <xf numFmtId="0" fontId="45" fillId="0" borderId="113" xfId="0" applyFont="1" applyBorder="1" applyAlignment="1">
      <alignment horizontal="center" vertical="center"/>
    </xf>
    <xf numFmtId="0" fontId="14" fillId="0" borderId="113" xfId="43" applyBorder="1" applyAlignment="1">
      <alignment horizontal="center"/>
    </xf>
    <xf numFmtId="0" fontId="45" fillId="0" borderId="113" xfId="0" applyFont="1" applyBorder="1" applyAlignment="1">
      <alignment horizontal="center"/>
    </xf>
    <xf numFmtId="0" fontId="45" fillId="0" borderId="183" xfId="0" applyFont="1" applyBorder="1" applyAlignment="1">
      <alignment horizontal="center" vertical="center"/>
    </xf>
    <xf numFmtId="0" fontId="45" fillId="0" borderId="11" xfId="0" applyFont="1" applyBorder="1" applyAlignment="1">
      <alignment horizontal="left"/>
    </xf>
    <xf numFmtId="0" fontId="66" fillId="0" borderId="105" xfId="0" applyFont="1" applyBorder="1" applyAlignment="1">
      <alignment horizontal="left"/>
    </xf>
    <xf numFmtId="0" fontId="45" fillId="0" borderId="106" xfId="0" applyFont="1" applyBorder="1" applyAlignment="1">
      <alignment horizontal="left"/>
    </xf>
    <xf numFmtId="166" fontId="14" fillId="0" borderId="106" xfId="35" applyNumberFormat="1" applyBorder="1" applyAlignment="1">
      <alignment horizontal="center"/>
    </xf>
    <xf numFmtId="166" fontId="14" fillId="0" borderId="184" xfId="35" applyNumberFormat="1" applyBorder="1" applyAlignment="1">
      <alignment horizontal="center"/>
    </xf>
    <xf numFmtId="0" fontId="45" fillId="0" borderId="106" xfId="0" applyFont="1" applyBorder="1" applyAlignment="1">
      <alignment horizontal="center" vertical="center"/>
    </xf>
    <xf numFmtId="0" fontId="14" fillId="0" borderId="106" xfId="39" applyBorder="1" applyAlignment="1">
      <alignment horizontal="center"/>
    </xf>
    <xf numFmtId="0" fontId="45" fillId="0" borderId="106" xfId="0" applyFont="1" applyBorder="1" applyAlignment="1">
      <alignment horizontal="center"/>
    </xf>
    <xf numFmtId="0" fontId="45" fillId="0" borderId="184" xfId="0" applyFont="1" applyBorder="1" applyAlignment="1">
      <alignment horizontal="center" vertical="center"/>
    </xf>
    <xf numFmtId="0" fontId="45" fillId="0" borderId="107" xfId="0" applyFont="1" applyBorder="1" applyAlignment="1">
      <alignment horizontal="left"/>
    </xf>
    <xf numFmtId="166" fontId="14" fillId="0" borderId="114" xfId="35" applyNumberFormat="1" applyBorder="1" applyAlignment="1">
      <alignment horizontal="center"/>
    </xf>
    <xf numFmtId="166" fontId="14" fillId="0" borderId="150" xfId="35" applyNumberFormat="1" applyBorder="1" applyAlignment="1">
      <alignment horizontal="center"/>
    </xf>
    <xf numFmtId="0" fontId="14" fillId="0" borderId="116" xfId="42" applyBorder="1" applyAlignment="1">
      <alignment horizontal="center"/>
    </xf>
    <xf numFmtId="166" fontId="14" fillId="0" borderId="113" xfId="35" applyNumberFormat="1" applyBorder="1" applyAlignment="1">
      <alignment horizontal="center"/>
    </xf>
    <xf numFmtId="166" fontId="14" fillId="0" borderId="183" xfId="35" applyNumberFormat="1" applyBorder="1" applyAlignment="1">
      <alignment horizontal="center"/>
    </xf>
    <xf numFmtId="0" fontId="14" fillId="0" borderId="113" xfId="39" applyBorder="1" applyAlignment="1">
      <alignment horizontal="center"/>
    </xf>
    <xf numFmtId="0" fontId="48" fillId="0" borderId="99" xfId="0" applyFont="1" applyBorder="1" applyAlignment="1">
      <alignment horizontal="left" vertical="center" wrapText="1"/>
    </xf>
    <xf numFmtId="0" fontId="48" fillId="0" borderId="193" xfId="0" applyFont="1" applyBorder="1" applyAlignment="1">
      <alignment horizontal="left" vertical="center"/>
    </xf>
    <xf numFmtId="0" fontId="48" fillId="0" borderId="97" xfId="0" applyFont="1" applyBorder="1" applyAlignment="1">
      <alignment horizontal="left" vertical="center" wrapText="1"/>
    </xf>
    <xf numFmtId="0" fontId="45" fillId="0" borderId="97" xfId="0" applyFont="1" applyBorder="1" applyAlignment="1">
      <alignment horizontal="left" vertical="center" wrapText="1"/>
    </xf>
    <xf numFmtId="0" fontId="48" fillId="0" borderId="126" xfId="0" applyFont="1" applyBorder="1" applyAlignment="1">
      <alignment horizontal="left" vertical="center" wrapText="1"/>
    </xf>
    <xf numFmtId="0" fontId="48" fillId="0" borderId="152" xfId="0" applyFont="1" applyBorder="1" applyAlignment="1">
      <alignment horizontal="left" vertical="center"/>
    </xf>
    <xf numFmtId="0" fontId="45" fillId="0" borderId="152" xfId="0" applyFont="1" applyBorder="1" applyAlignment="1">
      <alignment horizontal="left" vertical="center"/>
    </xf>
    <xf numFmtId="0" fontId="48" fillId="0" borderId="115" xfId="0" applyFont="1" applyBorder="1" applyAlignment="1">
      <alignment horizontal="left" vertical="center" wrapText="1"/>
    </xf>
    <xf numFmtId="0" fontId="45" fillId="0" borderId="126" xfId="0" applyFont="1" applyBorder="1" applyAlignment="1">
      <alignment horizontal="left" vertical="center" wrapText="1"/>
    </xf>
    <xf numFmtId="0" fontId="45" fillId="0" borderId="128" xfId="0" applyFont="1" applyBorder="1" applyAlignment="1">
      <alignment horizontal="left" vertical="center" wrapText="1"/>
    </xf>
    <xf numFmtId="0" fontId="48" fillId="0" borderId="128" xfId="0" applyFont="1" applyBorder="1" applyAlignment="1">
      <alignment horizontal="left" vertical="center" wrapText="1"/>
    </xf>
    <xf numFmtId="0" fontId="0" fillId="0" borderId="196" xfId="0" applyBorder="1" applyAlignment="1">
      <alignment horizontal="left" vertical="center"/>
    </xf>
    <xf numFmtId="0" fontId="6" fillId="0" borderId="201" xfId="0" applyFont="1" applyBorder="1" applyAlignment="1">
      <alignment horizontal="left" vertical="center"/>
    </xf>
    <xf numFmtId="0" fontId="6" fillId="0" borderId="193" xfId="0" applyFont="1" applyBorder="1" applyAlignment="1">
      <alignment horizontal="left" vertical="center"/>
    </xf>
    <xf numFmtId="0" fontId="6" fillId="0" borderId="93" xfId="0" applyFont="1" applyBorder="1" applyAlignment="1">
      <alignment horizontal="left" vertical="center"/>
    </xf>
    <xf numFmtId="0" fontId="6" fillId="0" borderId="189" xfId="0" applyFont="1" applyBorder="1" applyAlignment="1">
      <alignment horizontal="left" vertical="center"/>
    </xf>
    <xf numFmtId="0" fontId="48" fillId="0" borderId="167" xfId="0" applyFont="1" applyBorder="1" applyAlignment="1">
      <alignment horizontal="left" vertical="center" wrapText="1"/>
    </xf>
    <xf numFmtId="0" fontId="48" fillId="0" borderId="152" xfId="0" applyFont="1" applyBorder="1" applyAlignment="1">
      <alignment horizontal="left" vertical="center" wrapText="1"/>
    </xf>
    <xf numFmtId="0" fontId="48" fillId="0" borderId="189" xfId="0" applyFont="1" applyBorder="1" applyAlignment="1">
      <alignment horizontal="left" vertical="center" wrapText="1"/>
    </xf>
    <xf numFmtId="0" fontId="48" fillId="0" borderId="76" xfId="0" applyFont="1" applyBorder="1" applyAlignment="1">
      <alignment vertical="center" wrapText="1"/>
    </xf>
    <xf numFmtId="0" fontId="48" fillId="0" borderId="9" xfId="0" applyFont="1" applyBorder="1" applyAlignment="1">
      <alignment vertical="center" wrapText="1"/>
    </xf>
    <xf numFmtId="0" fontId="48" fillId="0" borderId="105" xfId="0" applyFont="1" applyBorder="1" applyAlignment="1">
      <alignment horizontal="left" vertical="center" wrapText="1"/>
    </xf>
    <xf numFmtId="0" fontId="48" fillId="0" borderId="126" xfId="0" quotePrefix="1" applyFont="1" applyBorder="1" applyAlignment="1">
      <alignment horizontal="left" vertical="center" wrapText="1"/>
    </xf>
    <xf numFmtId="0" fontId="48" fillId="0" borderId="126" xfId="0" applyFont="1" applyBorder="1" applyAlignment="1">
      <alignment vertical="center" wrapText="1"/>
    </xf>
    <xf numFmtId="0" fontId="48" fillId="0" borderId="128" xfId="0" applyFont="1" applyBorder="1" applyAlignment="1">
      <alignment vertical="center" wrapText="1"/>
    </xf>
    <xf numFmtId="0" fontId="48" fillId="0" borderId="167" xfId="0" applyFont="1" applyBorder="1" applyAlignment="1">
      <alignment vertical="center" wrapText="1"/>
    </xf>
    <xf numFmtId="0" fontId="48" fillId="0" borderId="152" xfId="0" applyFont="1" applyBorder="1" applyAlignment="1">
      <alignment vertical="center" wrapText="1"/>
    </xf>
    <xf numFmtId="0" fontId="48" fillId="0" borderId="7" xfId="0" applyFont="1" applyBorder="1" applyAlignment="1">
      <alignment horizontal="left" vertical="center" wrapText="1"/>
    </xf>
    <xf numFmtId="0" fontId="94" fillId="0" borderId="0" xfId="2" applyFont="1" applyAlignment="1">
      <alignment horizontal="left" vertical="center" wrapText="1"/>
    </xf>
    <xf numFmtId="0" fontId="48" fillId="0" borderId="100" xfId="0" applyFont="1" applyBorder="1" applyAlignment="1">
      <alignment horizontal="left" vertical="center" wrapText="1"/>
    </xf>
    <xf numFmtId="0" fontId="48" fillId="0" borderId="181" xfId="0" applyFont="1" applyBorder="1" applyAlignment="1">
      <alignment horizontal="left" vertical="center" wrapText="1"/>
    </xf>
    <xf numFmtId="0" fontId="48" fillId="0" borderId="89" xfId="0" applyFont="1" applyBorder="1" applyAlignment="1">
      <alignment horizontal="left" vertical="center" wrapText="1"/>
    </xf>
    <xf numFmtId="0" fontId="45" fillId="0" borderId="89" xfId="0" applyFont="1" applyBorder="1" applyAlignment="1">
      <alignment horizontal="left" vertical="center" wrapText="1"/>
    </xf>
    <xf numFmtId="0" fontId="48" fillId="0" borderId="150" xfId="0" applyFont="1" applyBorder="1" applyAlignment="1">
      <alignment horizontal="left" vertical="center"/>
    </xf>
    <xf numFmtId="0" fontId="48" fillId="0" borderId="96" xfId="0" applyFont="1" applyBorder="1" applyAlignment="1">
      <alignment horizontal="left" vertical="center" wrapText="1"/>
    </xf>
    <xf numFmtId="0" fontId="48" fillId="0" borderId="13" xfId="0" applyFont="1" applyBorder="1" applyAlignment="1">
      <alignment horizontal="left" vertical="center" wrapText="1"/>
    </xf>
    <xf numFmtId="0" fontId="45" fillId="0" borderId="150" xfId="0" applyFont="1" applyBorder="1" applyAlignment="1">
      <alignment horizontal="left" vertical="center" wrapText="1"/>
    </xf>
    <xf numFmtId="0" fontId="45" fillId="0" borderId="137" xfId="0" applyFont="1" applyBorder="1" applyAlignment="1">
      <alignment horizontal="left" vertical="center" wrapText="1"/>
    </xf>
    <xf numFmtId="0" fontId="45" fillId="0" borderId="125" xfId="0" applyFont="1" applyBorder="1" applyAlignment="1">
      <alignment horizontal="left" vertical="center" wrapText="1"/>
    </xf>
    <xf numFmtId="166" fontId="48" fillId="0" borderId="125" xfId="0" applyNumberFormat="1" applyFont="1" applyBorder="1" applyAlignment="1">
      <alignment horizontal="left" vertical="center" wrapText="1"/>
    </xf>
    <xf numFmtId="0" fontId="45" fillId="0" borderId="90" xfId="0" applyFont="1" applyBorder="1" applyAlignment="1">
      <alignment horizontal="left" vertical="center" wrapText="1"/>
    </xf>
    <xf numFmtId="0" fontId="0" fillId="0" borderId="197" xfId="0" applyBorder="1" applyAlignment="1">
      <alignment horizontal="left" vertical="center"/>
    </xf>
    <xf numFmtId="0" fontId="6" fillId="0" borderId="202" xfId="0" applyFont="1" applyBorder="1" applyAlignment="1">
      <alignment horizontal="left" vertical="center" wrapText="1"/>
    </xf>
    <xf numFmtId="0" fontId="6" fillId="0" borderId="150" xfId="0" applyFont="1" applyBorder="1" applyAlignment="1">
      <alignment horizontal="left" vertical="center" wrapText="1"/>
    </xf>
    <xf numFmtId="0" fontId="6" fillId="0" borderId="90" xfId="0" applyFont="1" applyBorder="1" applyAlignment="1">
      <alignment horizontal="left" vertical="center" wrapText="1"/>
    </xf>
    <xf numFmtId="0" fontId="6" fillId="0" borderId="183" xfId="0" applyFont="1" applyBorder="1" applyAlignment="1">
      <alignment horizontal="left" vertical="center" wrapText="1"/>
    </xf>
    <xf numFmtId="0" fontId="48" fillId="0" borderId="184" xfId="0" applyFont="1" applyBorder="1" applyAlignment="1">
      <alignment horizontal="left" vertical="center" wrapText="1"/>
    </xf>
    <xf numFmtId="0" fontId="48" fillId="0" borderId="10" xfId="0" applyFont="1" applyBorder="1" applyAlignment="1">
      <alignment horizontal="left" vertical="center" wrapText="1"/>
    </xf>
    <xf numFmtId="0" fontId="48" fillId="0" borderId="133" xfId="0" applyFont="1" applyBorder="1" applyAlignment="1">
      <alignment horizontal="left" vertical="center" wrapText="1"/>
    </xf>
    <xf numFmtId="0" fontId="48" fillId="0" borderId="133" xfId="0" quotePrefix="1" applyFont="1" applyBorder="1" applyAlignment="1">
      <alignment horizontal="left" vertical="center" wrapText="1"/>
    </xf>
    <xf numFmtId="0" fontId="48" fillId="0" borderId="184" xfId="0" quotePrefix="1" applyFont="1" applyBorder="1" applyAlignment="1">
      <alignment vertical="center" wrapText="1"/>
    </xf>
    <xf numFmtId="0" fontId="48" fillId="0" borderId="150" xfId="0" quotePrefix="1" applyFont="1" applyBorder="1" applyAlignment="1">
      <alignment vertical="center" wrapText="1"/>
    </xf>
    <xf numFmtId="0" fontId="48" fillId="0" borderId="90" xfId="0" quotePrefix="1" applyFont="1" applyBorder="1" applyAlignment="1">
      <alignment horizontal="left" vertical="center" wrapText="1"/>
    </xf>
    <xf numFmtId="0" fontId="48" fillId="0" borderId="150" xfId="0" quotePrefix="1" applyFont="1" applyBorder="1" applyAlignment="1">
      <alignment horizontal="left" vertical="center" wrapText="1"/>
    </xf>
    <xf numFmtId="0" fontId="48" fillId="0" borderId="89" xfId="0" quotePrefix="1" applyFont="1" applyBorder="1" applyAlignment="1">
      <alignment horizontal="left" vertical="center" wrapText="1"/>
    </xf>
    <xf numFmtId="0" fontId="48" fillId="0" borderId="137" xfId="0" quotePrefix="1" applyFont="1" applyBorder="1" applyAlignment="1">
      <alignment horizontal="left" vertical="center" wrapText="1"/>
    </xf>
    <xf numFmtId="0" fontId="45" fillId="0" borderId="96" xfId="0" applyFont="1" applyBorder="1" applyAlignment="1">
      <alignment horizontal="left" vertical="center" wrapText="1"/>
    </xf>
    <xf numFmtId="8" fontId="48" fillId="0" borderId="137" xfId="0" applyNumberFormat="1" applyFont="1" applyBorder="1" applyAlignment="1">
      <alignment horizontal="left" vertical="center" wrapText="1"/>
    </xf>
    <xf numFmtId="8" fontId="48" fillId="0" borderId="90" xfId="0" applyNumberFormat="1" applyFont="1" applyBorder="1" applyAlignment="1">
      <alignment horizontal="left" vertical="center" wrapText="1"/>
    </xf>
    <xf numFmtId="8" fontId="0" fillId="0" borderId="90" xfId="0" applyNumberFormat="1" applyBorder="1" applyAlignment="1">
      <alignment horizontal="left" vertical="center" wrapText="1"/>
    </xf>
    <xf numFmtId="0" fontId="45" fillId="0" borderId="137" xfId="0" quotePrefix="1" applyFont="1" applyBorder="1" applyAlignment="1">
      <alignment horizontal="left" vertical="center" wrapText="1"/>
    </xf>
    <xf numFmtId="0" fontId="45" fillId="0" borderId="150" xfId="0" quotePrefix="1" applyFont="1" applyBorder="1" applyAlignment="1">
      <alignment horizontal="left" vertical="center" wrapText="1"/>
    </xf>
    <xf numFmtId="0" fontId="45" fillId="0" borderId="125" xfId="0" quotePrefix="1" applyFont="1" applyBorder="1" applyAlignment="1">
      <alignment horizontal="left" vertical="center" wrapText="1"/>
    </xf>
    <xf numFmtId="164" fontId="48" fillId="0" borderId="0" xfId="0" applyNumberFormat="1" applyFont="1" applyAlignment="1">
      <alignment horizontal="left" vertical="center"/>
    </xf>
    <xf numFmtId="0" fontId="48" fillId="0" borderId="184" xfId="0" quotePrefix="1" applyFont="1" applyBorder="1" applyAlignment="1">
      <alignment horizontal="left" vertical="center" wrapText="1"/>
    </xf>
    <xf numFmtId="0" fontId="48" fillId="0" borderId="153" xfId="0" quotePrefix="1" applyFont="1" applyBorder="1" applyAlignment="1">
      <alignment horizontal="left" vertical="center" wrapText="1"/>
    </xf>
    <xf numFmtId="0" fontId="48" fillId="0" borderId="91" xfId="0" applyFont="1" applyBorder="1" applyAlignment="1">
      <alignment horizontal="left" vertical="center" wrapText="1"/>
    </xf>
    <xf numFmtId="0" fontId="48" fillId="0" borderId="6" xfId="0" quotePrefix="1" applyFont="1" applyBorder="1" applyAlignment="1">
      <alignment horizontal="left" vertical="center" wrapText="1"/>
    </xf>
    <xf numFmtId="0" fontId="48" fillId="0" borderId="0" xfId="24" applyFont="1" applyAlignment="1">
      <alignment horizontal="left" vertical="center" wrapText="1"/>
    </xf>
    <xf numFmtId="0" fontId="90" fillId="0" borderId="0" xfId="0" applyFont="1" applyAlignment="1">
      <alignment horizontal="left" vertical="center"/>
    </xf>
    <xf numFmtId="164" fontId="55" fillId="0" borderId="0" xfId="0" applyNumberFormat="1" applyFont="1" applyAlignment="1">
      <alignment horizontal="left" vertical="center" wrapText="1"/>
    </xf>
    <xf numFmtId="164" fontId="48" fillId="0" borderId="100" xfId="0" applyNumberFormat="1" applyFont="1" applyBorder="1" applyAlignment="1">
      <alignment horizontal="left" vertical="center" wrapText="1"/>
    </xf>
    <xf numFmtId="164" fontId="48" fillId="0" borderId="181" xfId="0" applyNumberFormat="1" applyFont="1" applyBorder="1" applyAlignment="1">
      <alignment horizontal="left" vertical="center"/>
    </xf>
    <xf numFmtId="164" fontId="48" fillId="0" borderId="89" xfId="0" applyNumberFormat="1" applyFont="1" applyBorder="1" applyAlignment="1">
      <alignment horizontal="left" vertical="center" wrapText="1"/>
    </xf>
    <xf numFmtId="164" fontId="45" fillId="0" borderId="89" xfId="0" applyNumberFormat="1" applyFont="1" applyBorder="1" applyAlignment="1">
      <alignment horizontal="left" vertical="center" wrapText="1"/>
    </xf>
    <xf numFmtId="164" fontId="48" fillId="0" borderId="150" xfId="0" applyNumberFormat="1" applyFont="1" applyBorder="1" applyAlignment="1">
      <alignment horizontal="left" vertical="center"/>
    </xf>
    <xf numFmtId="164" fontId="48" fillId="0" borderId="137" xfId="0" applyNumberFormat="1" applyFont="1" applyBorder="1" applyAlignment="1">
      <alignment horizontal="left" vertical="center" wrapText="1"/>
    </xf>
    <xf numFmtId="164" fontId="48" fillId="0" borderId="96" xfId="0" applyNumberFormat="1" applyFont="1" applyBorder="1" applyAlignment="1">
      <alignment horizontal="left" vertical="center" wrapText="1"/>
    </xf>
    <xf numFmtId="164" fontId="45" fillId="0" borderId="150" xfId="0" applyNumberFormat="1" applyFont="1" applyBorder="1" applyAlignment="1">
      <alignment horizontal="left" vertical="center"/>
    </xf>
    <xf numFmtId="2" fontId="48" fillId="0" borderId="137" xfId="0" applyNumberFormat="1" applyFont="1" applyBorder="1" applyAlignment="1">
      <alignment horizontal="left" vertical="center" wrapText="1"/>
    </xf>
    <xf numFmtId="164" fontId="48" fillId="0" borderId="138" xfId="0" applyNumberFormat="1" applyFont="1" applyBorder="1" applyAlignment="1">
      <alignment horizontal="left" vertical="center" wrapText="1"/>
    </xf>
    <xf numFmtId="164" fontId="45" fillId="0" borderId="137" xfId="0" applyNumberFormat="1" applyFont="1" applyBorder="1" applyAlignment="1">
      <alignment horizontal="left" vertical="center" wrapText="1"/>
    </xf>
    <xf numFmtId="2" fontId="48" fillId="0" borderId="125" xfId="0" applyNumberFormat="1" applyFont="1" applyBorder="1" applyAlignment="1">
      <alignment horizontal="left" vertical="center" wrapText="1"/>
    </xf>
    <xf numFmtId="164" fontId="48" fillId="0" borderId="90" xfId="0" quotePrefix="1" applyNumberFormat="1" applyFont="1" applyBorder="1" applyAlignment="1">
      <alignment horizontal="left" vertical="center" wrapText="1"/>
    </xf>
    <xf numFmtId="2" fontId="45" fillId="0" borderId="137" xfId="0" applyNumberFormat="1" applyFont="1" applyBorder="1" applyAlignment="1">
      <alignment horizontal="left" vertical="center" wrapText="1"/>
    </xf>
    <xf numFmtId="2" fontId="45" fillId="0" borderId="125" xfId="0" applyNumberFormat="1" applyFont="1" applyBorder="1" applyAlignment="1">
      <alignment horizontal="left" vertical="center" wrapText="1"/>
    </xf>
    <xf numFmtId="164" fontId="34" fillId="0" borderId="0" xfId="0" applyNumberFormat="1" applyFont="1" applyAlignment="1">
      <alignment horizontal="left" vertical="center"/>
    </xf>
    <xf numFmtId="2" fontId="6" fillId="0" borderId="202" xfId="0" applyNumberFormat="1" applyFont="1" applyBorder="1" applyAlignment="1">
      <alignment horizontal="left" vertical="center"/>
    </xf>
    <xf numFmtId="0" fontId="6" fillId="0" borderId="150" xfId="0" applyFont="1" applyBorder="1" applyAlignment="1">
      <alignment horizontal="left" vertical="center"/>
    </xf>
    <xf numFmtId="2" fontId="6" fillId="0" borderId="90" xfId="0" applyNumberFormat="1" applyFont="1" applyBorder="1" applyAlignment="1">
      <alignment horizontal="left" vertical="center" wrapText="1"/>
    </xf>
    <xf numFmtId="2" fontId="6" fillId="0" borderId="90" xfId="0" applyNumberFormat="1" applyFont="1" applyBorder="1" applyAlignment="1">
      <alignment horizontal="left" vertical="center"/>
    </xf>
    <xf numFmtId="164" fontId="48" fillId="0" borderId="184" xfId="0" quotePrefix="1" applyNumberFormat="1" applyFont="1" applyBorder="1" applyAlignment="1">
      <alignment horizontal="left" vertical="center" wrapText="1"/>
    </xf>
    <xf numFmtId="164" fontId="48" fillId="0" borderId="150" xfId="0" applyNumberFormat="1" applyFont="1" applyBorder="1" applyAlignment="1">
      <alignment horizontal="left" vertical="center" wrapText="1"/>
    </xf>
    <xf numFmtId="164" fontId="48" fillId="0" borderId="138" xfId="0" applyNumberFormat="1" applyFont="1" applyBorder="1" applyAlignment="1">
      <alignment horizontal="left" vertical="center"/>
    </xf>
    <xf numFmtId="164" fontId="48" fillId="0" borderId="183" xfId="0" applyNumberFormat="1" applyFont="1" applyBorder="1" applyAlignment="1">
      <alignment horizontal="left" vertical="center" wrapText="1"/>
    </xf>
    <xf numFmtId="0" fontId="48" fillId="0" borderId="77" xfId="0" applyFont="1" applyBorder="1" applyAlignment="1">
      <alignment horizontal="left" vertical="center" wrapText="1"/>
    </xf>
    <xf numFmtId="164" fontId="45" fillId="0" borderId="0" xfId="0" applyNumberFormat="1" applyFont="1" applyAlignment="1">
      <alignment horizontal="left" vertical="center" wrapText="1"/>
    </xf>
    <xf numFmtId="164" fontId="0" fillId="0" borderId="0" xfId="0" applyNumberFormat="1" applyAlignment="1">
      <alignment horizontal="left" vertical="center"/>
    </xf>
    <xf numFmtId="2" fontId="48" fillId="0" borderId="184" xfId="0" applyNumberFormat="1" applyFont="1" applyBorder="1" applyAlignment="1">
      <alignment horizontal="left" vertical="center" wrapText="1"/>
    </xf>
    <xf numFmtId="2" fontId="48" fillId="0" borderId="150" xfId="0" applyNumberFormat="1" applyFont="1" applyBorder="1" applyAlignment="1">
      <alignment horizontal="left" vertical="center" wrapText="1"/>
    </xf>
    <xf numFmtId="2" fontId="48" fillId="0" borderId="150" xfId="0" applyNumberFormat="1" applyFont="1" applyBorder="1" applyAlignment="1">
      <alignment horizontal="left" vertical="center"/>
    </xf>
    <xf numFmtId="164" fontId="52" fillId="0" borderId="0" xfId="0" applyNumberFormat="1" applyFont="1" applyAlignment="1">
      <alignment horizontal="left" vertical="center"/>
    </xf>
    <xf numFmtId="2" fontId="48" fillId="0" borderId="0" xfId="0" applyNumberFormat="1" applyFont="1" applyAlignment="1">
      <alignment horizontal="left" vertical="center"/>
    </xf>
    <xf numFmtId="0" fontId="48" fillId="0" borderId="181" xfId="0" applyFont="1" applyBorder="1" applyAlignment="1">
      <alignment horizontal="left" vertical="center"/>
    </xf>
    <xf numFmtId="0" fontId="45" fillId="0" borderId="6" xfId="0" applyFont="1" applyBorder="1" applyAlignment="1">
      <alignment horizontal="left" vertical="center"/>
    </xf>
    <xf numFmtId="0" fontId="0" fillId="0" borderId="186" xfId="0" quotePrefix="1" applyBorder="1" applyAlignment="1">
      <alignment horizontal="left" vertical="center"/>
    </xf>
    <xf numFmtId="0" fontId="6" fillId="0" borderId="202" xfId="0" applyFont="1" applyBorder="1" applyAlignment="1">
      <alignment horizontal="left" vertical="center"/>
    </xf>
    <xf numFmtId="0" fontId="48" fillId="0" borderId="180" xfId="0" applyFont="1" applyBorder="1" applyAlignment="1">
      <alignment horizontal="left" vertical="center" wrapText="1"/>
    </xf>
    <xf numFmtId="0" fontId="48" fillId="0" borderId="77" xfId="0" quotePrefix="1" applyFont="1" applyBorder="1" applyAlignment="1">
      <alignment horizontal="left" vertical="center" wrapText="1"/>
    </xf>
    <xf numFmtId="0" fontId="48" fillId="0" borderId="10" xfId="0" quotePrefix="1" applyFont="1" applyBorder="1" applyAlignment="1">
      <alignment horizontal="left" vertical="center" wrapText="1"/>
    </xf>
    <xf numFmtId="0" fontId="48" fillId="0" borderId="150" xfId="0" quotePrefix="1" applyFont="1" applyBorder="1" applyAlignment="1">
      <alignment horizontal="left" vertical="center"/>
    </xf>
    <xf numFmtId="0" fontId="10" fillId="0" borderId="90" xfId="0" applyFont="1" applyBorder="1" applyAlignment="1">
      <alignment horizontal="left" vertical="center" wrapText="1"/>
    </xf>
    <xf numFmtId="0" fontId="48" fillId="0" borderId="106" xfId="0" quotePrefix="1" applyFont="1" applyBorder="1" applyAlignment="1">
      <alignment horizontal="left" vertical="center" wrapText="1"/>
    </xf>
    <xf numFmtId="0" fontId="48" fillId="0" borderId="125" xfId="0" quotePrefix="1" applyFont="1" applyBorder="1" applyAlignment="1">
      <alignment horizontal="left" vertical="center" wrapText="1"/>
    </xf>
    <xf numFmtId="0" fontId="48" fillId="0" borderId="197" xfId="0" applyFont="1" applyBorder="1" applyAlignment="1">
      <alignment horizontal="left" vertical="center"/>
    </xf>
    <xf numFmtId="0" fontId="5" fillId="0" borderId="150" xfId="0" applyFont="1" applyBorder="1" applyAlignment="1">
      <alignment horizontal="left" vertical="center"/>
    </xf>
    <xf numFmtId="0" fontId="6" fillId="0" borderId="90" xfId="0" applyFont="1" applyBorder="1" applyAlignment="1">
      <alignment horizontal="left" vertical="center"/>
    </xf>
    <xf numFmtId="0" fontId="6" fillId="0" borderId="183" xfId="0" applyFont="1" applyBorder="1" applyAlignment="1">
      <alignment horizontal="left" vertical="center"/>
    </xf>
    <xf numFmtId="0" fontId="45" fillId="0" borderId="133" xfId="0" applyFont="1" applyBorder="1" applyAlignment="1">
      <alignment horizontal="left" vertical="center" wrapText="1"/>
    </xf>
    <xf numFmtId="0" fontId="48" fillId="0" borderId="101" xfId="0" applyFont="1" applyBorder="1" applyAlignment="1">
      <alignment horizontal="left" vertical="center" wrapText="1"/>
    </xf>
    <xf numFmtId="0" fontId="48" fillId="0" borderId="194" xfId="0" applyFont="1" applyBorder="1" applyAlignment="1">
      <alignment horizontal="left" vertical="center"/>
    </xf>
    <xf numFmtId="0" fontId="45" fillId="0" borderId="98" xfId="0" applyFont="1" applyBorder="1" applyAlignment="1">
      <alignment vertical="center" wrapText="1"/>
    </xf>
    <xf numFmtId="0" fontId="48" fillId="0" borderId="194" xfId="0" applyFont="1" applyBorder="1" applyAlignment="1">
      <alignment horizontal="center" vertical="center"/>
    </xf>
    <xf numFmtId="0" fontId="48" fillId="0" borderId="127" xfId="0" applyFont="1" applyBorder="1" applyAlignment="1">
      <alignment horizontal="center" vertical="center" wrapText="1"/>
    </xf>
    <xf numFmtId="0" fontId="48" fillId="0" borderId="98" xfId="0" applyFont="1" applyBorder="1" applyAlignment="1">
      <alignment horizontal="center" vertical="center" wrapText="1"/>
    </xf>
    <xf numFmtId="0" fontId="48" fillId="0" borderId="151" xfId="0" applyFont="1" applyBorder="1" applyAlignment="1">
      <alignment horizontal="left" vertical="center"/>
    </xf>
    <xf numFmtId="0" fontId="45" fillId="0" borderId="151" xfId="0" applyFont="1" applyBorder="1" applyAlignment="1">
      <alignment horizontal="left" vertical="center"/>
    </xf>
    <xf numFmtId="0" fontId="45" fillId="0" borderId="98" xfId="0" applyFont="1" applyBorder="1" applyAlignment="1">
      <alignment horizontal="left" vertical="center" wrapText="1"/>
    </xf>
    <xf numFmtId="0" fontId="45" fillId="0" borderId="127" xfId="0" applyFont="1" applyBorder="1" applyAlignment="1">
      <alignment horizontal="center" vertical="center" wrapText="1"/>
    </xf>
    <xf numFmtId="0" fontId="45" fillId="0" borderId="129" xfId="0" applyFont="1" applyBorder="1" applyAlignment="1">
      <alignment horizontal="center" vertical="center" wrapText="1"/>
    </xf>
    <xf numFmtId="0" fontId="45" fillId="0" borderId="94" xfId="0" applyFont="1" applyBorder="1" applyAlignment="1">
      <alignment horizontal="center" vertical="center" wrapText="1"/>
    </xf>
    <xf numFmtId="0" fontId="0" fillId="0" borderId="198" xfId="0" applyBorder="1" applyAlignment="1">
      <alignment horizontal="left" vertical="center"/>
    </xf>
    <xf numFmtId="0" fontId="6" fillId="0" borderId="203" xfId="0" applyFont="1" applyBorder="1" applyAlignment="1">
      <alignment horizontal="left" vertical="center"/>
    </xf>
    <xf numFmtId="0" fontId="6" fillId="0" borderId="194" xfId="0" applyFont="1" applyBorder="1" applyAlignment="1">
      <alignment horizontal="left" vertical="center"/>
    </xf>
    <xf numFmtId="0" fontId="6" fillId="0" borderId="94" xfId="0" applyFont="1" applyBorder="1" applyAlignment="1">
      <alignment horizontal="left" vertical="center"/>
    </xf>
    <xf numFmtId="0" fontId="6" fillId="0" borderId="190" xfId="0" applyFont="1" applyBorder="1" applyAlignment="1">
      <alignment horizontal="left" vertical="center"/>
    </xf>
    <xf numFmtId="0" fontId="48" fillId="0" borderId="168" xfId="0" quotePrefix="1" applyFont="1" applyBorder="1" applyAlignment="1">
      <alignment horizontal="left" vertical="center" wrapText="1"/>
    </xf>
    <xf numFmtId="0" fontId="48" fillId="0" borderId="94" xfId="0" quotePrefix="1" applyFont="1" applyBorder="1" applyAlignment="1">
      <alignment horizontal="left" vertical="center" wrapText="1"/>
    </xf>
    <xf numFmtId="0" fontId="48" fillId="0" borderId="151" xfId="0" quotePrefix="1" applyFont="1" applyBorder="1" applyAlignment="1">
      <alignment horizontal="left" vertical="center" wrapText="1"/>
    </xf>
    <xf numFmtId="0" fontId="48" fillId="0" borderId="194" xfId="0" quotePrefix="1" applyFont="1" applyBorder="1" applyAlignment="1">
      <alignment horizontal="left" vertical="center"/>
    </xf>
    <xf numFmtId="0" fontId="48" fillId="0" borderId="190" xfId="0" quotePrefix="1" applyFont="1" applyBorder="1" applyAlignment="1">
      <alignment horizontal="left" vertical="center" wrapText="1"/>
    </xf>
    <xf numFmtId="0" fontId="48" fillId="0" borderId="78" xfId="0" applyFont="1" applyBorder="1" applyAlignment="1">
      <alignment horizontal="center" vertical="center" wrapText="1"/>
    </xf>
    <xf numFmtId="0" fontId="48" fillId="0" borderId="11" xfId="0" applyFont="1" applyBorder="1" applyAlignment="1">
      <alignment horizontal="center" vertical="center" wrapText="1"/>
    </xf>
    <xf numFmtId="0" fontId="45" fillId="0" borderId="127" xfId="0" applyFont="1" applyBorder="1" applyAlignment="1">
      <alignment vertical="center" wrapText="1"/>
    </xf>
    <xf numFmtId="0" fontId="45" fillId="0" borderId="129" xfId="0" applyFont="1" applyBorder="1" applyAlignment="1">
      <alignment vertical="center" wrapText="1"/>
    </xf>
    <xf numFmtId="0" fontId="48" fillId="0" borderId="168" xfId="0" applyFont="1" applyBorder="1" applyAlignment="1">
      <alignment vertical="center" wrapText="1"/>
    </xf>
    <xf numFmtId="0" fontId="48" fillId="0" borderId="151" xfId="0" applyFont="1" applyBorder="1" applyAlignment="1">
      <alignment vertical="center" wrapText="1"/>
    </xf>
    <xf numFmtId="0" fontId="48" fillId="0" borderId="0" xfId="0" applyFont="1" applyAlignment="1">
      <alignment horizontal="center" vertical="center"/>
    </xf>
    <xf numFmtId="0" fontId="56" fillId="7" borderId="208" xfId="0" applyFont="1" applyFill="1" applyBorder="1" applyAlignment="1">
      <alignment horizontal="left" vertical="center"/>
    </xf>
    <xf numFmtId="0" fontId="56" fillId="7" borderId="204" xfId="0" applyFont="1" applyFill="1" applyBorder="1" applyAlignment="1">
      <alignment horizontal="left" vertical="center"/>
    </xf>
    <xf numFmtId="0" fontId="72" fillId="7" borderId="209" xfId="0" applyFont="1" applyFill="1" applyBorder="1" applyAlignment="1">
      <alignment horizontal="left" vertical="center"/>
    </xf>
    <xf numFmtId="0" fontId="72" fillId="7" borderId="205" xfId="0" applyFont="1" applyFill="1" applyBorder="1" applyAlignment="1">
      <alignment horizontal="left" vertical="center"/>
    </xf>
    <xf numFmtId="0" fontId="56" fillId="7" borderId="209" xfId="0" applyFont="1" applyFill="1" applyBorder="1" applyAlignment="1">
      <alignment horizontal="left" vertical="center"/>
    </xf>
    <xf numFmtId="0" fontId="56" fillId="7" borderId="205" xfId="0" applyFont="1" applyFill="1" applyBorder="1" applyAlignment="1">
      <alignment horizontal="left" vertical="center"/>
    </xf>
    <xf numFmtId="0" fontId="56" fillId="7" borderId="210" xfId="0" applyFont="1" applyFill="1" applyBorder="1" applyAlignment="1">
      <alignment horizontal="left" vertical="center"/>
    </xf>
    <xf numFmtId="0" fontId="56" fillId="7" borderId="206" xfId="0" applyFont="1" applyFill="1" applyBorder="1" applyAlignment="1">
      <alignment horizontal="left" vertical="center"/>
    </xf>
    <xf numFmtId="2" fontId="55" fillId="22" borderId="6" xfId="0" applyNumberFormat="1" applyFont="1" applyFill="1" applyBorder="1" applyAlignment="1">
      <alignment horizontal="center" vertical="center" wrapText="1"/>
    </xf>
    <xf numFmtId="165" fontId="55" fillId="10" borderId="150" xfId="0" applyNumberFormat="1" applyFont="1" applyFill="1" applyBorder="1" applyAlignment="1">
      <alignment horizontal="center" vertical="center" wrapText="1"/>
    </xf>
    <xf numFmtId="165" fontId="56" fillId="44" borderId="10" xfId="0" applyNumberFormat="1" applyFont="1" applyFill="1" applyBorder="1" applyAlignment="1">
      <alignment horizontal="center" vertical="center" wrapText="1"/>
    </xf>
    <xf numFmtId="0" fontId="45" fillId="0" borderId="181" xfId="0" applyFont="1" applyBorder="1" applyAlignment="1">
      <alignment horizontal="left" vertical="center"/>
    </xf>
    <xf numFmtId="0" fontId="45" fillId="0" borderId="14" xfId="0" applyFont="1" applyBorder="1" applyAlignment="1">
      <alignment horizontal="left" vertical="center"/>
    </xf>
    <xf numFmtId="0" fontId="48" fillId="47" borderId="193" xfId="0" applyFont="1" applyFill="1" applyBorder="1" applyAlignment="1">
      <alignment horizontal="left" vertical="center" wrapText="1"/>
    </xf>
    <xf numFmtId="2" fontId="48" fillId="47" borderId="181" xfId="0" applyNumberFormat="1" applyFont="1" applyFill="1" applyBorder="1" applyAlignment="1">
      <alignment horizontal="left" vertical="center" wrapText="1"/>
    </xf>
    <xf numFmtId="2" fontId="48" fillId="47" borderId="181" xfId="0" applyNumberFormat="1" applyFont="1" applyFill="1" applyBorder="1" applyAlignment="1">
      <alignment horizontal="center" vertical="center" wrapText="1"/>
    </xf>
    <xf numFmtId="0" fontId="48" fillId="47" borderId="181" xfId="0" applyFont="1" applyFill="1" applyBorder="1" applyAlignment="1">
      <alignment horizontal="center" vertical="center" wrapText="1"/>
    </xf>
    <xf numFmtId="0" fontId="48" fillId="47" borderId="194" xfId="0" applyFont="1" applyFill="1" applyBorder="1" applyAlignment="1">
      <alignment horizontal="left" vertical="center"/>
    </xf>
    <xf numFmtId="0" fontId="48" fillId="47" borderId="189" xfId="0" applyFont="1" applyFill="1" applyBorder="1" applyAlignment="1">
      <alignment horizontal="left" vertical="center" wrapText="1"/>
    </xf>
    <xf numFmtId="2" fontId="48" fillId="47" borderId="183" xfId="0" applyNumberFormat="1" applyFont="1" applyFill="1" applyBorder="1" applyAlignment="1">
      <alignment horizontal="left" vertical="center" wrapText="1"/>
    </xf>
    <xf numFmtId="2" fontId="48" fillId="47" borderId="183" xfId="0" applyNumberFormat="1" applyFont="1" applyFill="1" applyBorder="1" applyAlignment="1">
      <alignment horizontal="center" vertical="center" wrapText="1"/>
    </xf>
    <xf numFmtId="0" fontId="48" fillId="47" borderId="183" xfId="0" applyFont="1" applyFill="1" applyBorder="1" applyAlignment="1">
      <alignment horizontal="center" vertical="center" wrapText="1"/>
    </xf>
    <xf numFmtId="0" fontId="48" fillId="47" borderId="190" xfId="0" applyFont="1" applyFill="1" applyBorder="1" applyAlignment="1">
      <alignment horizontal="left" vertical="center"/>
    </xf>
    <xf numFmtId="166" fontId="52" fillId="9" borderId="181" xfId="0" applyNumberFormat="1" applyFont="1" applyFill="1" applyBorder="1" applyAlignment="1">
      <alignment horizontal="left" vertical="center" wrapText="1"/>
    </xf>
    <xf numFmtId="166" fontId="52" fillId="9" borderId="181" xfId="0" applyNumberFormat="1" applyFont="1" applyFill="1" applyBorder="1" applyAlignment="1">
      <alignment horizontal="center" vertical="center" wrapText="1"/>
    </xf>
    <xf numFmtId="0" fontId="52" fillId="9" borderId="181" xfId="0" applyFont="1" applyFill="1" applyBorder="1" applyAlignment="1">
      <alignment horizontal="center" vertical="center" wrapText="1"/>
    </xf>
    <xf numFmtId="0" fontId="52" fillId="9" borderId="181" xfId="0" applyFont="1" applyFill="1" applyBorder="1" applyAlignment="1">
      <alignment horizontal="left" vertical="center" wrapText="1"/>
    </xf>
    <xf numFmtId="0" fontId="66" fillId="0" borderId="193" xfId="0" applyFont="1" applyBorder="1" applyAlignment="1">
      <alignment horizontal="left"/>
    </xf>
    <xf numFmtId="0" fontId="0" fillId="0" borderId="181" xfId="0" applyBorder="1" applyAlignment="1">
      <alignment horizontal="left"/>
    </xf>
    <xf numFmtId="11" fontId="14" fillId="0" borderId="181" xfId="35" applyNumberFormat="1" applyBorder="1" applyAlignment="1">
      <alignment horizontal="center"/>
    </xf>
    <xf numFmtId="0" fontId="4" fillId="0" borderId="181" xfId="39" applyFont="1" applyBorder="1" applyAlignment="1">
      <alignment horizontal="center"/>
    </xf>
    <xf numFmtId="0" fontId="45" fillId="0" borderId="181" xfId="0" applyFont="1" applyBorder="1" applyAlignment="1">
      <alignment horizontal="center"/>
    </xf>
    <xf numFmtId="0" fontId="0" fillId="0" borderId="181" xfId="0" applyBorder="1" applyAlignment="1">
      <alignment horizontal="center"/>
    </xf>
    <xf numFmtId="0" fontId="0" fillId="0" borderId="181" xfId="0" applyBorder="1"/>
    <xf numFmtId="0" fontId="0" fillId="0" borderId="194" xfId="0" applyBorder="1"/>
    <xf numFmtId="0" fontId="45" fillId="0" borderId="193" xfId="0" applyFont="1" applyBorder="1" applyAlignment="1">
      <alignment horizontal="left" vertical="center" wrapText="1"/>
    </xf>
    <xf numFmtId="0" fontId="45" fillId="0" borderId="181" xfId="0" applyFont="1" applyBorder="1" applyAlignment="1">
      <alignment horizontal="left" vertical="center" wrapText="1"/>
    </xf>
    <xf numFmtId="8" fontId="48" fillId="0" borderId="181" xfId="0" applyNumberFormat="1" applyFont="1" applyBorder="1" applyAlignment="1">
      <alignment horizontal="left" vertical="center" wrapText="1"/>
    </xf>
    <xf numFmtId="164" fontId="45" fillId="0" borderId="181" xfId="0" applyNumberFormat="1" applyFont="1" applyBorder="1" applyAlignment="1">
      <alignment horizontal="left" vertical="center" wrapText="1"/>
    </xf>
    <xf numFmtId="0" fontId="45" fillId="0" borderId="194" xfId="0" applyFont="1" applyBorder="1" applyAlignment="1">
      <alignment horizontal="left" vertical="center" wrapText="1"/>
    </xf>
    <xf numFmtId="0" fontId="45" fillId="0" borderId="189" xfId="0" applyFont="1" applyBorder="1" applyAlignment="1">
      <alignment horizontal="left" vertical="center" wrapText="1"/>
    </xf>
    <xf numFmtId="0" fontId="45" fillId="0" borderId="183" xfId="0" applyFont="1" applyBorder="1" applyAlignment="1">
      <alignment horizontal="left" vertical="center" wrapText="1"/>
    </xf>
    <xf numFmtId="8" fontId="48" fillId="0" borderId="183" xfId="0" applyNumberFormat="1" applyFont="1" applyBorder="1" applyAlignment="1">
      <alignment horizontal="left" vertical="center" wrapText="1"/>
    </xf>
    <xf numFmtId="164" fontId="45" fillId="0" borderId="183" xfId="0" applyNumberFormat="1" applyFont="1" applyBorder="1" applyAlignment="1">
      <alignment horizontal="left" vertical="center" wrapText="1"/>
    </xf>
    <xf numFmtId="0" fontId="48" fillId="0" borderId="183" xfId="0" applyFont="1" applyBorder="1" applyAlignment="1">
      <alignment horizontal="left" vertical="center"/>
    </xf>
    <xf numFmtId="0" fontId="45" fillId="0" borderId="190" xfId="0" applyFont="1" applyBorder="1" applyAlignment="1">
      <alignment horizontal="left" vertical="center" wrapText="1"/>
    </xf>
    <xf numFmtId="0" fontId="45" fillId="0" borderId="193" xfId="0" applyFont="1" applyBorder="1" applyAlignment="1">
      <alignment horizontal="left" vertical="center"/>
    </xf>
    <xf numFmtId="164" fontId="45" fillId="0" borderId="181" xfId="0" applyNumberFormat="1" applyFont="1" applyBorder="1" applyAlignment="1">
      <alignment horizontal="left" vertical="center"/>
    </xf>
    <xf numFmtId="0" fontId="45" fillId="8" borderId="213" xfId="0" quotePrefix="1" applyFont="1" applyFill="1" applyBorder="1" applyAlignment="1">
      <alignment horizontal="center" vertical="center"/>
    </xf>
    <xf numFmtId="0" fontId="45" fillId="8" borderId="181" xfId="0" quotePrefix="1" applyFont="1" applyFill="1" applyBorder="1" applyAlignment="1">
      <alignment horizontal="center" vertical="center"/>
    </xf>
    <xf numFmtId="0" fontId="45" fillId="21" borderId="181" xfId="0" quotePrefix="1" applyFont="1" applyFill="1" applyBorder="1" applyAlignment="1">
      <alignment horizontal="center" vertical="center"/>
    </xf>
    <xf numFmtId="0" fontId="45" fillId="11" borderId="181" xfId="0" quotePrefix="1" applyFont="1" applyFill="1" applyBorder="1" applyAlignment="1">
      <alignment horizontal="center" vertical="center"/>
    </xf>
    <xf numFmtId="0" fontId="45" fillId="11" borderId="181" xfId="0" applyFont="1" applyFill="1" applyBorder="1" applyAlignment="1">
      <alignment horizontal="center" vertical="center"/>
    </xf>
    <xf numFmtId="0" fontId="45" fillId="10" borderId="181" xfId="0" applyFont="1" applyFill="1" applyBorder="1" applyAlignment="1">
      <alignment horizontal="center" vertical="center"/>
    </xf>
    <xf numFmtId="0" fontId="45" fillId="22" borderId="181" xfId="0" applyFont="1" applyFill="1" applyBorder="1" applyAlignment="1">
      <alignment horizontal="center" vertical="center"/>
    </xf>
    <xf numFmtId="0" fontId="45" fillId="44" borderId="181" xfId="0" applyFont="1" applyFill="1" applyBorder="1" applyAlignment="1">
      <alignment horizontal="center" vertical="center"/>
    </xf>
    <xf numFmtId="0" fontId="45" fillId="20" borderId="181" xfId="0" quotePrefix="1" applyFont="1" applyFill="1" applyBorder="1" applyAlignment="1">
      <alignment horizontal="center" vertical="center"/>
    </xf>
    <xf numFmtId="0" fontId="45" fillId="20" borderId="181" xfId="0" applyFont="1" applyFill="1" applyBorder="1" applyAlignment="1">
      <alignment horizontal="center" vertical="center"/>
    </xf>
    <xf numFmtId="0" fontId="45" fillId="12" borderId="181" xfId="0" quotePrefix="1" applyFont="1" applyFill="1" applyBorder="1" applyAlignment="1">
      <alignment horizontal="center" vertical="center"/>
    </xf>
    <xf numFmtId="0" fontId="45" fillId="12" borderId="181" xfId="0" applyFont="1" applyFill="1" applyBorder="1" applyAlignment="1">
      <alignment horizontal="center" vertical="center"/>
    </xf>
    <xf numFmtId="0" fontId="45" fillId="18" borderId="181" xfId="0" quotePrefix="1" applyFont="1" applyFill="1" applyBorder="1" applyAlignment="1">
      <alignment horizontal="center" vertical="center"/>
    </xf>
    <xf numFmtId="0" fontId="45" fillId="18" borderId="181" xfId="0" applyFont="1" applyFill="1" applyBorder="1" applyAlignment="1">
      <alignment horizontal="center" vertical="center"/>
    </xf>
    <xf numFmtId="0" fontId="45" fillId="41" borderId="181" xfId="0" applyFont="1" applyFill="1" applyBorder="1" applyAlignment="1">
      <alignment horizontal="center" vertical="center"/>
    </xf>
    <xf numFmtId="0" fontId="45" fillId="9" borderId="181" xfId="0" applyFont="1" applyFill="1" applyBorder="1" applyAlignment="1">
      <alignment horizontal="center" vertical="center"/>
    </xf>
    <xf numFmtId="0" fontId="45" fillId="7" borderId="181" xfId="0" applyFont="1" applyFill="1" applyBorder="1" applyAlignment="1">
      <alignment horizontal="center" vertical="center"/>
    </xf>
    <xf numFmtId="0" fontId="45" fillId="7" borderId="181" xfId="0" quotePrefix="1" applyFont="1" applyFill="1" applyBorder="1" applyAlignment="1">
      <alignment horizontal="center" vertical="center"/>
    </xf>
    <xf numFmtId="0" fontId="45" fillId="16" borderId="181" xfId="0" quotePrefix="1" applyFont="1" applyFill="1" applyBorder="1" applyAlignment="1">
      <alignment horizontal="center" vertical="center"/>
    </xf>
    <xf numFmtId="0" fontId="45" fillId="9" borderId="181" xfId="0" quotePrefix="1" applyFont="1" applyFill="1" applyBorder="1" applyAlignment="1">
      <alignment horizontal="center" vertical="center"/>
    </xf>
    <xf numFmtId="0" fontId="45" fillId="15" borderId="181" xfId="0" quotePrefix="1" applyFont="1" applyFill="1" applyBorder="1" applyAlignment="1">
      <alignment horizontal="center" vertical="center"/>
    </xf>
    <xf numFmtId="0" fontId="56" fillId="38" borderId="181" xfId="0" applyFont="1" applyFill="1" applyBorder="1" applyAlignment="1">
      <alignment horizontal="center" vertical="center"/>
    </xf>
    <xf numFmtId="0" fontId="45" fillId="4" borderId="181" xfId="0" quotePrefix="1" applyFont="1" applyFill="1" applyBorder="1" applyAlignment="1">
      <alignment horizontal="center" vertical="center"/>
    </xf>
    <xf numFmtId="0" fontId="45" fillId="5" borderId="213" xfId="0" applyFont="1" applyFill="1" applyBorder="1" applyAlignment="1">
      <alignment horizontal="center" vertical="center"/>
    </xf>
    <xf numFmtId="0" fontId="45" fillId="5" borderId="181" xfId="0" applyFont="1" applyFill="1" applyBorder="1" applyAlignment="1">
      <alignment horizontal="center" vertical="center"/>
    </xf>
    <xf numFmtId="0" fontId="48" fillId="5" borderId="181" xfId="0" applyFont="1" applyFill="1" applyBorder="1" applyAlignment="1">
      <alignment horizontal="center" vertical="center"/>
    </xf>
    <xf numFmtId="0" fontId="28" fillId="47" borderId="193" xfId="0" applyFont="1" applyFill="1" applyBorder="1" applyAlignment="1">
      <alignment horizontal="center" vertical="center"/>
    </xf>
    <xf numFmtId="0" fontId="28" fillId="47" borderId="181" xfId="0" applyFont="1" applyFill="1" applyBorder="1" applyAlignment="1">
      <alignment horizontal="center" vertical="center"/>
    </xf>
    <xf numFmtId="0" fontId="0" fillId="47" borderId="181" xfId="0" applyFill="1" applyBorder="1" applyAlignment="1">
      <alignment horizontal="left" vertical="center"/>
    </xf>
    <xf numFmtId="0" fontId="0" fillId="47" borderId="181" xfId="0" applyFill="1" applyBorder="1" applyAlignment="1">
      <alignment horizontal="center" vertical="center"/>
    </xf>
    <xf numFmtId="0" fontId="0" fillId="47" borderId="181" xfId="0" quotePrefix="1" applyFill="1" applyBorder="1" applyAlignment="1">
      <alignment horizontal="center" vertical="center"/>
    </xf>
    <xf numFmtId="0" fontId="45" fillId="47" borderId="181" xfId="0" applyFont="1" applyFill="1" applyBorder="1" applyAlignment="1">
      <alignment horizontal="left" vertical="center"/>
    </xf>
    <xf numFmtId="0" fontId="0" fillId="47" borderId="194" xfId="0" applyFill="1" applyBorder="1"/>
    <xf numFmtId="0" fontId="52" fillId="9" borderId="93" xfId="0" applyFont="1" applyFill="1" applyBorder="1" applyAlignment="1">
      <alignment horizontal="left" vertical="center" wrapText="1"/>
    </xf>
    <xf numFmtId="164" fontId="52" fillId="9" borderId="90" xfId="0" applyNumberFormat="1" applyFont="1" applyFill="1" applyBorder="1" applyAlignment="1">
      <alignment horizontal="center" vertical="center" wrapText="1"/>
    </xf>
    <xf numFmtId="0" fontId="52" fillId="9" borderId="90" xfId="0" applyFont="1" applyFill="1" applyBorder="1" applyAlignment="1">
      <alignment horizontal="center" vertical="center" wrapText="1"/>
    </xf>
    <xf numFmtId="0" fontId="52" fillId="9" borderId="90" xfId="0" applyFont="1" applyFill="1" applyBorder="1" applyAlignment="1">
      <alignment horizontal="left" vertical="center" wrapText="1"/>
    </xf>
    <xf numFmtId="0" fontId="52" fillId="9" borderId="94" xfId="0" applyFont="1" applyFill="1" applyBorder="1" applyAlignment="1">
      <alignment horizontal="left" vertical="center" wrapText="1"/>
    </xf>
    <xf numFmtId="164" fontId="52" fillId="9" borderId="90" xfId="0" applyNumberFormat="1" applyFont="1" applyFill="1" applyBorder="1" applyAlignment="1">
      <alignment horizontal="left" vertical="center" wrapText="1"/>
    </xf>
    <xf numFmtId="0" fontId="52" fillId="9" borderId="152" xfId="0" applyFont="1" applyFill="1" applyBorder="1" applyAlignment="1">
      <alignment horizontal="left" vertical="center" wrapText="1"/>
    </xf>
    <xf numFmtId="0" fontId="52" fillId="9" borderId="151" xfId="0" applyFont="1" applyFill="1" applyBorder="1" applyAlignment="1">
      <alignment horizontal="left" vertical="center" wrapText="1"/>
    </xf>
    <xf numFmtId="0" fontId="45" fillId="9" borderId="151" xfId="0" applyFont="1" applyFill="1" applyBorder="1" applyAlignment="1">
      <alignment horizontal="left" vertical="center"/>
    </xf>
    <xf numFmtId="0" fontId="48" fillId="12" borderId="189" xfId="0" quotePrefix="1" applyFont="1" applyFill="1" applyBorder="1" applyAlignment="1">
      <alignment horizontal="left" vertical="center"/>
    </xf>
    <xf numFmtId="0" fontId="48" fillId="12" borderId="183" xfId="0" quotePrefix="1" applyFont="1" applyFill="1" applyBorder="1" applyAlignment="1">
      <alignment horizontal="left" vertical="center" wrapText="1"/>
    </xf>
    <xf numFmtId="166" fontId="48" fillId="12" borderId="183" xfId="0" applyNumberFormat="1" applyFont="1" applyFill="1" applyBorder="1" applyAlignment="1">
      <alignment horizontal="left" vertical="center"/>
    </xf>
    <xf numFmtId="0" fontId="48" fillId="12" borderId="183" xfId="0" applyFont="1" applyFill="1" applyBorder="1" applyAlignment="1">
      <alignment horizontal="left" vertical="center" wrapText="1"/>
    </xf>
    <xf numFmtId="0" fontId="48" fillId="12" borderId="183" xfId="0" quotePrefix="1" applyFont="1" applyFill="1" applyBorder="1" applyAlignment="1">
      <alignment horizontal="left" vertical="center"/>
    </xf>
    <xf numFmtId="0" fontId="48" fillId="12" borderId="183" xfId="0" applyFont="1" applyFill="1" applyBorder="1" applyAlignment="1">
      <alignment horizontal="left" vertical="center"/>
    </xf>
    <xf numFmtId="0" fontId="48" fillId="12" borderId="190" xfId="0" applyFont="1" applyFill="1" applyBorder="1" applyAlignment="1">
      <alignment horizontal="left" vertical="center"/>
    </xf>
    <xf numFmtId="0" fontId="52" fillId="9" borderId="152" xfId="0" applyFont="1" applyFill="1" applyBorder="1" applyAlignment="1">
      <alignment horizontal="left" vertical="center"/>
    </xf>
    <xf numFmtId="0" fontId="52" fillId="9" borderId="151" xfId="0" applyFont="1" applyFill="1" applyBorder="1" applyAlignment="1">
      <alignment horizontal="left" vertical="center"/>
    </xf>
    <xf numFmtId="166" fontId="52" fillId="9" borderId="181" xfId="0" applyNumberFormat="1" applyFont="1" applyFill="1" applyBorder="1" applyAlignment="1">
      <alignment horizontal="center" vertical="center"/>
    </xf>
    <xf numFmtId="0" fontId="52" fillId="9" borderId="181" xfId="0" quotePrefix="1" applyFont="1" applyFill="1" applyBorder="1" applyAlignment="1">
      <alignment horizontal="center" vertical="center" wrapText="1"/>
    </xf>
    <xf numFmtId="0" fontId="52" fillId="9" borderId="181" xfId="0" applyFont="1" applyFill="1" applyBorder="1" applyAlignment="1">
      <alignment horizontal="left" vertical="center"/>
    </xf>
    <xf numFmtId="164" fontId="52" fillId="9" borderId="150" xfId="0" applyNumberFormat="1" applyFont="1" applyFill="1" applyBorder="1" applyAlignment="1">
      <alignment horizontal="center" vertical="center" wrapText="1"/>
    </xf>
    <xf numFmtId="0" fontId="55" fillId="50" borderId="0" xfId="0" applyFont="1" applyFill="1" applyAlignment="1">
      <alignment horizontal="center" vertical="center"/>
    </xf>
    <xf numFmtId="0" fontId="52" fillId="9" borderId="212" xfId="0" applyFont="1" applyFill="1" applyBorder="1" applyAlignment="1">
      <alignment horizontal="left" vertical="center" wrapText="1"/>
    </xf>
    <xf numFmtId="164" fontId="52" fillId="9" borderId="213" xfId="0" applyNumberFormat="1" applyFont="1" applyFill="1" applyBorder="1" applyAlignment="1">
      <alignment horizontal="left" vertical="center" wrapText="1"/>
    </xf>
    <xf numFmtId="0" fontId="48" fillId="9" borderId="93" xfId="0" applyFont="1" applyFill="1" applyBorder="1" applyAlignment="1">
      <alignment horizontal="left" vertical="center" wrapText="1"/>
    </xf>
    <xf numFmtId="0" fontId="48" fillId="9" borderId="90" xfId="0" applyFont="1" applyFill="1" applyBorder="1" applyAlignment="1">
      <alignment horizontal="center" vertical="center" wrapText="1"/>
    </xf>
    <xf numFmtId="0" fontId="48" fillId="9" borderId="90" xfId="0" applyFont="1" applyFill="1" applyBorder="1" applyAlignment="1">
      <alignment horizontal="left" vertical="center" wrapText="1"/>
    </xf>
    <xf numFmtId="0" fontId="48" fillId="9" borderId="94" xfId="0" applyFont="1" applyFill="1" applyBorder="1" applyAlignment="1">
      <alignment horizontal="left" vertical="center" wrapText="1"/>
    </xf>
    <xf numFmtId="2" fontId="48" fillId="9" borderId="90" xfId="0" applyNumberFormat="1" applyFont="1" applyFill="1" applyBorder="1" applyAlignment="1">
      <alignment horizontal="left" vertical="center" wrapText="1"/>
    </xf>
    <xf numFmtId="2" fontId="106" fillId="49" borderId="150" xfId="301" applyNumberFormat="1" applyBorder="1" applyAlignment="1">
      <alignment horizontal="center" vertical="center"/>
    </xf>
    <xf numFmtId="164" fontId="106" fillId="49" borderId="150" xfId="301" applyNumberFormat="1" applyBorder="1" applyAlignment="1">
      <alignment horizontal="center" vertical="center"/>
    </xf>
    <xf numFmtId="1" fontId="106" fillId="49" borderId="150" xfId="301" applyNumberFormat="1" applyBorder="1" applyAlignment="1">
      <alignment horizontal="center" vertical="center"/>
    </xf>
    <xf numFmtId="0" fontId="106" fillId="49" borderId="150" xfId="301" applyBorder="1" applyAlignment="1">
      <alignment horizontal="center" vertical="center"/>
    </xf>
    <xf numFmtId="166" fontId="106" fillId="49" borderId="150" xfId="301" applyNumberFormat="1" applyBorder="1" applyAlignment="1">
      <alignment horizontal="center" vertical="center"/>
    </xf>
    <xf numFmtId="0" fontId="56" fillId="7" borderId="209" xfId="3" applyFont="1" applyFill="1" applyBorder="1" applyAlignment="1">
      <alignment horizontal="center" vertical="center" wrapText="1"/>
    </xf>
    <xf numFmtId="0" fontId="0" fillId="47" borderId="150" xfId="0" applyFill="1" applyBorder="1" applyAlignment="1">
      <alignment horizontal="center" vertical="center"/>
    </xf>
    <xf numFmtId="0" fontId="48" fillId="5" borderId="213" xfId="0" applyFont="1" applyFill="1" applyBorder="1" applyAlignment="1">
      <alignment horizontal="center" vertical="center"/>
    </xf>
    <xf numFmtId="0" fontId="0" fillId="47" borderId="150" xfId="0" quotePrefix="1" applyFill="1" applyBorder="1" applyAlignment="1">
      <alignment horizontal="center" vertical="center"/>
    </xf>
    <xf numFmtId="2" fontId="106" fillId="0" borderId="150" xfId="301" applyNumberFormat="1" applyFill="1" applyBorder="1" applyAlignment="1">
      <alignment horizontal="center" vertical="center"/>
    </xf>
    <xf numFmtId="8" fontId="90" fillId="0" borderId="181" xfId="0" applyNumberFormat="1" applyFont="1" applyBorder="1" applyAlignment="1">
      <alignment horizontal="left" vertical="center" wrapText="1"/>
    </xf>
    <xf numFmtId="0" fontId="47" fillId="9" borderId="193" xfId="0" applyFont="1" applyFill="1" applyBorder="1" applyAlignment="1">
      <alignment horizontal="center" vertical="center"/>
    </xf>
    <xf numFmtId="0" fontId="47" fillId="9" borderId="150" xfId="0" applyFont="1" applyFill="1" applyBorder="1" applyAlignment="1">
      <alignment horizontal="center" vertical="center"/>
    </xf>
    <xf numFmtId="0" fontId="45" fillId="9" borderId="13" xfId="0" applyFont="1" applyFill="1" applyBorder="1" applyAlignment="1">
      <alignment horizontal="center" vertical="center"/>
    </xf>
    <xf numFmtId="0" fontId="45" fillId="9" borderId="104" xfId="0" applyFont="1" applyFill="1" applyBorder="1" applyAlignment="1">
      <alignment horizontal="center" vertical="center"/>
    </xf>
    <xf numFmtId="2" fontId="45" fillId="0" borderId="181" xfId="0" applyNumberFormat="1" applyFont="1" applyBorder="1" applyAlignment="1">
      <alignment horizontal="left" vertical="center"/>
    </xf>
    <xf numFmtId="0" fontId="48" fillId="11" borderId="193" xfId="0" applyFont="1" applyFill="1" applyBorder="1" applyAlignment="1">
      <alignment horizontal="left" vertical="center"/>
    </xf>
    <xf numFmtId="164" fontId="48" fillId="11" borderId="181" xfId="0" applyNumberFormat="1" applyFont="1" applyFill="1" applyBorder="1" applyAlignment="1">
      <alignment horizontal="left" vertical="center"/>
    </xf>
    <xf numFmtId="0" fontId="48" fillId="19" borderId="193" xfId="0" applyFont="1" applyFill="1" applyBorder="1" applyAlignment="1">
      <alignment horizontal="left" vertical="center"/>
    </xf>
    <xf numFmtId="0" fontId="0" fillId="19" borderId="181" xfId="0" applyFill="1" applyBorder="1" applyAlignment="1">
      <alignment horizontal="left"/>
    </xf>
    <xf numFmtId="2" fontId="48" fillId="19" borderId="181" xfId="0" applyNumberFormat="1" applyFont="1" applyFill="1" applyBorder="1" applyAlignment="1">
      <alignment horizontal="center" vertical="center" wrapText="1"/>
    </xf>
    <xf numFmtId="164" fontId="48" fillId="19" borderId="216" xfId="0" applyNumberFormat="1" applyFont="1" applyFill="1" applyBorder="1" applyAlignment="1">
      <alignment horizontal="center" vertical="center"/>
    </xf>
    <xf numFmtId="2" fontId="48" fillId="19" borderId="216" xfId="0" applyNumberFormat="1" applyFont="1" applyFill="1" applyBorder="1" applyAlignment="1">
      <alignment horizontal="center" vertical="center"/>
    </xf>
    <xf numFmtId="0" fontId="52" fillId="11" borderId="181" xfId="0" applyFont="1" applyFill="1" applyBorder="1" applyAlignment="1">
      <alignment horizontal="left" vertical="center" wrapText="1"/>
    </xf>
    <xf numFmtId="0" fontId="52" fillId="19" borderId="193" xfId="0" applyFont="1" applyFill="1" applyBorder="1" applyAlignment="1">
      <alignment horizontal="left" vertical="center"/>
    </xf>
    <xf numFmtId="0" fontId="52" fillId="19" borderId="181" xfId="0" applyFont="1" applyFill="1" applyBorder="1" applyAlignment="1">
      <alignment horizontal="left" vertical="center" wrapText="1"/>
    </xf>
    <xf numFmtId="0" fontId="48" fillId="11" borderId="193" xfId="0" applyFont="1" applyFill="1" applyBorder="1" applyAlignment="1">
      <alignment horizontal="left" vertical="center" wrapText="1"/>
    </xf>
    <xf numFmtId="0" fontId="48" fillId="11" borderId="181" xfId="0" applyFont="1" applyFill="1" applyBorder="1" applyAlignment="1">
      <alignment horizontal="left" vertical="center" wrapText="1"/>
    </xf>
    <xf numFmtId="0" fontId="48" fillId="19" borderId="193" xfId="0" applyFont="1" applyFill="1" applyBorder="1" applyAlignment="1">
      <alignment horizontal="left" vertical="center" wrapText="1"/>
    </xf>
    <xf numFmtId="0" fontId="48" fillId="19" borderId="181" xfId="0" applyFont="1" applyFill="1" applyBorder="1" applyAlignment="1">
      <alignment horizontal="left" vertical="center" wrapText="1"/>
    </xf>
    <xf numFmtId="0" fontId="0" fillId="11" borderId="181" xfId="0" applyFill="1" applyBorder="1" applyAlignment="1">
      <alignment horizontal="left"/>
    </xf>
    <xf numFmtId="2" fontId="48" fillId="11" borderId="181" xfId="0" applyNumberFormat="1" applyFont="1" applyFill="1" applyBorder="1" applyAlignment="1">
      <alignment horizontal="left" vertical="center" wrapText="1"/>
    </xf>
    <xf numFmtId="0" fontId="48" fillId="19" borderId="181" xfId="0" quotePrefix="1" applyFont="1" applyFill="1" applyBorder="1" applyAlignment="1">
      <alignment horizontal="left" vertical="center" wrapText="1"/>
    </xf>
    <xf numFmtId="0" fontId="48" fillId="11" borderId="181" xfId="0" quotePrefix="1" applyFont="1" applyFill="1" applyBorder="1" applyAlignment="1">
      <alignment horizontal="left" vertical="center" wrapText="1"/>
    </xf>
    <xf numFmtId="0" fontId="45" fillId="11" borderId="181" xfId="0" applyFont="1" applyFill="1" applyBorder="1" applyAlignment="1">
      <alignment horizontal="left" vertical="center"/>
    </xf>
    <xf numFmtId="166" fontId="48" fillId="19" borderId="181" xfId="0" applyNumberFormat="1" applyFont="1" applyFill="1" applyBorder="1" applyAlignment="1">
      <alignment horizontal="center" vertical="center" wrapText="1"/>
    </xf>
    <xf numFmtId="2" fontId="48" fillId="9" borderId="183" xfId="0" applyNumberFormat="1" applyFont="1" applyFill="1" applyBorder="1" applyAlignment="1">
      <alignment horizontal="left" vertical="center" wrapText="1"/>
    </xf>
    <xf numFmtId="0" fontId="45" fillId="44" borderId="126" xfId="0" applyFont="1" applyFill="1" applyBorder="1" applyAlignment="1">
      <alignment vertical="center" wrapText="1"/>
    </xf>
    <xf numFmtId="0" fontId="45" fillId="44" borderId="150" xfId="0" applyFont="1" applyFill="1" applyBorder="1" applyAlignment="1">
      <alignment horizontal="left" vertical="center" wrapText="1"/>
    </xf>
    <xf numFmtId="0" fontId="45" fillId="44" borderId="150" xfId="0" quotePrefix="1" applyFont="1" applyFill="1" applyBorder="1" applyAlignment="1">
      <alignment horizontal="left" vertical="center" wrapText="1"/>
    </xf>
    <xf numFmtId="164" fontId="45" fillId="44" borderId="150" xfId="0" applyNumberFormat="1" applyFont="1" applyFill="1" applyBorder="1" applyAlignment="1">
      <alignment horizontal="left" vertical="center" wrapText="1"/>
    </xf>
    <xf numFmtId="0" fontId="45" fillId="44" borderId="127" xfId="0" applyFont="1" applyFill="1" applyBorder="1" applyAlignment="1">
      <alignment vertical="center" wrapText="1"/>
    </xf>
    <xf numFmtId="0" fontId="48" fillId="0" borderId="193" xfId="0" applyFont="1" applyBorder="1" applyAlignment="1">
      <alignment horizontal="left" vertical="center" wrapText="1"/>
    </xf>
    <xf numFmtId="0" fontId="90" fillId="0" borderId="181" xfId="0" applyFont="1" applyBorder="1" applyAlignment="1">
      <alignment horizontal="left" vertical="center" wrapText="1"/>
    </xf>
    <xf numFmtId="164" fontId="0" fillId="0" borderId="181" xfId="0" applyNumberFormat="1" applyBorder="1" applyAlignment="1">
      <alignment horizontal="left" vertical="center"/>
    </xf>
    <xf numFmtId="0" fontId="0" fillId="0" borderId="194" xfId="0" applyBorder="1" applyAlignment="1">
      <alignment horizontal="left" vertical="center"/>
    </xf>
    <xf numFmtId="0" fontId="48" fillId="0" borderId="189" xfId="0" applyFont="1" applyBorder="1" applyAlignment="1">
      <alignment horizontal="left" vertical="center"/>
    </xf>
    <xf numFmtId="0" fontId="48" fillId="0" borderId="190" xfId="0" applyFont="1" applyBorder="1" applyAlignment="1">
      <alignment horizontal="left" vertical="center"/>
    </xf>
    <xf numFmtId="0" fontId="45" fillId="0" borderId="189" xfId="0" applyFont="1" applyBorder="1" applyAlignment="1">
      <alignment horizontal="left" vertical="center"/>
    </xf>
    <xf numFmtId="164" fontId="45" fillId="0" borderId="183" xfId="0" applyNumberFormat="1" applyFont="1" applyBorder="1" applyAlignment="1">
      <alignment horizontal="left" vertical="center"/>
    </xf>
    <xf numFmtId="0" fontId="45" fillId="0" borderId="190" xfId="0" applyFont="1" applyBorder="1" applyAlignment="1">
      <alignment horizontal="left" vertical="center"/>
    </xf>
    <xf numFmtId="0" fontId="48" fillId="0" borderId="181" xfId="0" quotePrefix="1" applyFont="1" applyBorder="1" applyAlignment="1">
      <alignment horizontal="left" vertical="center" wrapText="1"/>
    </xf>
    <xf numFmtId="164" fontId="48" fillId="0" borderId="181" xfId="0" quotePrefix="1" applyNumberFormat="1" applyFont="1" applyBorder="1" applyAlignment="1">
      <alignment horizontal="left" vertical="center"/>
    </xf>
    <xf numFmtId="0" fontId="2" fillId="0" borderId="194" xfId="0" applyFont="1" applyBorder="1" applyAlignment="1">
      <alignment horizontal="left" vertical="center"/>
    </xf>
    <xf numFmtId="0" fontId="48" fillId="0" borderId="205" xfId="0" applyFont="1" applyBorder="1" applyAlignment="1">
      <alignment horizontal="left" vertical="center"/>
    </xf>
    <xf numFmtId="0" fontId="48" fillId="20" borderId="213" xfId="24" applyFont="1" applyFill="1" applyBorder="1" applyAlignment="1">
      <alignment horizontal="left" vertical="center" wrapText="1"/>
    </xf>
    <xf numFmtId="0" fontId="48" fillId="20" borderId="150" xfId="24" applyFont="1" applyFill="1" applyBorder="1" applyAlignment="1">
      <alignment horizontal="left" vertical="center" wrapText="1"/>
    </xf>
    <xf numFmtId="0" fontId="48" fillId="20" borderId="183" xfId="24" applyFont="1" applyFill="1" applyBorder="1" applyAlignment="1">
      <alignment horizontal="left" vertical="center" wrapText="1"/>
    </xf>
    <xf numFmtId="0" fontId="45" fillId="45" borderId="181" xfId="0" applyFont="1" applyFill="1" applyBorder="1" applyAlignment="1">
      <alignment horizontal="center" vertical="center"/>
    </xf>
    <xf numFmtId="0" fontId="45" fillId="45" borderId="150" xfId="0" quotePrefix="1" applyFont="1" applyFill="1" applyBorder="1" applyAlignment="1">
      <alignment horizontal="center" vertical="center"/>
    </xf>
    <xf numFmtId="0" fontId="45" fillId="45" borderId="150" xfId="0" applyFont="1" applyFill="1" applyBorder="1" applyAlignment="1">
      <alignment horizontal="center" vertical="center"/>
    </xf>
    <xf numFmtId="0" fontId="45" fillId="22" borderId="150" xfId="0" quotePrefix="1" applyFont="1" applyFill="1" applyBorder="1" applyAlignment="1">
      <alignment horizontal="left" vertical="center"/>
    </xf>
    <xf numFmtId="0" fontId="45" fillId="44" borderId="150" xfId="0" quotePrefix="1" applyFont="1" applyFill="1" applyBorder="1" applyAlignment="1">
      <alignment horizontal="left" vertical="center"/>
    </xf>
    <xf numFmtId="0" fontId="45" fillId="38" borderId="150" xfId="0" quotePrefix="1" applyFont="1" applyFill="1" applyBorder="1" applyAlignment="1">
      <alignment horizontal="left" vertical="center"/>
    </xf>
    <xf numFmtId="0" fontId="45" fillId="27" borderId="184" xfId="0" quotePrefix="1" applyFont="1" applyFill="1" applyBorder="1" applyAlignment="1">
      <alignment horizontal="left" vertical="center"/>
    </xf>
    <xf numFmtId="0" fontId="45" fillId="27" borderId="150" xfId="0" quotePrefix="1" applyFont="1" applyFill="1" applyBorder="1" applyAlignment="1">
      <alignment horizontal="left" vertical="center"/>
    </xf>
    <xf numFmtId="0" fontId="45" fillId="28" borderId="150" xfId="0" quotePrefix="1" applyFont="1" applyFill="1" applyBorder="1" applyAlignment="1">
      <alignment horizontal="left" vertical="center"/>
    </xf>
    <xf numFmtId="0" fontId="45" fillId="29" borderId="150" xfId="0" quotePrefix="1" applyFont="1" applyFill="1" applyBorder="1" applyAlignment="1">
      <alignment horizontal="left" vertical="center"/>
    </xf>
    <xf numFmtId="0" fontId="45" fillId="29" borderId="181" xfId="0" quotePrefix="1" applyFont="1" applyFill="1" applyBorder="1" applyAlignment="1">
      <alignment horizontal="left" vertical="center"/>
    </xf>
    <xf numFmtId="0" fontId="45" fillId="29" borderId="183" xfId="0" quotePrefix="1" applyFont="1" applyFill="1" applyBorder="1" applyAlignment="1">
      <alignment horizontal="left" vertical="center"/>
    </xf>
    <xf numFmtId="0" fontId="45" fillId="30" borderId="150" xfId="0" quotePrefix="1" applyFont="1" applyFill="1" applyBorder="1" applyAlignment="1">
      <alignment horizontal="left" vertical="center"/>
    </xf>
    <xf numFmtId="0" fontId="45" fillId="31" borderId="150" xfId="0" quotePrefix="1" applyFont="1" applyFill="1" applyBorder="1" applyAlignment="1">
      <alignment horizontal="left" vertical="center"/>
    </xf>
    <xf numFmtId="0" fontId="45" fillId="32" borderId="150" xfId="0" quotePrefix="1" applyFont="1" applyFill="1" applyBorder="1" applyAlignment="1">
      <alignment horizontal="left" vertical="center"/>
    </xf>
    <xf numFmtId="0" fontId="45" fillId="43" borderId="150" xfId="0" quotePrefix="1" applyFont="1" applyFill="1" applyBorder="1" applyAlignment="1">
      <alignment horizontal="left"/>
    </xf>
    <xf numFmtId="0" fontId="0" fillId="43" borderId="150" xfId="0" quotePrefix="1" applyFill="1" applyBorder="1" applyAlignment="1">
      <alignment horizontal="left"/>
    </xf>
    <xf numFmtId="0" fontId="45" fillId="33" borderId="151" xfId="0" quotePrefix="1" applyFont="1" applyFill="1" applyBorder="1" applyAlignment="1">
      <alignment horizontal="left" vertical="center"/>
    </xf>
    <xf numFmtId="0" fontId="45" fillId="33" borderId="150" xfId="0" quotePrefix="1" applyFont="1" applyFill="1" applyBorder="1" applyAlignment="1">
      <alignment horizontal="left" vertical="center"/>
    </xf>
    <xf numFmtId="0" fontId="45" fillId="33" borderId="194" xfId="0" quotePrefix="1" applyFont="1" applyFill="1" applyBorder="1" applyAlignment="1">
      <alignment horizontal="left" vertical="center"/>
    </xf>
    <xf numFmtId="0" fontId="45" fillId="34" borderId="150" xfId="0" quotePrefix="1" applyFont="1" applyFill="1" applyBorder="1" applyAlignment="1">
      <alignment horizontal="left" vertical="center"/>
    </xf>
    <xf numFmtId="0" fontId="45" fillId="35" borderId="150" xfId="0" quotePrefix="1" applyFont="1" applyFill="1" applyBorder="1" applyAlignment="1">
      <alignment horizontal="left" vertical="center"/>
    </xf>
    <xf numFmtId="0" fontId="45" fillId="36" borderId="150" xfId="0" quotePrefix="1" applyFont="1" applyFill="1" applyBorder="1" applyAlignment="1">
      <alignment horizontal="left" vertical="center"/>
    </xf>
    <xf numFmtId="0" fontId="45" fillId="48" borderId="181" xfId="0" quotePrefix="1" applyFont="1" applyFill="1" applyBorder="1" applyAlignment="1">
      <alignment horizontal="left" vertical="center"/>
    </xf>
    <xf numFmtId="0" fontId="45" fillId="37" borderId="150" xfId="0" quotePrefix="1" applyFont="1" applyFill="1" applyBorder="1" applyAlignment="1">
      <alignment horizontal="left" vertical="center"/>
    </xf>
    <xf numFmtId="0" fontId="45" fillId="37" borderId="183" xfId="0" quotePrefix="1" applyFont="1" applyFill="1" applyBorder="1" applyAlignment="1">
      <alignment horizontal="left" vertical="center"/>
    </xf>
    <xf numFmtId="0" fontId="45" fillId="32" borderId="90" xfId="0" quotePrefix="1" applyFont="1" applyFill="1" applyBorder="1" applyAlignment="1">
      <alignment horizontal="left" vertical="center"/>
    </xf>
    <xf numFmtId="0" fontId="45" fillId="32" borderId="125" xfId="0" quotePrefix="1" applyFont="1" applyFill="1" applyBorder="1" applyAlignment="1">
      <alignment horizontal="left" vertical="center"/>
    </xf>
    <xf numFmtId="0" fontId="47" fillId="5" borderId="0" xfId="0" applyFont="1" applyFill="1" applyAlignment="1">
      <alignment horizontal="center" vertical="center"/>
    </xf>
    <xf numFmtId="0" fontId="0" fillId="46" borderId="150" xfId="0" applyFill="1" applyBorder="1" applyAlignment="1">
      <alignment horizontal="left" vertical="center"/>
    </xf>
    <xf numFmtId="0" fontId="45" fillId="46" borderId="150" xfId="0" applyFont="1" applyFill="1" applyBorder="1"/>
    <xf numFmtId="0" fontId="0" fillId="46" borderId="150" xfId="0" applyFill="1" applyBorder="1"/>
    <xf numFmtId="0" fontId="48" fillId="0" borderId="137" xfId="0" applyFont="1" applyBorder="1" applyAlignment="1">
      <alignment horizontal="left" vertical="center"/>
    </xf>
    <xf numFmtId="0" fontId="48" fillId="0" borderId="127" xfId="0" applyFont="1" applyBorder="1" applyAlignment="1">
      <alignment horizontal="left" vertical="center"/>
    </xf>
    <xf numFmtId="0" fontId="48" fillId="0" borderId="125" xfId="0" applyFont="1" applyBorder="1" applyAlignment="1">
      <alignment horizontal="left" vertical="center"/>
    </xf>
    <xf numFmtId="0" fontId="48" fillId="0" borderId="129" xfId="0" applyFont="1" applyBorder="1" applyAlignment="1">
      <alignment horizontal="left" vertical="center"/>
    </xf>
    <xf numFmtId="0" fontId="56" fillId="7" borderId="135" xfId="0" applyFont="1" applyFill="1" applyBorder="1" applyAlignment="1">
      <alignment horizontal="left" vertical="center" wrapText="1"/>
    </xf>
    <xf numFmtId="0" fontId="56" fillId="7" borderId="136" xfId="0" applyFont="1" applyFill="1" applyBorder="1" applyAlignment="1">
      <alignment horizontal="left" vertical="center" wrapText="1"/>
    </xf>
    <xf numFmtId="0" fontId="48" fillId="0" borderId="14" xfId="0" applyFont="1" applyBorder="1" applyAlignment="1">
      <alignment horizontal="left" vertical="center"/>
    </xf>
    <xf numFmtId="0" fontId="48" fillId="0" borderId="39" xfId="0" applyFont="1" applyBorder="1" applyAlignment="1">
      <alignment horizontal="left" vertical="center"/>
    </xf>
    <xf numFmtId="0" fontId="41" fillId="3" borderId="19" xfId="0" applyFont="1" applyFill="1" applyBorder="1" applyAlignment="1">
      <alignment horizontal="center" vertical="top" wrapText="1"/>
    </xf>
    <xf numFmtId="0" fontId="41" fillId="3" borderId="0" xfId="0" applyFont="1" applyFill="1" applyAlignment="1">
      <alignment horizontal="center" vertical="top" wrapText="1"/>
    </xf>
    <xf numFmtId="0" fontId="41" fillId="3" borderId="20" xfId="0" applyFont="1" applyFill="1" applyBorder="1" applyAlignment="1">
      <alignment horizontal="center" vertical="top" wrapText="1"/>
    </xf>
    <xf numFmtId="0" fontId="41" fillId="3" borderId="21" xfId="0" applyFont="1" applyFill="1" applyBorder="1" applyAlignment="1">
      <alignment wrapText="1"/>
    </xf>
    <xf numFmtId="0" fontId="41" fillId="3" borderId="22" xfId="0" applyFont="1" applyFill="1" applyBorder="1" applyAlignment="1">
      <alignment wrapText="1"/>
    </xf>
    <xf numFmtId="0" fontId="41" fillId="3" borderId="23" xfId="0" applyFont="1" applyFill="1" applyBorder="1" applyAlignment="1">
      <alignment wrapText="1"/>
    </xf>
    <xf numFmtId="0" fontId="0" fillId="2" borderId="0" xfId="0" applyFill="1" applyAlignment="1">
      <alignment wrapText="1"/>
    </xf>
  </cellXfs>
  <cellStyles count="302">
    <cellStyle name="Lien hypertexte" xfId="4" builtinId="8"/>
    <cellStyle name="Neutre" xfId="301" builtinId="28"/>
    <cellStyle name="Normal" xfId="0" builtinId="0"/>
    <cellStyle name="Normal 10" xfId="16" xr:uid="{00000000-0005-0000-0000-000002000000}"/>
    <cellStyle name="Normal 10 2" xfId="28" xr:uid="{00000000-0005-0000-0000-000003000000}"/>
    <cellStyle name="Normal 10 2 2" xfId="102" xr:uid="{00000000-0005-0000-0000-000004000000}"/>
    <cellStyle name="Normal 10 2 2 2" xfId="166" xr:uid="{00000000-0005-0000-0000-000005000000}"/>
    <cellStyle name="Normal 10 2 3" xfId="255" xr:uid="{00000000-0005-0000-0000-000006000000}"/>
    <cellStyle name="Normal 10 2 4" xfId="135" xr:uid="{00000000-0005-0000-0000-000007000000}"/>
    <cellStyle name="Normal 10 2 5" xfId="293" xr:uid="{00000000-0005-0000-0000-000008000000}"/>
    <cellStyle name="Normal 10 2 6" xfId="72" xr:uid="{00000000-0005-0000-0000-000009000000}"/>
    <cellStyle name="Normal 10 3" xfId="30" xr:uid="{00000000-0005-0000-0000-00000A000000}"/>
    <cellStyle name="Normal 10 3 2" xfId="104" xr:uid="{00000000-0005-0000-0000-00000B000000}"/>
    <cellStyle name="Normal 10 3 2 2" xfId="168" xr:uid="{00000000-0005-0000-0000-00000C000000}"/>
    <cellStyle name="Normal 10 3 3" xfId="257" xr:uid="{00000000-0005-0000-0000-00000D000000}"/>
    <cellStyle name="Normal 10 3 4" xfId="137" xr:uid="{00000000-0005-0000-0000-00000E000000}"/>
    <cellStyle name="Normal 10 3 5" xfId="295" xr:uid="{00000000-0005-0000-0000-00000F000000}"/>
    <cellStyle name="Normal 10 3 6" xfId="74" xr:uid="{00000000-0005-0000-0000-000010000000}"/>
    <cellStyle name="Normal 10 4" xfId="91" xr:uid="{00000000-0005-0000-0000-000011000000}"/>
    <cellStyle name="Normal 10 4 2" xfId="155" xr:uid="{00000000-0005-0000-0000-000012000000}"/>
    <cellStyle name="Normal 10 5" xfId="244" xr:uid="{00000000-0005-0000-0000-000013000000}"/>
    <cellStyle name="Normal 10 6" xfId="124" xr:uid="{00000000-0005-0000-0000-000014000000}"/>
    <cellStyle name="Normal 10 7" xfId="282" xr:uid="{00000000-0005-0000-0000-000015000000}"/>
    <cellStyle name="Normal 10 8" xfId="61" xr:uid="{00000000-0005-0000-0000-000016000000}"/>
    <cellStyle name="Normal 11" xfId="19" xr:uid="{00000000-0005-0000-0000-000017000000}"/>
    <cellStyle name="Normal 11 2" xfId="24" xr:uid="{00000000-0005-0000-0000-000018000000}"/>
    <cellStyle name="Normal 11 2 2" xfId="31" xr:uid="{00000000-0005-0000-0000-000019000000}"/>
    <cellStyle name="Normal 11 2 2 2" xfId="105" xr:uid="{00000000-0005-0000-0000-00001A000000}"/>
    <cellStyle name="Normal 11 2 2 2 2" xfId="169" xr:uid="{00000000-0005-0000-0000-00001B000000}"/>
    <cellStyle name="Normal 11 2 2 3" xfId="258" xr:uid="{00000000-0005-0000-0000-00001C000000}"/>
    <cellStyle name="Normal 11 2 2 4" xfId="138" xr:uid="{00000000-0005-0000-0000-00001D000000}"/>
    <cellStyle name="Normal 11 2 2 5" xfId="296" xr:uid="{00000000-0005-0000-0000-00001E000000}"/>
    <cellStyle name="Normal 11 2 2 6" xfId="75" xr:uid="{00000000-0005-0000-0000-00001F000000}"/>
    <cellStyle name="Normal 11 2 3" xfId="44" xr:uid="{00000000-0005-0000-0000-000020000000}"/>
    <cellStyle name="Normal 11 2 3 2" xfId="162" xr:uid="{00000000-0005-0000-0000-000021000000}"/>
    <cellStyle name="Normal 11 2 3 3" xfId="108" xr:uid="{00000000-0005-0000-0000-000022000000}"/>
    <cellStyle name="Normal 11 2 4" xfId="98" xr:uid="{00000000-0005-0000-0000-000023000000}"/>
    <cellStyle name="Normal 11 2 4 2" xfId="251" xr:uid="{00000000-0005-0000-0000-000024000000}"/>
    <cellStyle name="Normal 11 2 5" xfId="131" xr:uid="{00000000-0005-0000-0000-000025000000}"/>
    <cellStyle name="Normal 11 2 6" xfId="289" xr:uid="{00000000-0005-0000-0000-000026000000}"/>
    <cellStyle name="Normal 11 2 7" xfId="48" xr:uid="{00000000-0005-0000-0000-000027000000}"/>
    <cellStyle name="Normal 11 2 7 2" xfId="299" xr:uid="{00000000-0005-0000-0000-000028000000}"/>
    <cellStyle name="Normal 11 2 8" xfId="68" xr:uid="{00000000-0005-0000-0000-000029000000}"/>
    <cellStyle name="Normal 11 3" xfId="94" xr:uid="{00000000-0005-0000-0000-00002A000000}"/>
    <cellStyle name="Normal 11 3 2" xfId="158" xr:uid="{00000000-0005-0000-0000-00002B000000}"/>
    <cellStyle name="Normal 11 4" xfId="247" xr:uid="{00000000-0005-0000-0000-00002C000000}"/>
    <cellStyle name="Normal 11 5" xfId="127" xr:uid="{00000000-0005-0000-0000-00002D000000}"/>
    <cellStyle name="Normal 11 6" xfId="285" xr:uid="{00000000-0005-0000-0000-00002E000000}"/>
    <cellStyle name="Normal 11 7" xfId="64" xr:uid="{00000000-0005-0000-0000-00002F000000}"/>
    <cellStyle name="Normal 12" xfId="23" xr:uid="{00000000-0005-0000-0000-000030000000}"/>
    <cellStyle name="Normal 12 2" xfId="97" xr:uid="{00000000-0005-0000-0000-000031000000}"/>
    <cellStyle name="Normal 12 2 2" xfId="161" xr:uid="{00000000-0005-0000-0000-000032000000}"/>
    <cellStyle name="Normal 12 3" xfId="250" xr:uid="{00000000-0005-0000-0000-000033000000}"/>
    <cellStyle name="Normal 12 4" xfId="130" xr:uid="{00000000-0005-0000-0000-000034000000}"/>
    <cellStyle name="Normal 12 5" xfId="288" xr:uid="{00000000-0005-0000-0000-000035000000}"/>
    <cellStyle name="Normal 12 6" xfId="67" xr:uid="{00000000-0005-0000-0000-000036000000}"/>
    <cellStyle name="Normal 13" xfId="27" xr:uid="{00000000-0005-0000-0000-000037000000}"/>
    <cellStyle name="Normal 13 2" xfId="101" xr:uid="{00000000-0005-0000-0000-000038000000}"/>
    <cellStyle name="Normal 13 2 2" xfId="165" xr:uid="{00000000-0005-0000-0000-000039000000}"/>
    <cellStyle name="Normal 13 3" xfId="254" xr:uid="{00000000-0005-0000-0000-00003A000000}"/>
    <cellStyle name="Normal 13 4" xfId="134" xr:uid="{00000000-0005-0000-0000-00003B000000}"/>
    <cellStyle name="Normal 13 5" xfId="292" xr:uid="{00000000-0005-0000-0000-00003C000000}"/>
    <cellStyle name="Normal 13 6" xfId="71" xr:uid="{00000000-0005-0000-0000-00003D000000}"/>
    <cellStyle name="Normal 14" xfId="29" xr:uid="{00000000-0005-0000-0000-00003E000000}"/>
    <cellStyle name="Normal 14 2" xfId="103" xr:uid="{00000000-0005-0000-0000-00003F000000}"/>
    <cellStyle name="Normal 14 2 2" xfId="167" xr:uid="{00000000-0005-0000-0000-000040000000}"/>
    <cellStyle name="Normal 14 3" xfId="256" xr:uid="{00000000-0005-0000-0000-000041000000}"/>
    <cellStyle name="Normal 14 4" xfId="136" xr:uid="{00000000-0005-0000-0000-000042000000}"/>
    <cellStyle name="Normal 14 5" xfId="294" xr:uid="{00000000-0005-0000-0000-000043000000}"/>
    <cellStyle name="Normal 14 6" xfId="73" xr:uid="{00000000-0005-0000-0000-000044000000}"/>
    <cellStyle name="Normal 2" xfId="1" xr:uid="{00000000-0005-0000-0000-000045000000}"/>
    <cellStyle name="Normál 2" xfId="11" xr:uid="{00000000-0005-0000-0000-000046000000}"/>
    <cellStyle name="Normal 2 10" xfId="203" xr:uid="{00000000-0005-0000-0000-000047000000}"/>
    <cellStyle name="Normál 2 10" xfId="194" xr:uid="{00000000-0005-0000-0000-000048000000}"/>
    <cellStyle name="Normal 2 11" xfId="204" xr:uid="{00000000-0005-0000-0000-000049000000}"/>
    <cellStyle name="Normál 2 11" xfId="205" xr:uid="{00000000-0005-0000-0000-00004A000000}"/>
    <cellStyle name="Normal 2 12" xfId="176" xr:uid="{00000000-0005-0000-0000-00004B000000}"/>
    <cellStyle name="Normál 2 12" xfId="192" xr:uid="{00000000-0005-0000-0000-00004C000000}"/>
    <cellStyle name="Normal 2 13" xfId="206" xr:uid="{00000000-0005-0000-0000-00004D000000}"/>
    <cellStyle name="Normál 2 13" xfId="197" xr:uid="{00000000-0005-0000-0000-00004E000000}"/>
    <cellStyle name="Normal 2 14" xfId="208" xr:uid="{00000000-0005-0000-0000-00004F000000}"/>
    <cellStyle name="Normál 2 14" xfId="202" xr:uid="{00000000-0005-0000-0000-000050000000}"/>
    <cellStyle name="Normal 2 15" xfId="209" xr:uid="{00000000-0005-0000-0000-000051000000}"/>
    <cellStyle name="Normál 2 15" xfId="198" xr:uid="{00000000-0005-0000-0000-000052000000}"/>
    <cellStyle name="Normal 2 16" xfId="190" xr:uid="{00000000-0005-0000-0000-000053000000}"/>
    <cellStyle name="Normál 2 16" xfId="214" xr:uid="{00000000-0005-0000-0000-000054000000}"/>
    <cellStyle name="Normal 2 17" xfId="210" xr:uid="{00000000-0005-0000-0000-000055000000}"/>
    <cellStyle name="Normál 2 17" xfId="185" xr:uid="{00000000-0005-0000-0000-000056000000}"/>
    <cellStyle name="Normal 2 18" xfId="216" xr:uid="{00000000-0005-0000-0000-000057000000}"/>
    <cellStyle name="Normál 2 18" xfId="196" xr:uid="{00000000-0005-0000-0000-000058000000}"/>
    <cellStyle name="Normal 2 19" xfId="217" xr:uid="{00000000-0005-0000-0000-000059000000}"/>
    <cellStyle name="Normál 2 19" xfId="195" xr:uid="{00000000-0005-0000-0000-00005A000000}"/>
    <cellStyle name="Normal 2 2" xfId="6" xr:uid="{00000000-0005-0000-0000-00005B000000}"/>
    <cellStyle name="Normál 2 2" xfId="86" xr:uid="{00000000-0005-0000-0000-00005C000000}"/>
    <cellStyle name="Normál 2 2 2" xfId="150" xr:uid="{00000000-0005-0000-0000-00005D000000}"/>
    <cellStyle name="Normal 2 20" xfId="218" xr:uid="{00000000-0005-0000-0000-00005E000000}"/>
    <cellStyle name="Normál 2 20" xfId="213" xr:uid="{00000000-0005-0000-0000-00005F000000}"/>
    <cellStyle name="Normal 2 21" xfId="186" xr:uid="{00000000-0005-0000-0000-000060000000}"/>
    <cellStyle name="Normál 2 21" xfId="219" xr:uid="{00000000-0005-0000-0000-000061000000}"/>
    <cellStyle name="Normal 2 22" xfId="193" xr:uid="{00000000-0005-0000-0000-000062000000}"/>
    <cellStyle name="Normál 2 22" xfId="180" xr:uid="{00000000-0005-0000-0000-000063000000}"/>
    <cellStyle name="Normal 2 23" xfId="220" xr:uid="{00000000-0005-0000-0000-000064000000}"/>
    <cellStyle name="Normál 2 23" xfId="207" xr:uid="{00000000-0005-0000-0000-000065000000}"/>
    <cellStyle name="Normal 2 24" xfId="221" xr:uid="{00000000-0005-0000-0000-000066000000}"/>
    <cellStyle name="Normál 2 24" xfId="142" xr:uid="{00000000-0005-0000-0000-000067000000}"/>
    <cellStyle name="Normal 2 25" xfId="222" xr:uid="{00000000-0005-0000-0000-000068000000}"/>
    <cellStyle name="Normál 2 25" xfId="212" xr:uid="{00000000-0005-0000-0000-000069000000}"/>
    <cellStyle name="Normal 2 26" xfId="223" xr:uid="{00000000-0005-0000-0000-00006A000000}"/>
    <cellStyle name="Normál 2 26" xfId="211" xr:uid="{00000000-0005-0000-0000-00006B000000}"/>
    <cellStyle name="Normal 2 27" xfId="224" xr:uid="{00000000-0005-0000-0000-00006C000000}"/>
    <cellStyle name="Normál 2 27" xfId="215" xr:uid="{00000000-0005-0000-0000-00006D000000}"/>
    <cellStyle name="Normal 2 28" xfId="225" xr:uid="{00000000-0005-0000-0000-00006E000000}"/>
    <cellStyle name="Normál 2 28" xfId="178" xr:uid="{00000000-0005-0000-0000-00006F000000}"/>
    <cellStyle name="Normal 2 29" xfId="226" xr:uid="{00000000-0005-0000-0000-000070000000}"/>
    <cellStyle name="Normál 2 29" xfId="173" xr:uid="{00000000-0005-0000-0000-000071000000}"/>
    <cellStyle name="Normal 2 3" xfId="22" xr:uid="{00000000-0005-0000-0000-000072000000}"/>
    <cellStyle name="Normál 2 3" xfId="111" xr:uid="{00000000-0005-0000-0000-000073000000}"/>
    <cellStyle name="Normál 2 3 2" xfId="177" xr:uid="{00000000-0005-0000-0000-000074000000}"/>
    <cellStyle name="Normal 2 30" xfId="228" xr:uid="{00000000-0005-0000-0000-000075000000}"/>
    <cellStyle name="Normál 2 30" xfId="189" xr:uid="{00000000-0005-0000-0000-000076000000}"/>
    <cellStyle name="Normal 2 31" xfId="229" xr:uid="{00000000-0005-0000-0000-000077000000}"/>
    <cellStyle name="Normál 2 31" xfId="201" xr:uid="{00000000-0005-0000-0000-000078000000}"/>
    <cellStyle name="Normal 2 32" xfId="230" xr:uid="{00000000-0005-0000-0000-000079000000}"/>
    <cellStyle name="Normál 2 32" xfId="227" xr:uid="{00000000-0005-0000-0000-00007A000000}"/>
    <cellStyle name="Normal 2 33" xfId="231" xr:uid="{00000000-0005-0000-0000-00007B000000}"/>
    <cellStyle name="Normál 2 33" xfId="184" xr:uid="{00000000-0005-0000-0000-00007C000000}"/>
    <cellStyle name="Normal 2 34" xfId="187" xr:uid="{00000000-0005-0000-0000-00007D000000}"/>
    <cellStyle name="Normál 2 34" xfId="239" xr:uid="{00000000-0005-0000-0000-00007E000000}"/>
    <cellStyle name="Normal 2 35" xfId="174" xr:uid="{00000000-0005-0000-0000-00007F000000}"/>
    <cellStyle name="Normál 2 35" xfId="119" xr:uid="{00000000-0005-0000-0000-000080000000}"/>
    <cellStyle name="Normal 2 36" xfId="232" xr:uid="{00000000-0005-0000-0000-000081000000}"/>
    <cellStyle name="Normál 2 36" xfId="277" xr:uid="{00000000-0005-0000-0000-000082000000}"/>
    <cellStyle name="Normal 2 37" xfId="112" xr:uid="{00000000-0005-0000-0000-000083000000}"/>
    <cellStyle name="Normál 2 37" xfId="56" xr:uid="{00000000-0005-0000-0000-000084000000}"/>
    <cellStyle name="Normal 2 38" xfId="270" xr:uid="{00000000-0005-0000-0000-000085000000}"/>
    <cellStyle name="Normal 2 39" xfId="49" xr:uid="{00000000-0005-0000-0000-000086000000}"/>
    <cellStyle name="Normal 2 4" xfId="78" xr:uid="{00000000-0005-0000-0000-000087000000}"/>
    <cellStyle name="Normál 2 4" xfId="181" xr:uid="{00000000-0005-0000-0000-000088000000}"/>
    <cellStyle name="Normal 2 4 2" xfId="141" xr:uid="{00000000-0005-0000-0000-000089000000}"/>
    <cellStyle name="Normal 2 5" xfId="79" xr:uid="{00000000-0005-0000-0000-00008A000000}"/>
    <cellStyle name="Normál 2 5" xfId="182" xr:uid="{00000000-0005-0000-0000-00008B000000}"/>
    <cellStyle name="Normal 2 5 2" xfId="172" xr:uid="{00000000-0005-0000-0000-00008C000000}"/>
    <cellStyle name="Normal 2 6" xfId="175" xr:uid="{00000000-0005-0000-0000-00008D000000}"/>
    <cellStyle name="Normál 2 6" xfId="191" xr:uid="{00000000-0005-0000-0000-00008E000000}"/>
    <cellStyle name="Normal 2 7" xfId="183" xr:uid="{00000000-0005-0000-0000-00008F000000}"/>
    <cellStyle name="Normál 2 7" xfId="199" xr:uid="{00000000-0005-0000-0000-000090000000}"/>
    <cellStyle name="Normal 2 8" xfId="179" xr:uid="{00000000-0005-0000-0000-000091000000}"/>
    <cellStyle name="Normál 2 8" xfId="188" xr:uid="{00000000-0005-0000-0000-000092000000}"/>
    <cellStyle name="Normal 2 9" xfId="200" xr:uid="{00000000-0005-0000-0000-000093000000}"/>
    <cellStyle name="Normál 2 9" xfId="145" xr:uid="{00000000-0005-0000-0000-000094000000}"/>
    <cellStyle name="Normál 24" xfId="40" xr:uid="{00000000-0005-0000-0000-000095000000}"/>
    <cellStyle name="Normál 24 2" xfId="262" xr:uid="{00000000-0005-0000-0000-000096000000}"/>
    <cellStyle name="Normál 25" xfId="41" xr:uid="{00000000-0005-0000-0000-000097000000}"/>
    <cellStyle name="Normál 25 2" xfId="263" xr:uid="{00000000-0005-0000-0000-000098000000}"/>
    <cellStyle name="Normál 26" xfId="39" xr:uid="{00000000-0005-0000-0000-000099000000}"/>
    <cellStyle name="Normál 26 2" xfId="261" xr:uid="{00000000-0005-0000-0000-00009A000000}"/>
    <cellStyle name="Normál 27" xfId="43" xr:uid="{00000000-0005-0000-0000-00009B000000}"/>
    <cellStyle name="Normál 27 2" xfId="269" xr:uid="{00000000-0005-0000-0000-00009C000000}"/>
    <cellStyle name="Normál 28" xfId="42" xr:uid="{00000000-0005-0000-0000-00009D000000}"/>
    <cellStyle name="Normál 28 2" xfId="264" xr:uid="{00000000-0005-0000-0000-00009E000000}"/>
    <cellStyle name="Normal 3" xfId="3" xr:uid="{00000000-0005-0000-0000-00009F000000}"/>
    <cellStyle name="Normál 3" xfId="47" xr:uid="{00000000-0005-0000-0000-0000A0000000}"/>
    <cellStyle name="Normal 3 10" xfId="50" xr:uid="{00000000-0005-0000-0000-0000A1000000}"/>
    <cellStyle name="Normal 3 2" xfId="13" xr:uid="{00000000-0005-0000-0000-0000A2000000}"/>
    <cellStyle name="Normál 3 2" xfId="300" xr:uid="{00000000-0005-0000-0000-0000A3000000}"/>
    <cellStyle name="Normal 3 2 2" xfId="88" xr:uid="{00000000-0005-0000-0000-0000A4000000}"/>
    <cellStyle name="Normal 3 2 2 2" xfId="152" xr:uid="{00000000-0005-0000-0000-0000A5000000}"/>
    <cellStyle name="Normal 3 2 3" xfId="241" xr:uid="{00000000-0005-0000-0000-0000A6000000}"/>
    <cellStyle name="Normal 3 2 4" xfId="121" xr:uid="{00000000-0005-0000-0000-0000A7000000}"/>
    <cellStyle name="Normal 3 2 5" xfId="279" xr:uid="{00000000-0005-0000-0000-0000A8000000}"/>
    <cellStyle name="Normal 3 2 6" xfId="58" xr:uid="{00000000-0005-0000-0000-0000A9000000}"/>
    <cellStyle name="Normal 3 3" xfId="17" xr:uid="{00000000-0005-0000-0000-0000AA000000}"/>
    <cellStyle name="Normal 3 3 2" xfId="92" xr:uid="{00000000-0005-0000-0000-0000AB000000}"/>
    <cellStyle name="Normal 3 3 2 2" xfId="156" xr:uid="{00000000-0005-0000-0000-0000AC000000}"/>
    <cellStyle name="Normal 3 3 3" xfId="245" xr:uid="{00000000-0005-0000-0000-0000AD000000}"/>
    <cellStyle name="Normal 3 3 4" xfId="125" xr:uid="{00000000-0005-0000-0000-0000AE000000}"/>
    <cellStyle name="Normal 3 3 5" xfId="283" xr:uid="{00000000-0005-0000-0000-0000AF000000}"/>
    <cellStyle name="Normal 3 3 6" xfId="62" xr:uid="{00000000-0005-0000-0000-0000B0000000}"/>
    <cellStyle name="Normal 3 4" xfId="20" xr:uid="{00000000-0005-0000-0000-0000B1000000}"/>
    <cellStyle name="Normal 3 4 2" xfId="95" xr:uid="{00000000-0005-0000-0000-0000B2000000}"/>
    <cellStyle name="Normal 3 4 2 2" xfId="159" xr:uid="{00000000-0005-0000-0000-0000B3000000}"/>
    <cellStyle name="Normal 3 4 3" xfId="248" xr:uid="{00000000-0005-0000-0000-0000B4000000}"/>
    <cellStyle name="Normal 3 4 4" xfId="128" xr:uid="{00000000-0005-0000-0000-0000B5000000}"/>
    <cellStyle name="Normal 3 4 5" xfId="286" xr:uid="{00000000-0005-0000-0000-0000B6000000}"/>
    <cellStyle name="Normal 3 4 6" xfId="65" xr:uid="{00000000-0005-0000-0000-0000B7000000}"/>
    <cellStyle name="Normal 3 5" xfId="25" xr:uid="{00000000-0005-0000-0000-0000B8000000}"/>
    <cellStyle name="Normal 3 5 2" xfId="32" xr:uid="{00000000-0005-0000-0000-0000B9000000}"/>
    <cellStyle name="Normal 3 5 2 2" xfId="106" xr:uid="{00000000-0005-0000-0000-0000BA000000}"/>
    <cellStyle name="Normal 3 5 2 2 2" xfId="170" xr:uid="{00000000-0005-0000-0000-0000BB000000}"/>
    <cellStyle name="Normal 3 5 2 3" xfId="259" xr:uid="{00000000-0005-0000-0000-0000BC000000}"/>
    <cellStyle name="Normal 3 5 2 4" xfId="139" xr:uid="{00000000-0005-0000-0000-0000BD000000}"/>
    <cellStyle name="Normal 3 5 2 5" xfId="297" xr:uid="{00000000-0005-0000-0000-0000BE000000}"/>
    <cellStyle name="Normal 3 5 2 6" xfId="76" xr:uid="{00000000-0005-0000-0000-0000BF000000}"/>
    <cellStyle name="Normal 3 5 3" xfId="109" xr:uid="{00000000-0005-0000-0000-0000C0000000}"/>
    <cellStyle name="Normal 3 5 3 2" xfId="163" xr:uid="{00000000-0005-0000-0000-0000C1000000}"/>
    <cellStyle name="Normal 3 5 4" xfId="99" xr:uid="{00000000-0005-0000-0000-0000C2000000}"/>
    <cellStyle name="Normal 3 5 4 2" xfId="252" xr:uid="{00000000-0005-0000-0000-0000C3000000}"/>
    <cellStyle name="Normal 3 5 5" xfId="132" xr:uid="{00000000-0005-0000-0000-0000C4000000}"/>
    <cellStyle name="Normal 3 5 6" xfId="290" xr:uid="{00000000-0005-0000-0000-0000C5000000}"/>
    <cellStyle name="Normal 3 5 7" xfId="69" xr:uid="{00000000-0005-0000-0000-0000C6000000}"/>
    <cellStyle name="Normal 3 6" xfId="80" xr:uid="{00000000-0005-0000-0000-0000C7000000}"/>
    <cellStyle name="Normal 3 6 2" xfId="143" xr:uid="{00000000-0005-0000-0000-0000C8000000}"/>
    <cellStyle name="Normal 3 7" xfId="233" xr:uid="{00000000-0005-0000-0000-0000C9000000}"/>
    <cellStyle name="Normal 3 8" xfId="113" xr:uid="{00000000-0005-0000-0000-0000CA000000}"/>
    <cellStyle name="Normal 3 9" xfId="271" xr:uid="{00000000-0005-0000-0000-0000CB000000}"/>
    <cellStyle name="Normál 35" xfId="35" xr:uid="{00000000-0005-0000-0000-0000CC000000}"/>
    <cellStyle name="Normál 35 2" xfId="265" xr:uid="{00000000-0005-0000-0000-0000CD000000}"/>
    <cellStyle name="Normal 4" xfId="5" xr:uid="{00000000-0005-0000-0000-0000CE000000}"/>
    <cellStyle name="Normal 4 10" xfId="272" xr:uid="{00000000-0005-0000-0000-0000CF000000}"/>
    <cellStyle name="Normal 4 11" xfId="51" xr:uid="{00000000-0005-0000-0000-0000D0000000}"/>
    <cellStyle name="Normal 4 2" xfId="8" xr:uid="{00000000-0005-0000-0000-0000D1000000}"/>
    <cellStyle name="Normal 4 2 2" xfId="83" xr:uid="{00000000-0005-0000-0000-0000D2000000}"/>
    <cellStyle name="Normal 4 2 2 2" xfId="147" xr:uid="{00000000-0005-0000-0000-0000D3000000}"/>
    <cellStyle name="Normal 4 2 3" xfId="236" xr:uid="{00000000-0005-0000-0000-0000D4000000}"/>
    <cellStyle name="Normal 4 2 4" xfId="116" xr:uid="{00000000-0005-0000-0000-0000D5000000}"/>
    <cellStyle name="Normal 4 2 5" xfId="274" xr:uid="{00000000-0005-0000-0000-0000D6000000}"/>
    <cellStyle name="Normal 4 2 6" xfId="53" xr:uid="{00000000-0005-0000-0000-0000D7000000}"/>
    <cellStyle name="Normal 4 3" xfId="14" xr:uid="{00000000-0005-0000-0000-0000D8000000}"/>
    <cellStyle name="Normal 4 3 2" xfId="89" xr:uid="{00000000-0005-0000-0000-0000D9000000}"/>
    <cellStyle name="Normal 4 3 2 2" xfId="153" xr:uid="{00000000-0005-0000-0000-0000DA000000}"/>
    <cellStyle name="Normal 4 3 3" xfId="242" xr:uid="{00000000-0005-0000-0000-0000DB000000}"/>
    <cellStyle name="Normal 4 3 4" xfId="122" xr:uid="{00000000-0005-0000-0000-0000DC000000}"/>
    <cellStyle name="Normal 4 3 5" xfId="280" xr:uid="{00000000-0005-0000-0000-0000DD000000}"/>
    <cellStyle name="Normal 4 3 6" xfId="59" xr:uid="{00000000-0005-0000-0000-0000DE000000}"/>
    <cellStyle name="Normal 4 4" xfId="18" xr:uid="{00000000-0005-0000-0000-0000DF000000}"/>
    <cellStyle name="Normal 4 4 2" xfId="93" xr:uid="{00000000-0005-0000-0000-0000E0000000}"/>
    <cellStyle name="Normal 4 4 2 2" xfId="157" xr:uid="{00000000-0005-0000-0000-0000E1000000}"/>
    <cellStyle name="Normal 4 4 3" xfId="246" xr:uid="{00000000-0005-0000-0000-0000E2000000}"/>
    <cellStyle name="Normal 4 4 4" xfId="126" xr:uid="{00000000-0005-0000-0000-0000E3000000}"/>
    <cellStyle name="Normal 4 4 5" xfId="284" xr:uid="{00000000-0005-0000-0000-0000E4000000}"/>
    <cellStyle name="Normal 4 4 6" xfId="63" xr:uid="{00000000-0005-0000-0000-0000E5000000}"/>
    <cellStyle name="Normal 4 5" xfId="21" xr:uid="{00000000-0005-0000-0000-0000E6000000}"/>
    <cellStyle name="Normal 4 5 2" xfId="96" xr:uid="{00000000-0005-0000-0000-0000E7000000}"/>
    <cellStyle name="Normal 4 5 2 2" xfId="160" xr:uid="{00000000-0005-0000-0000-0000E8000000}"/>
    <cellStyle name="Normal 4 5 3" xfId="249" xr:uid="{00000000-0005-0000-0000-0000E9000000}"/>
    <cellStyle name="Normal 4 5 4" xfId="129" xr:uid="{00000000-0005-0000-0000-0000EA000000}"/>
    <cellStyle name="Normal 4 5 5" xfId="287" xr:uid="{00000000-0005-0000-0000-0000EB000000}"/>
    <cellStyle name="Normal 4 5 6" xfId="66" xr:uid="{00000000-0005-0000-0000-0000EC000000}"/>
    <cellStyle name="Normal 4 6" xfId="26" xr:uid="{00000000-0005-0000-0000-0000ED000000}"/>
    <cellStyle name="Normal 4 6 2" xfId="33" xr:uid="{00000000-0005-0000-0000-0000EE000000}"/>
    <cellStyle name="Normal 4 6 2 2" xfId="107" xr:uid="{00000000-0005-0000-0000-0000EF000000}"/>
    <cellStyle name="Normal 4 6 2 2 2" xfId="171" xr:uid="{00000000-0005-0000-0000-0000F0000000}"/>
    <cellStyle name="Normal 4 6 2 3" xfId="260" xr:uid="{00000000-0005-0000-0000-0000F1000000}"/>
    <cellStyle name="Normal 4 6 2 4" xfId="140" xr:uid="{00000000-0005-0000-0000-0000F2000000}"/>
    <cellStyle name="Normal 4 6 2 5" xfId="298" xr:uid="{00000000-0005-0000-0000-0000F3000000}"/>
    <cellStyle name="Normal 4 6 2 6" xfId="77" xr:uid="{00000000-0005-0000-0000-0000F4000000}"/>
    <cellStyle name="Normal 4 6 3" xfId="110" xr:uid="{00000000-0005-0000-0000-0000F5000000}"/>
    <cellStyle name="Normal 4 6 3 2" xfId="164" xr:uid="{00000000-0005-0000-0000-0000F6000000}"/>
    <cellStyle name="Normal 4 6 4" xfId="100" xr:uid="{00000000-0005-0000-0000-0000F7000000}"/>
    <cellStyle name="Normal 4 6 4 2" xfId="253" xr:uid="{00000000-0005-0000-0000-0000F8000000}"/>
    <cellStyle name="Normal 4 6 5" xfId="133" xr:uid="{00000000-0005-0000-0000-0000F9000000}"/>
    <cellStyle name="Normal 4 6 6" xfId="291" xr:uid="{00000000-0005-0000-0000-0000FA000000}"/>
    <cellStyle name="Normal 4 6 7" xfId="70" xr:uid="{00000000-0005-0000-0000-0000FB000000}"/>
    <cellStyle name="Normal 4 7" xfId="81" xr:uid="{00000000-0005-0000-0000-0000FC000000}"/>
    <cellStyle name="Normal 4 7 2" xfId="144" xr:uid="{00000000-0005-0000-0000-0000FD000000}"/>
    <cellStyle name="Normal 4 8" xfId="234" xr:uid="{00000000-0005-0000-0000-0000FE000000}"/>
    <cellStyle name="Normal 4 9" xfId="114" xr:uid="{00000000-0005-0000-0000-0000FF000000}"/>
    <cellStyle name="Normál 40" xfId="36" xr:uid="{00000000-0005-0000-0000-000000010000}"/>
    <cellStyle name="Normál 40 2" xfId="266" xr:uid="{00000000-0005-0000-0000-000001010000}"/>
    <cellStyle name="Normál 40 4" xfId="45" xr:uid="{00000000-0005-0000-0000-000002010000}"/>
    <cellStyle name="Normál 42" xfId="37" xr:uid="{00000000-0005-0000-0000-000003010000}"/>
    <cellStyle name="Normál 42 2" xfId="267" xr:uid="{00000000-0005-0000-0000-000004010000}"/>
    <cellStyle name="Normál 46" xfId="38" xr:uid="{00000000-0005-0000-0000-000005010000}"/>
    <cellStyle name="Normál 46 2" xfId="268" xr:uid="{00000000-0005-0000-0000-000006010000}"/>
    <cellStyle name="Normál 46 4" xfId="46" xr:uid="{00000000-0005-0000-0000-000007010000}"/>
    <cellStyle name="Normal 5" xfId="7" xr:uid="{00000000-0005-0000-0000-000008010000}"/>
    <cellStyle name="Normal 5 2" xfId="82" xr:uid="{00000000-0005-0000-0000-000009010000}"/>
    <cellStyle name="Normal 5 2 2" xfId="146" xr:uid="{00000000-0005-0000-0000-00000A010000}"/>
    <cellStyle name="Normal 5 3" xfId="235" xr:uid="{00000000-0005-0000-0000-00000B010000}"/>
    <cellStyle name="Normal 5 4" xfId="115" xr:uid="{00000000-0005-0000-0000-00000C010000}"/>
    <cellStyle name="Normal 5 5" xfId="273" xr:uid="{00000000-0005-0000-0000-00000D010000}"/>
    <cellStyle name="Normal 5 6" xfId="52" xr:uid="{00000000-0005-0000-0000-00000E010000}"/>
    <cellStyle name="Normal 6" xfId="9" xr:uid="{00000000-0005-0000-0000-00000F010000}"/>
    <cellStyle name="Normal 6 2" xfId="84" xr:uid="{00000000-0005-0000-0000-000010010000}"/>
    <cellStyle name="Normal 6 2 2" xfId="148" xr:uid="{00000000-0005-0000-0000-000011010000}"/>
    <cellStyle name="Normal 6 3" xfId="237" xr:uid="{00000000-0005-0000-0000-000012010000}"/>
    <cellStyle name="Normal 6 4" xfId="117" xr:uid="{00000000-0005-0000-0000-000013010000}"/>
    <cellStyle name="Normal 6 5" xfId="275" xr:uid="{00000000-0005-0000-0000-000014010000}"/>
    <cellStyle name="Normal 6 6" xfId="54" xr:uid="{00000000-0005-0000-0000-000015010000}"/>
    <cellStyle name="Normal 7" xfId="10" xr:uid="{00000000-0005-0000-0000-000016010000}"/>
    <cellStyle name="Normal 7 2" xfId="85" xr:uid="{00000000-0005-0000-0000-000017010000}"/>
    <cellStyle name="Normal 7 2 2" xfId="149" xr:uid="{00000000-0005-0000-0000-000018010000}"/>
    <cellStyle name="Normal 7 3" xfId="238" xr:uid="{00000000-0005-0000-0000-000019010000}"/>
    <cellStyle name="Normal 7 4" xfId="118" xr:uid="{00000000-0005-0000-0000-00001A010000}"/>
    <cellStyle name="Normal 7 5" xfId="276" xr:uid="{00000000-0005-0000-0000-00001B010000}"/>
    <cellStyle name="Normal 7 6" xfId="55" xr:uid="{00000000-0005-0000-0000-00001C010000}"/>
    <cellStyle name="Normal 8" xfId="12" xr:uid="{00000000-0005-0000-0000-00001D010000}"/>
    <cellStyle name="Normal 8 2" xfId="87" xr:uid="{00000000-0005-0000-0000-00001E010000}"/>
    <cellStyle name="Normal 8 2 2" xfId="151" xr:uid="{00000000-0005-0000-0000-00001F010000}"/>
    <cellStyle name="Normal 8 3" xfId="240" xr:uid="{00000000-0005-0000-0000-000020010000}"/>
    <cellStyle name="Normal 8 4" xfId="120" xr:uid="{00000000-0005-0000-0000-000021010000}"/>
    <cellStyle name="Normal 8 5" xfId="278" xr:uid="{00000000-0005-0000-0000-000022010000}"/>
    <cellStyle name="Normal 8 6" xfId="57" xr:uid="{00000000-0005-0000-0000-000023010000}"/>
    <cellStyle name="Normal 9" xfId="15" xr:uid="{00000000-0005-0000-0000-000024010000}"/>
    <cellStyle name="Normal 9 2" xfId="90" xr:uid="{00000000-0005-0000-0000-000025010000}"/>
    <cellStyle name="Normal 9 2 2" xfId="154" xr:uid="{00000000-0005-0000-0000-000026010000}"/>
    <cellStyle name="Normal 9 3" xfId="243" xr:uid="{00000000-0005-0000-0000-000027010000}"/>
    <cellStyle name="Normal 9 4" xfId="123" xr:uid="{00000000-0005-0000-0000-000028010000}"/>
    <cellStyle name="Normal 9 5" xfId="281" xr:uid="{00000000-0005-0000-0000-000029010000}"/>
    <cellStyle name="Normal 9 6" xfId="60" xr:uid="{00000000-0005-0000-0000-00002A010000}"/>
    <cellStyle name="Normal_ASM1" xfId="34" xr:uid="{00000000-0005-0000-0000-00002B010000}"/>
    <cellStyle name="Normal_Kinetic matrix" xfId="2" xr:uid="{00000000-0005-0000-0000-00002C010000}"/>
  </cellStyles>
  <dxfs count="144">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colors>
    <mruColors>
      <color rgb="FFFFFF66"/>
      <color rgb="FFFFFFCC"/>
      <color rgb="FFFFFFFF"/>
      <color rgb="FF333333"/>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oneCellAnchor>
    <xdr:from>
      <xdr:col>4</xdr:col>
      <xdr:colOff>986872</xdr:colOff>
      <xdr:row>261</xdr:row>
      <xdr:rowOff>58232</xdr:rowOff>
    </xdr:from>
    <xdr:ext cx="5000625" cy="833438"/>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62763" y="44585536"/>
          <a:ext cx="5000625" cy="833438"/>
        </a:xfrm>
        <a:prstGeom prst="rect">
          <a:avLst/>
        </a:prstGeom>
        <a:noFill/>
        <a:ln w="1">
          <a:noFill/>
          <a:miter lim="800000"/>
          <a:headEnd/>
          <a:tailEnd type="none" w="med" len="med"/>
        </a:ln>
        <a:effectLst/>
      </xdr:spPr>
    </xdr:pic>
    <xdr:clientData/>
  </xdr:oneCellAnchor>
  <xdr:oneCellAnchor>
    <xdr:from>
      <xdr:col>4</xdr:col>
      <xdr:colOff>826190</xdr:colOff>
      <xdr:row>257</xdr:row>
      <xdr:rowOff>80341</xdr:rowOff>
    </xdr:from>
    <xdr:ext cx="3455193" cy="622300"/>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402081" y="43845645"/>
          <a:ext cx="3455193" cy="622300"/>
        </a:xfrm>
        <a:prstGeom prst="rect">
          <a:avLst/>
        </a:prstGeom>
        <a:noFill/>
        <a:ln w="1">
          <a:noFill/>
          <a:miter lim="800000"/>
          <a:headEnd/>
          <a:tailEnd type="none" w="med" len="med"/>
        </a:ln>
        <a:effectLst/>
      </xdr:spPr>
    </xdr:pic>
    <xdr:clientData/>
  </xdr:oneCellAnchor>
  <xdr:twoCellAnchor>
    <xdr:from>
      <xdr:col>3</xdr:col>
      <xdr:colOff>152401</xdr:colOff>
      <xdr:row>170</xdr:row>
      <xdr:rowOff>114300</xdr:rowOff>
    </xdr:from>
    <xdr:to>
      <xdr:col>5</xdr:col>
      <xdr:colOff>476251</xdr:colOff>
      <xdr:row>173</xdr:row>
      <xdr:rowOff>133350</xdr:rowOff>
    </xdr:to>
    <xdr:sp macro="" textlink="">
      <xdr:nvSpPr>
        <xdr:cNvPr id="5" name="Curved Up Arrow 3">
          <a:extLst>
            <a:ext uri="{FF2B5EF4-FFF2-40B4-BE49-F238E27FC236}">
              <a16:creationId xmlns:a16="http://schemas.microsoft.com/office/drawing/2014/main" id="{00000000-0008-0000-0000-000005000000}"/>
            </a:ext>
          </a:extLst>
        </xdr:cNvPr>
        <xdr:cNvSpPr/>
      </xdr:nvSpPr>
      <xdr:spPr>
        <a:xfrm>
          <a:off x="2105026" y="21497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absolute">
    <xdr:from>
      <xdr:col>3</xdr:col>
      <xdr:colOff>38100</xdr:colOff>
      <xdr:row>0</xdr:row>
      <xdr:rowOff>104775</xdr:rowOff>
    </xdr:from>
    <xdr:to>
      <xdr:col>4</xdr:col>
      <xdr:colOff>1038225</xdr:colOff>
      <xdr:row>0</xdr:row>
      <xdr:rowOff>504825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10477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269</xdr:row>
      <xdr:rowOff>58232</xdr:rowOff>
    </xdr:from>
    <xdr:ext cx="5000625" cy="833438"/>
    <xdr:pic>
      <xdr:nvPicPr>
        <xdr:cNvPr id="9" name="Picture 1">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265</xdr:row>
      <xdr:rowOff>80341</xdr:rowOff>
    </xdr:from>
    <xdr:ext cx="3455193" cy="622300"/>
    <xdr:pic>
      <xdr:nvPicPr>
        <xdr:cNvPr id="10" name="Picture 2">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177</xdr:row>
      <xdr:rowOff>114300</xdr:rowOff>
    </xdr:from>
    <xdr:to>
      <xdr:col>5</xdr:col>
      <xdr:colOff>476251</xdr:colOff>
      <xdr:row>180</xdr:row>
      <xdr:rowOff>133350</xdr:rowOff>
    </xdr:to>
    <xdr:sp macro="" textlink="">
      <xdr:nvSpPr>
        <xdr:cNvPr id="11" name="Curved Up Arrow 3">
          <a:extLst>
            <a:ext uri="{FF2B5EF4-FFF2-40B4-BE49-F238E27FC236}">
              <a16:creationId xmlns:a16="http://schemas.microsoft.com/office/drawing/2014/main" id="{00000000-0008-0000-0000-00000B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455544</xdr:colOff>
      <xdr:row>25</xdr:row>
      <xdr:rowOff>41006</xdr:rowOff>
    </xdr:from>
    <xdr:to>
      <xdr:col>16</xdr:col>
      <xdr:colOff>215348</xdr:colOff>
      <xdr:row>38</xdr:row>
      <xdr:rowOff>142877</xdr:rowOff>
    </xdr:to>
    <xdr:pic>
      <xdr:nvPicPr>
        <xdr:cNvPr id="13" name="Imag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8125240" y="5014713"/>
          <a:ext cx="5362989" cy="2470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157370</xdr:colOff>
      <xdr:row>27</xdr:row>
      <xdr:rowOff>161510</xdr:rowOff>
    </xdr:from>
    <xdr:to>
      <xdr:col>5</xdr:col>
      <xdr:colOff>1258957</xdr:colOff>
      <xdr:row>30</xdr:row>
      <xdr:rowOff>33811</xdr:rowOff>
    </xdr:to>
    <xdr:pic>
      <xdr:nvPicPr>
        <xdr:cNvPr id="14" name="Imag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1153" y="5499652"/>
          <a:ext cx="3354456" cy="4189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15</xdr:col>
      <xdr:colOff>213370</xdr:colOff>
      <xdr:row>12</xdr:row>
      <xdr:rowOff>91443</xdr:rowOff>
    </xdr:to>
    <xdr:pic>
      <xdr:nvPicPr>
        <xdr:cNvPr id="12" name="Kép 11">
          <a:extLst>
            <a:ext uri="{FF2B5EF4-FFF2-40B4-BE49-F238E27FC236}">
              <a16:creationId xmlns:a16="http://schemas.microsoft.com/office/drawing/2014/main" id="{668B0B8D-15EA-8757-20BE-867C6BD16E9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368540" y="1143000"/>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597154</xdr:colOff>
      <xdr:row>0</xdr:row>
      <xdr:rowOff>63752</xdr:rowOff>
    </xdr:from>
    <xdr:to>
      <xdr:col>1</xdr:col>
      <xdr:colOff>1397808</xdr:colOff>
      <xdr:row>0</xdr:row>
      <xdr:rowOff>596155</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90550" y="57150"/>
          <a:ext cx="1438275"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twoCellAnchor editAs="oneCell">
    <xdr:from>
      <xdr:col>10</xdr:col>
      <xdr:colOff>573665</xdr:colOff>
      <xdr:row>403</xdr:row>
      <xdr:rowOff>0</xdr:rowOff>
    </xdr:from>
    <xdr:to>
      <xdr:col>15</xdr:col>
      <xdr:colOff>1548560</xdr:colOff>
      <xdr:row>426</xdr:row>
      <xdr:rowOff>159460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9287489" y="84303452"/>
          <a:ext cx="7197221" cy="52986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76010</xdr:colOff>
      <xdr:row>0</xdr:row>
      <xdr:rowOff>63500</xdr:rowOff>
    </xdr:from>
    <xdr:to>
      <xdr:col>3</xdr:col>
      <xdr:colOff>646529</xdr:colOff>
      <xdr:row>0</xdr:row>
      <xdr:rowOff>595313</xdr:rowOff>
    </xdr:to>
    <xdr:sp macro="[0]!bt_chkcont_click" textlink="">
      <xdr:nvSpPr>
        <xdr:cNvPr id="2" name="bt_chkcont">
          <a:extLst>
            <a:ext uri="{FF2B5EF4-FFF2-40B4-BE49-F238E27FC236}">
              <a16:creationId xmlns:a16="http://schemas.microsoft.com/office/drawing/2014/main" id="{00000000-0008-0000-03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920108</xdr:colOff>
      <xdr:row>0</xdr:row>
      <xdr:rowOff>76200</xdr:rowOff>
    </xdr:from>
    <xdr:to>
      <xdr:col>3</xdr:col>
      <xdr:colOff>2357590</xdr:colOff>
      <xdr:row>0</xdr:row>
      <xdr:rowOff>608013</xdr:rowOff>
    </xdr:to>
    <xdr:sp macro="[0]!bt_chkcont_norates_click" textlink="">
      <xdr:nvSpPr>
        <xdr:cNvPr id="3" name="bt_chkcont">
          <a:extLst>
            <a:ext uri="{FF2B5EF4-FFF2-40B4-BE49-F238E27FC236}">
              <a16:creationId xmlns:a16="http://schemas.microsoft.com/office/drawing/2014/main" id="{00000000-0008-0000-0300-000003000000}"/>
            </a:ext>
          </a:extLst>
        </xdr:cNvPr>
        <xdr:cNvSpPr/>
      </xdr:nvSpPr>
      <xdr:spPr>
        <a:xfrm>
          <a:off x="2057400" y="76200"/>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83007</xdr:colOff>
      <xdr:row>0</xdr:row>
      <xdr:rowOff>466725</xdr:rowOff>
    </xdr:to>
    <xdr:sp macro="[0]!bt_pewpph" textlink="">
      <xdr:nvSpPr>
        <xdr:cNvPr id="2" name="bt_prepph">
          <a:extLst>
            <a:ext uri="{FF2B5EF4-FFF2-40B4-BE49-F238E27FC236}">
              <a16:creationId xmlns:a16="http://schemas.microsoft.com/office/drawing/2014/main" id="{00000000-0008-0000-0400-000002000000}"/>
            </a:ext>
          </a:extLst>
        </xdr:cNvPr>
        <xdr:cNvSpPr/>
      </xdr:nvSpPr>
      <xdr:spPr>
        <a:xfrm>
          <a:off x="190500" y="95250"/>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2" name="bt_creqma">
          <a:extLst>
            <a:ext uri="{FF2B5EF4-FFF2-40B4-BE49-F238E27FC236}">
              <a16:creationId xmlns:a16="http://schemas.microsoft.com/office/drawing/2014/main" id="{00000000-0008-0000-0500-000002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200025</xdr:colOff>
      <xdr:row>0</xdr:row>
      <xdr:rowOff>400050</xdr:rowOff>
    </xdr:to>
    <xdr:sp macro="[0]!bt_chksp_click" textlink="">
      <xdr:nvSpPr>
        <xdr:cNvPr id="3" name="bt_chksp">
          <a:extLst>
            <a:ext uri="{FF2B5EF4-FFF2-40B4-BE49-F238E27FC236}">
              <a16:creationId xmlns:a16="http://schemas.microsoft.com/office/drawing/2014/main" id="{00000000-0008-0000-0500-000003000000}"/>
            </a:ext>
          </a:extLst>
        </xdr:cNvPr>
        <xdr:cNvSpPr/>
      </xdr:nvSpPr>
      <xdr:spPr>
        <a:xfrm>
          <a:off x="2876550" y="0"/>
          <a:ext cx="1609725" cy="400050"/>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1092993</xdr:colOff>
      <xdr:row>0</xdr:row>
      <xdr:rowOff>523875</xdr:rowOff>
    </xdr:to>
    <xdr:sp macro="[0]!bt_crkinma_click" textlink="">
      <xdr:nvSpPr>
        <xdr:cNvPr id="2" name="bt_crkinma">
          <a:extLst>
            <a:ext uri="{FF2B5EF4-FFF2-40B4-BE49-F238E27FC236}">
              <a16:creationId xmlns:a16="http://schemas.microsoft.com/office/drawing/2014/main" id="{00000000-0008-0000-07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0</xdr:colOff>
      <xdr:row>0</xdr:row>
      <xdr:rowOff>95250</xdr:rowOff>
    </xdr:from>
    <xdr:to>
      <xdr:col>2</xdr:col>
      <xdr:colOff>1581150</xdr:colOff>
      <xdr:row>0</xdr:row>
      <xdr:rowOff>523875</xdr:rowOff>
    </xdr:to>
    <xdr:sp macro="[0]!bt_chkst_click" textlink="">
      <xdr:nvSpPr>
        <xdr:cNvPr id="3" name="bt_chkst">
          <a:extLst>
            <a:ext uri="{FF2B5EF4-FFF2-40B4-BE49-F238E27FC236}">
              <a16:creationId xmlns:a16="http://schemas.microsoft.com/office/drawing/2014/main" id="{00000000-0008-0000-07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8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179299</xdr:rowOff>
    </xdr:from>
    <xdr:to>
      <xdr:col>1</xdr:col>
      <xdr:colOff>1466544</xdr:colOff>
      <xdr:row>0</xdr:row>
      <xdr:rowOff>549729</xdr:rowOff>
    </xdr:to>
    <xdr:sp macro="[0]!bt_calcvar" textlink="">
      <xdr:nvSpPr>
        <xdr:cNvPr id="2" name="bt_calc">
          <a:extLst>
            <a:ext uri="{FF2B5EF4-FFF2-40B4-BE49-F238E27FC236}">
              <a16:creationId xmlns:a16="http://schemas.microsoft.com/office/drawing/2014/main" id="{00000000-0008-0000-0A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C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persons/person.xml><?xml version="1.0" encoding="utf-8"?>
<personList xmlns="http://schemas.microsoft.com/office/spreadsheetml/2018/threadedcomments" xmlns:x="http://schemas.openxmlformats.org/spreadsheetml/2006/main">
  <person displayName="Ferenc Házi" id="{16E345EB-53EB-4E6A-8D44-EEC08E635141}" userId="09190b45b532d636"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60" dT="2020-02-03T15:48:49.14" personId="{16E345EB-53EB-4E6A-8D44-EEC08E635141}" id="{D81AC52E-057E-418A-8316-03D86EFA570E}">
    <text>+ iw,EPS + iwh,EPS to XVSS,BIO and XE: the MEPS calculation is an indicator only, not properly integrated EPS variable. Makes it hard to implement in the calculation of bound water while the provided information wouldn't be not valid. This is simpler estimation for EPS correction of the specific plant, so a correction parameter should be calibrated for the bound water calculation during the calibration.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H2S&amp;NoIon=on&amp;Units=SI&amp;cSO=on" TargetMode="External"/><Relationship Id="rId7" Type="http://schemas.openxmlformats.org/officeDocument/2006/relationships/hyperlink" Target="http://webbook.nist.gov/cgi/cbook.cgi?Formula=CH4&amp;NoIon=on&amp;Units=SI&amp;cSO=on" TargetMode="External"/><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Formula=NH3&amp;NoIon=on&amp;Units=SI&amp;cSO=on"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printerSettings" Target="../printerSettings/printerSettings10.bin"/><Relationship Id="rId5" Type="http://schemas.openxmlformats.org/officeDocument/2006/relationships/hyperlink" Target="http://webbook.nist.gov/cgi/cbook.cgi?Formula=H2&amp;NoIon=on&amp;Units=SI&amp;cSO=on" TargetMode="External"/><Relationship Id="rId10" Type="http://schemas.openxmlformats.org/officeDocument/2006/relationships/hyperlink" Target="http://webbook.nist.gov/cgi/cbook.cgi?ID=C124389&amp;Mask=10"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ww.vias.org/genchem/standard_enthalpies_table.html"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12.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22"/>
  <dimension ref="A1:L289"/>
  <sheetViews>
    <sheetView showGridLines="0" tabSelected="1" zoomScaleNormal="100" workbookViewId="0">
      <selection activeCell="D41" sqref="D41"/>
    </sheetView>
  </sheetViews>
  <sheetFormatPr baseColWidth="10" defaultColWidth="9.140625" defaultRowHeight="15" x14ac:dyDescent="0.25"/>
  <cols>
    <col min="1" max="1" width="3.85546875" customWidth="1"/>
    <col min="2" max="2" width="13.140625" customWidth="1"/>
    <col min="3" max="3" width="12.28515625" customWidth="1"/>
    <col min="5" max="5" width="22.28515625" customWidth="1"/>
    <col min="6" max="6" width="33" customWidth="1"/>
    <col min="7" max="7" width="13.28515625" customWidth="1"/>
    <col min="14" max="14" width="5.140625" customWidth="1"/>
  </cols>
  <sheetData>
    <row r="1" spans="2:11" s="45" customFormat="1" ht="47.25" customHeight="1" x14ac:dyDescent="0.25"/>
    <row r="3" spans="2:11" x14ac:dyDescent="0.25">
      <c r="B3" s="50" t="s">
        <v>153</v>
      </c>
      <c r="C3" s="1" t="s">
        <v>3851</v>
      </c>
    </row>
    <row r="4" spans="2:11" x14ac:dyDescent="0.25">
      <c r="B4" s="1890"/>
      <c r="C4" s="1"/>
      <c r="D4" s="1894" t="s">
        <v>3968</v>
      </c>
    </row>
    <row r="5" spans="2:11" x14ac:dyDescent="0.25">
      <c r="D5" t="s">
        <v>220</v>
      </c>
    </row>
    <row r="6" spans="2:11" x14ac:dyDescent="0.25">
      <c r="D6" t="s">
        <v>221</v>
      </c>
    </row>
    <row r="7" spans="2:11" x14ac:dyDescent="0.25">
      <c r="D7" t="s">
        <v>3853</v>
      </c>
    </row>
    <row r="8" spans="2:11" x14ac:dyDescent="0.25">
      <c r="D8" t="s">
        <v>223</v>
      </c>
    </row>
    <row r="9" spans="2:11" x14ac:dyDescent="0.25">
      <c r="D9" t="s">
        <v>3852</v>
      </c>
    </row>
    <row r="10" spans="2:11" x14ac:dyDescent="0.25">
      <c r="D10" t="s">
        <v>222</v>
      </c>
    </row>
    <row r="11" spans="2:11" x14ac:dyDescent="0.25">
      <c r="D11" t="s">
        <v>284</v>
      </c>
    </row>
    <row r="12" spans="2:11" x14ac:dyDescent="0.25">
      <c r="D12" t="s">
        <v>1612</v>
      </c>
    </row>
    <row r="13" spans="2:11" x14ac:dyDescent="0.25">
      <c r="D13" t="s">
        <v>286</v>
      </c>
      <c r="H13" s="1919"/>
      <c r="K13" s="1922"/>
    </row>
    <row r="14" spans="2:11" x14ac:dyDescent="0.25">
      <c r="D14" t="s">
        <v>287</v>
      </c>
      <c r="H14" s="1920" t="s">
        <v>1165</v>
      </c>
    </row>
    <row r="15" spans="2:11" x14ac:dyDescent="0.25">
      <c r="D15" t="s">
        <v>2101</v>
      </c>
    </row>
    <row r="17" spans="2:9" x14ac:dyDescent="0.25">
      <c r="I17" t="s">
        <v>3926</v>
      </c>
    </row>
    <row r="18" spans="2:9" x14ac:dyDescent="0.25">
      <c r="B18" s="1" t="s">
        <v>3854</v>
      </c>
      <c r="C18" s="1"/>
      <c r="D18" s="1" t="s">
        <v>3855</v>
      </c>
    </row>
    <row r="19" spans="2:9" x14ac:dyDescent="0.25">
      <c r="D19" t="s">
        <v>3957</v>
      </c>
    </row>
    <row r="20" spans="2:9" x14ac:dyDescent="0.25">
      <c r="D20" t="s">
        <v>3958</v>
      </c>
    </row>
    <row r="21" spans="2:9" x14ac:dyDescent="0.25">
      <c r="D21" t="s">
        <v>3959</v>
      </c>
    </row>
    <row r="22" spans="2:9" x14ac:dyDescent="0.25">
      <c r="D22" t="s">
        <v>3960</v>
      </c>
    </row>
    <row r="23" spans="2:9" x14ac:dyDescent="0.25">
      <c r="D23" t="s">
        <v>3961</v>
      </c>
    </row>
    <row r="24" spans="2:9" x14ac:dyDescent="0.25">
      <c r="D24" t="s">
        <v>3962</v>
      </c>
    </row>
    <row r="25" spans="2:9" x14ac:dyDescent="0.25">
      <c r="D25" t="s">
        <v>3963</v>
      </c>
    </row>
    <row r="27" spans="2:9" x14ac:dyDescent="0.25">
      <c r="B27" s="1" t="s">
        <v>3867</v>
      </c>
      <c r="C27" s="1"/>
      <c r="D27" s="1" t="s">
        <v>3856</v>
      </c>
    </row>
    <row r="28" spans="2:9" x14ac:dyDescent="0.25">
      <c r="D28" t="s">
        <v>3964</v>
      </c>
    </row>
    <row r="31" spans="2:9" x14ac:dyDescent="0.25">
      <c r="D31" t="s">
        <v>3922</v>
      </c>
    </row>
    <row r="32" spans="2:9" x14ac:dyDescent="0.25">
      <c r="D32" t="s">
        <v>3923</v>
      </c>
    </row>
    <row r="33" spans="2:10" x14ac:dyDescent="0.25">
      <c r="D33" t="s">
        <v>3965</v>
      </c>
    </row>
    <row r="34" spans="2:10" x14ac:dyDescent="0.25">
      <c r="D34" t="s">
        <v>3956</v>
      </c>
    </row>
    <row r="35" spans="2:10" x14ac:dyDescent="0.25">
      <c r="D35" t="s">
        <v>3966</v>
      </c>
    </row>
    <row r="36" spans="2:10" x14ac:dyDescent="0.25">
      <c r="D36" t="s">
        <v>3967</v>
      </c>
    </row>
    <row r="39" spans="2:10" x14ac:dyDescent="0.25">
      <c r="B39" s="1" t="s">
        <v>5267</v>
      </c>
      <c r="D39" t="s">
        <v>5571</v>
      </c>
    </row>
    <row r="40" spans="2:10" x14ac:dyDescent="0.25">
      <c r="D40" t="s">
        <v>5570</v>
      </c>
    </row>
    <row r="41" spans="2:10" x14ac:dyDescent="0.25">
      <c r="D41" t="s">
        <v>5569</v>
      </c>
    </row>
    <row r="42" spans="2:10" x14ac:dyDescent="0.25">
      <c r="D42" t="s">
        <v>5130</v>
      </c>
    </row>
    <row r="48" spans="2:10" x14ac:dyDescent="0.25">
      <c r="B48" s="50" t="s">
        <v>27</v>
      </c>
      <c r="C48" s="51"/>
      <c r="H48" s="50" t="s">
        <v>212</v>
      </c>
      <c r="I48" s="51"/>
      <c r="J48" s="51"/>
    </row>
    <row r="49" spans="1:9" x14ac:dyDescent="0.25">
      <c r="A49" s="1890" t="s">
        <v>1898</v>
      </c>
      <c r="H49">
        <v>1</v>
      </c>
      <c r="I49" t="s">
        <v>213</v>
      </c>
    </row>
    <row r="50" spans="1:9" x14ac:dyDescent="0.25">
      <c r="A50">
        <v>1</v>
      </c>
      <c r="B50" t="s">
        <v>1899</v>
      </c>
      <c r="H50">
        <v>2</v>
      </c>
      <c r="I50" t="s">
        <v>3508</v>
      </c>
    </row>
    <row r="51" spans="1:9" x14ac:dyDescent="0.25">
      <c r="A51">
        <v>2</v>
      </c>
      <c r="B51" t="s">
        <v>1900</v>
      </c>
    </row>
    <row r="52" spans="1:9" x14ac:dyDescent="0.25">
      <c r="B52">
        <v>1</v>
      </c>
      <c r="C52" t="s">
        <v>1901</v>
      </c>
    </row>
    <row r="53" spans="1:9" x14ac:dyDescent="0.25">
      <c r="B53">
        <v>2</v>
      </c>
      <c r="C53" t="s">
        <v>1902</v>
      </c>
    </row>
    <row r="54" spans="1:9" x14ac:dyDescent="0.25">
      <c r="B54">
        <v>3</v>
      </c>
      <c r="C54" t="s">
        <v>1903</v>
      </c>
    </row>
    <row r="55" spans="1:9" x14ac:dyDescent="0.25">
      <c r="B55">
        <v>4</v>
      </c>
      <c r="C55" t="s">
        <v>1904</v>
      </c>
    </row>
    <row r="56" spans="1:9" x14ac:dyDescent="0.25">
      <c r="B56">
        <v>5</v>
      </c>
      <c r="C56" t="s">
        <v>1905</v>
      </c>
    </row>
    <row r="57" spans="1:9" x14ac:dyDescent="0.25">
      <c r="A57">
        <v>3</v>
      </c>
      <c r="B57" t="s">
        <v>1906</v>
      </c>
    </row>
    <row r="58" spans="1:9" x14ac:dyDescent="0.25">
      <c r="C58" t="s">
        <v>1907</v>
      </c>
    </row>
    <row r="60" spans="1:9" x14ac:dyDescent="0.25">
      <c r="A60" s="1" t="s">
        <v>28</v>
      </c>
      <c r="B60" s="1" t="s">
        <v>29</v>
      </c>
    </row>
    <row r="61" spans="1:9" x14ac:dyDescent="0.25">
      <c r="B61">
        <v>1</v>
      </c>
      <c r="C61" t="s">
        <v>793</v>
      </c>
    </row>
    <row r="62" spans="1:9" x14ac:dyDescent="0.25">
      <c r="D62" t="s">
        <v>30</v>
      </c>
    </row>
    <row r="63" spans="1:9" x14ac:dyDescent="0.25">
      <c r="D63">
        <v>1</v>
      </c>
      <c r="E63" t="s">
        <v>31</v>
      </c>
    </row>
    <row r="64" spans="1:9" x14ac:dyDescent="0.25">
      <c r="D64">
        <v>2</v>
      </c>
      <c r="E64" t="s">
        <v>101</v>
      </c>
    </row>
    <row r="65" spans="2:5" x14ac:dyDescent="0.25">
      <c r="D65">
        <v>3</v>
      </c>
      <c r="E65" t="s">
        <v>154</v>
      </c>
    </row>
    <row r="66" spans="2:5" x14ac:dyDescent="0.25">
      <c r="D66">
        <v>4</v>
      </c>
      <c r="E66" t="s">
        <v>33</v>
      </c>
    </row>
    <row r="67" spans="2:5" x14ac:dyDescent="0.25">
      <c r="B67">
        <v>2</v>
      </c>
      <c r="C67" t="s">
        <v>794</v>
      </c>
    </row>
    <row r="68" spans="2:5" x14ac:dyDescent="0.25">
      <c r="D68">
        <v>1</v>
      </c>
      <c r="E68" t="s">
        <v>34</v>
      </c>
    </row>
    <row r="69" spans="2:5" x14ac:dyDescent="0.25">
      <c r="D69">
        <v>2</v>
      </c>
      <c r="E69" t="s">
        <v>155</v>
      </c>
    </row>
    <row r="70" spans="2:5" x14ac:dyDescent="0.25">
      <c r="D70">
        <v>3</v>
      </c>
      <c r="E70" t="s">
        <v>156</v>
      </c>
    </row>
    <row r="71" spans="2:5" x14ac:dyDescent="0.25">
      <c r="D71">
        <v>3</v>
      </c>
      <c r="E71" t="s">
        <v>157</v>
      </c>
    </row>
    <row r="72" spans="2:5" x14ac:dyDescent="0.25">
      <c r="D72">
        <v>4</v>
      </c>
      <c r="E72" t="s">
        <v>158</v>
      </c>
    </row>
    <row r="73" spans="2:5" x14ac:dyDescent="0.25">
      <c r="D73" s="1895" t="s">
        <v>159</v>
      </c>
      <c r="E73" t="s">
        <v>36</v>
      </c>
    </row>
    <row r="74" spans="2:5" x14ac:dyDescent="0.25">
      <c r="D74">
        <v>6</v>
      </c>
      <c r="E74" t="s">
        <v>37</v>
      </c>
    </row>
    <row r="75" spans="2:5" x14ac:dyDescent="0.25">
      <c r="B75">
        <v>3</v>
      </c>
      <c r="C75" t="s">
        <v>38</v>
      </c>
    </row>
    <row r="76" spans="2:5" x14ac:dyDescent="0.25">
      <c r="D76">
        <v>1</v>
      </c>
      <c r="E76" t="s">
        <v>39</v>
      </c>
    </row>
    <row r="77" spans="2:5" x14ac:dyDescent="0.25">
      <c r="D77">
        <v>2</v>
      </c>
      <c r="E77" t="s">
        <v>40</v>
      </c>
    </row>
    <row r="78" spans="2:5" x14ac:dyDescent="0.25">
      <c r="D78">
        <v>3</v>
      </c>
      <c r="E78" t="s">
        <v>41</v>
      </c>
    </row>
    <row r="79" spans="2:5" x14ac:dyDescent="0.25">
      <c r="B79">
        <v>4</v>
      </c>
      <c r="C79" t="s">
        <v>160</v>
      </c>
    </row>
    <row r="80" spans="2:5" x14ac:dyDescent="0.25">
      <c r="D80">
        <v>1</v>
      </c>
      <c r="E80" t="s">
        <v>161</v>
      </c>
    </row>
    <row r="81" spans="2:10" x14ac:dyDescent="0.25">
      <c r="B81">
        <v>5</v>
      </c>
      <c r="C81" t="s">
        <v>794</v>
      </c>
    </row>
    <row r="82" spans="2:10" x14ac:dyDescent="0.25">
      <c r="D82">
        <v>1</v>
      </c>
      <c r="E82" t="s">
        <v>42</v>
      </c>
    </row>
    <row r="83" spans="2:10" x14ac:dyDescent="0.25">
      <c r="D83">
        <v>2</v>
      </c>
      <c r="E83" t="s">
        <v>99</v>
      </c>
    </row>
    <row r="84" spans="2:10" x14ac:dyDescent="0.25">
      <c r="D84">
        <v>3</v>
      </c>
      <c r="E84" t="s">
        <v>43</v>
      </c>
    </row>
    <row r="85" spans="2:10" x14ac:dyDescent="0.25">
      <c r="B85">
        <v>6</v>
      </c>
      <c r="C85" t="s">
        <v>1894</v>
      </c>
      <c r="J85" s="1921"/>
    </row>
    <row r="86" spans="2:10" x14ac:dyDescent="0.25">
      <c r="D86">
        <v>1</v>
      </c>
      <c r="E86" t="s">
        <v>1893</v>
      </c>
    </row>
    <row r="87" spans="2:10" x14ac:dyDescent="0.25">
      <c r="D87">
        <v>2</v>
      </c>
      <c r="E87" t="s">
        <v>1895</v>
      </c>
    </row>
    <row r="88" spans="2:10" x14ac:dyDescent="0.25">
      <c r="D88">
        <v>3</v>
      </c>
      <c r="E88" t="s">
        <v>1896</v>
      </c>
    </row>
    <row r="89" spans="2:10" x14ac:dyDescent="0.25">
      <c r="D89">
        <v>4</v>
      </c>
      <c r="E89" t="s">
        <v>1897</v>
      </c>
    </row>
    <row r="91" spans="2:10" x14ac:dyDescent="0.25">
      <c r="B91" s="1" t="s">
        <v>795</v>
      </c>
    </row>
    <row r="92" spans="2:10" x14ac:dyDescent="0.25">
      <c r="B92">
        <v>1</v>
      </c>
      <c r="C92" t="s">
        <v>796</v>
      </c>
    </row>
    <row r="93" spans="2:10" x14ac:dyDescent="0.25">
      <c r="D93" t="s">
        <v>44</v>
      </c>
    </row>
    <row r="94" spans="2:10" x14ac:dyDescent="0.25">
      <c r="D94">
        <v>1</v>
      </c>
      <c r="E94" t="s">
        <v>45</v>
      </c>
    </row>
    <row r="95" spans="2:10" x14ac:dyDescent="0.25">
      <c r="D95">
        <v>2</v>
      </c>
      <c r="E95" t="s">
        <v>46</v>
      </c>
    </row>
    <row r="96" spans="2:10" x14ac:dyDescent="0.25">
      <c r="D96">
        <v>3</v>
      </c>
      <c r="E96" t="s">
        <v>119</v>
      </c>
    </row>
    <row r="97" spans="1:5" x14ac:dyDescent="0.25">
      <c r="D97">
        <v>4</v>
      </c>
      <c r="E97" t="s">
        <v>1892</v>
      </c>
    </row>
    <row r="98" spans="1:5" x14ac:dyDescent="0.25">
      <c r="B98">
        <v>2</v>
      </c>
      <c r="C98" t="s">
        <v>797</v>
      </c>
    </row>
    <row r="99" spans="1:5" x14ac:dyDescent="0.25">
      <c r="D99">
        <v>1</v>
      </c>
      <c r="E99" t="s">
        <v>162</v>
      </c>
    </row>
    <row r="100" spans="1:5" x14ac:dyDescent="0.25">
      <c r="D100">
        <v>2</v>
      </c>
      <c r="E100" t="s">
        <v>163</v>
      </c>
    </row>
    <row r="101" spans="1:5" x14ac:dyDescent="0.25">
      <c r="B101">
        <v>3</v>
      </c>
      <c r="C101" t="s">
        <v>3509</v>
      </c>
    </row>
    <row r="102" spans="1:5" x14ac:dyDescent="0.25">
      <c r="D102">
        <v>1</v>
      </c>
      <c r="E102" t="s">
        <v>3510</v>
      </c>
    </row>
    <row r="103" spans="1:5" x14ac:dyDescent="0.25">
      <c r="B103">
        <v>4</v>
      </c>
      <c r="C103" t="s">
        <v>3511</v>
      </c>
    </row>
    <row r="104" spans="1:5" x14ac:dyDescent="0.25">
      <c r="D104">
        <v>1</v>
      </c>
      <c r="E104" t="s">
        <v>3512</v>
      </c>
    </row>
    <row r="105" spans="1:5" x14ac:dyDescent="0.25">
      <c r="D105">
        <v>2</v>
      </c>
      <c r="E105" t="s">
        <v>3513</v>
      </c>
    </row>
    <row r="106" spans="1:5" x14ac:dyDescent="0.25">
      <c r="D106">
        <v>3</v>
      </c>
      <c r="E106" t="s">
        <v>3514</v>
      </c>
    </row>
    <row r="108" spans="1:5" x14ac:dyDescent="0.25">
      <c r="B108">
        <v>5</v>
      </c>
      <c r="C108" t="s">
        <v>797</v>
      </c>
    </row>
    <row r="109" spans="1:5" x14ac:dyDescent="0.25">
      <c r="D109">
        <v>1</v>
      </c>
      <c r="E109" t="s">
        <v>47</v>
      </c>
    </row>
    <row r="110" spans="1:5" x14ac:dyDescent="0.25">
      <c r="D110">
        <v>2</v>
      </c>
      <c r="E110" t="s">
        <v>164</v>
      </c>
    </row>
    <row r="112" spans="1:5" x14ac:dyDescent="0.25">
      <c r="A112" s="1" t="s">
        <v>48</v>
      </c>
      <c r="B112" s="1" t="s">
        <v>49</v>
      </c>
    </row>
    <row r="113" spans="2:6" x14ac:dyDescent="0.25">
      <c r="B113">
        <v>1</v>
      </c>
      <c r="C113" t="s">
        <v>793</v>
      </c>
    </row>
    <row r="114" spans="2:6" x14ac:dyDescent="0.25">
      <c r="D114" t="s">
        <v>30</v>
      </c>
    </row>
    <row r="115" spans="2:6" x14ac:dyDescent="0.25">
      <c r="D115">
        <v>1</v>
      </c>
      <c r="E115" t="s">
        <v>50</v>
      </c>
    </row>
    <row r="116" spans="2:6" x14ac:dyDescent="0.25">
      <c r="D116">
        <v>2</v>
      </c>
      <c r="E116" t="s">
        <v>102</v>
      </c>
    </row>
    <row r="117" spans="2:6" x14ac:dyDescent="0.25">
      <c r="D117">
        <v>3</v>
      </c>
      <c r="E117" t="s">
        <v>32</v>
      </c>
    </row>
    <row r="118" spans="2:6" x14ac:dyDescent="0.25">
      <c r="E118" s="1898" t="s">
        <v>51</v>
      </c>
      <c r="F118" t="s">
        <v>52</v>
      </c>
    </row>
    <row r="119" spans="2:6" x14ac:dyDescent="0.25">
      <c r="E119" s="1898" t="s">
        <v>53</v>
      </c>
      <c r="F119" t="s">
        <v>3515</v>
      </c>
    </row>
    <row r="120" spans="2:6" x14ac:dyDescent="0.25">
      <c r="F120" t="s">
        <v>54</v>
      </c>
    </row>
    <row r="121" spans="2:6" x14ac:dyDescent="0.25">
      <c r="B121">
        <v>2</v>
      </c>
      <c r="C121" t="s">
        <v>794</v>
      </c>
    </row>
    <row r="122" spans="2:6" x14ac:dyDescent="0.25">
      <c r="D122">
        <v>1</v>
      </c>
      <c r="E122" t="s">
        <v>55</v>
      </c>
    </row>
    <row r="123" spans="2:6" x14ac:dyDescent="0.25">
      <c r="D123">
        <v>2</v>
      </c>
      <c r="E123" t="s">
        <v>155</v>
      </c>
    </row>
    <row r="124" spans="2:6" x14ac:dyDescent="0.25">
      <c r="D124" s="1895" t="s">
        <v>35</v>
      </c>
      <c r="E124" t="s">
        <v>36</v>
      </c>
    </row>
    <row r="125" spans="2:6" x14ac:dyDescent="0.25">
      <c r="D125">
        <v>4</v>
      </c>
      <c r="E125" t="s">
        <v>56</v>
      </c>
    </row>
    <row r="126" spans="2:6" x14ac:dyDescent="0.25">
      <c r="B126">
        <v>3</v>
      </c>
      <c r="C126" t="s">
        <v>38</v>
      </c>
    </row>
    <row r="127" spans="2:6" x14ac:dyDescent="0.25">
      <c r="D127">
        <v>1</v>
      </c>
      <c r="E127" t="s">
        <v>57</v>
      </c>
    </row>
    <row r="128" spans="2:6" x14ac:dyDescent="0.25">
      <c r="D128">
        <v>2</v>
      </c>
      <c r="E128" t="s">
        <v>40</v>
      </c>
    </row>
    <row r="129" spans="2:10" x14ac:dyDescent="0.25">
      <c r="D129">
        <v>3</v>
      </c>
      <c r="E129" t="s">
        <v>41</v>
      </c>
    </row>
    <row r="130" spans="2:10" x14ac:dyDescent="0.25">
      <c r="B130">
        <v>4</v>
      </c>
      <c r="C130" t="s">
        <v>160</v>
      </c>
    </row>
    <row r="131" spans="2:10" x14ac:dyDescent="0.25">
      <c r="D131">
        <v>1</v>
      </c>
      <c r="E131" t="s">
        <v>161</v>
      </c>
    </row>
    <row r="132" spans="2:10" x14ac:dyDescent="0.25">
      <c r="B132">
        <v>5</v>
      </c>
      <c r="C132" t="s">
        <v>794</v>
      </c>
    </row>
    <row r="133" spans="2:10" x14ac:dyDescent="0.25">
      <c r="D133">
        <v>1</v>
      </c>
      <c r="E133" t="s">
        <v>42</v>
      </c>
    </row>
    <row r="134" spans="2:10" x14ac:dyDescent="0.25">
      <c r="D134">
        <v>2</v>
      </c>
      <c r="E134" t="s">
        <v>99</v>
      </c>
    </row>
    <row r="135" spans="2:10" x14ac:dyDescent="0.25">
      <c r="D135">
        <v>3</v>
      </c>
      <c r="E135" t="s">
        <v>43</v>
      </c>
      <c r="J135" s="1921"/>
    </row>
    <row r="136" spans="2:10" x14ac:dyDescent="0.25">
      <c r="B136">
        <v>6</v>
      </c>
      <c r="C136" t="s">
        <v>1894</v>
      </c>
    </row>
    <row r="137" spans="2:10" x14ac:dyDescent="0.25">
      <c r="D137">
        <v>1</v>
      </c>
      <c r="E137" t="s">
        <v>1893</v>
      </c>
    </row>
    <row r="138" spans="2:10" x14ac:dyDescent="0.25">
      <c r="D138">
        <v>2</v>
      </c>
      <c r="E138" t="s">
        <v>1895</v>
      </c>
    </row>
    <row r="139" spans="2:10" x14ac:dyDescent="0.25">
      <c r="D139">
        <v>3</v>
      </c>
      <c r="E139" t="s">
        <v>1896</v>
      </c>
    </row>
    <row r="140" spans="2:10" x14ac:dyDescent="0.25">
      <c r="D140">
        <v>4</v>
      </c>
      <c r="E140" t="s">
        <v>1897</v>
      </c>
    </row>
    <row r="141" spans="2:10" x14ac:dyDescent="0.25">
      <c r="B141" s="1" t="s">
        <v>58</v>
      </c>
    </row>
    <row r="142" spans="2:10" x14ac:dyDescent="0.25">
      <c r="B142">
        <v>1</v>
      </c>
      <c r="C142" t="s">
        <v>796</v>
      </c>
    </row>
    <row r="143" spans="2:10" x14ac:dyDescent="0.25">
      <c r="D143" t="s">
        <v>44</v>
      </c>
    </row>
    <row r="144" spans="2:10" x14ac:dyDescent="0.25">
      <c r="D144">
        <v>1</v>
      </c>
      <c r="E144" t="s">
        <v>59</v>
      </c>
    </row>
    <row r="145" spans="2:6" x14ac:dyDescent="0.25">
      <c r="D145">
        <v>2</v>
      </c>
      <c r="E145" t="s">
        <v>46</v>
      </c>
    </row>
    <row r="146" spans="2:6" x14ac:dyDescent="0.25">
      <c r="E146" s="1898" t="s">
        <v>51</v>
      </c>
      <c r="F146" t="s">
        <v>60</v>
      </c>
    </row>
    <row r="147" spans="2:6" x14ac:dyDescent="0.25">
      <c r="E147" s="1898" t="s">
        <v>53</v>
      </c>
      <c r="F147" t="s">
        <v>61</v>
      </c>
    </row>
    <row r="148" spans="2:6" x14ac:dyDescent="0.25">
      <c r="F148" t="s">
        <v>62</v>
      </c>
    </row>
    <row r="149" spans="2:6" x14ac:dyDescent="0.25">
      <c r="D149">
        <v>3</v>
      </c>
      <c r="E149" t="s">
        <v>1892</v>
      </c>
    </row>
    <row r="150" spans="2:6" x14ac:dyDescent="0.25">
      <c r="B150">
        <v>2</v>
      </c>
      <c r="C150" t="s">
        <v>797</v>
      </c>
    </row>
    <row r="151" spans="2:6" x14ac:dyDescent="0.25">
      <c r="D151">
        <v>1</v>
      </c>
      <c r="E151" t="s">
        <v>63</v>
      </c>
    </row>
    <row r="152" spans="2:6" x14ac:dyDescent="0.25">
      <c r="D152">
        <v>2</v>
      </c>
      <c r="E152" t="s">
        <v>163</v>
      </c>
    </row>
    <row r="153" spans="2:6" x14ac:dyDescent="0.25">
      <c r="E153" t="s">
        <v>3516</v>
      </c>
    </row>
    <row r="154" spans="2:6" x14ac:dyDescent="0.25">
      <c r="B154">
        <v>3</v>
      </c>
      <c r="C154" t="s">
        <v>3509</v>
      </c>
    </row>
    <row r="155" spans="2:6" x14ac:dyDescent="0.25">
      <c r="D155">
        <v>1</v>
      </c>
      <c r="E155" t="s">
        <v>3510</v>
      </c>
    </row>
    <row r="156" spans="2:6" x14ac:dyDescent="0.25">
      <c r="B156">
        <v>4</v>
      </c>
      <c r="C156" t="s">
        <v>3511</v>
      </c>
    </row>
    <row r="157" spans="2:6" x14ac:dyDescent="0.25">
      <c r="D157">
        <v>1</v>
      </c>
      <c r="E157" t="s">
        <v>3512</v>
      </c>
    </row>
    <row r="158" spans="2:6" x14ac:dyDescent="0.25">
      <c r="D158">
        <v>2</v>
      </c>
      <c r="E158" t="s">
        <v>3513</v>
      </c>
    </row>
    <row r="159" spans="2:6" x14ac:dyDescent="0.25">
      <c r="D159">
        <v>3</v>
      </c>
      <c r="E159" t="s">
        <v>3517</v>
      </c>
    </row>
    <row r="160" spans="2:6" x14ac:dyDescent="0.25">
      <c r="D160">
        <v>4</v>
      </c>
      <c r="E160" t="s">
        <v>3514</v>
      </c>
    </row>
    <row r="161" spans="2:7" x14ac:dyDescent="0.25">
      <c r="B161">
        <v>5</v>
      </c>
      <c r="C161" t="s">
        <v>797</v>
      </c>
    </row>
    <row r="162" spans="2:7" x14ac:dyDescent="0.25">
      <c r="D162">
        <v>1</v>
      </c>
      <c r="E162" t="s">
        <v>47</v>
      </c>
    </row>
    <row r="167" spans="2:7" x14ac:dyDescent="0.25">
      <c r="B167" s="50" t="s">
        <v>64</v>
      </c>
      <c r="C167" s="50"/>
      <c r="D167" s="50"/>
    </row>
    <row r="169" spans="2:7" x14ac:dyDescent="0.25">
      <c r="B169" s="1" t="s">
        <v>65</v>
      </c>
      <c r="C169" t="s">
        <v>66</v>
      </c>
    </row>
    <row r="170" spans="2:7" x14ac:dyDescent="0.25">
      <c r="C170" t="s">
        <v>67</v>
      </c>
    </row>
    <row r="171" spans="2:7" x14ac:dyDescent="0.25">
      <c r="C171" t="s">
        <v>125</v>
      </c>
    </row>
    <row r="172" spans="2:7" ht="15.75" thickBot="1" x14ac:dyDescent="0.3">
      <c r="C172" s="1891"/>
      <c r="D172" s="1896"/>
      <c r="E172" s="1896"/>
      <c r="F172" s="1896"/>
      <c r="G172" s="1891"/>
    </row>
    <row r="173" spans="2:7" x14ac:dyDescent="0.25">
      <c r="C173" s="1892"/>
      <c r="D173" s="447" t="s">
        <v>26</v>
      </c>
      <c r="E173" s="448"/>
      <c r="F173" s="449">
        <v>3.52</v>
      </c>
      <c r="G173" s="1899"/>
    </row>
    <row r="174" spans="2:7" x14ac:dyDescent="0.25">
      <c r="C174" s="1892"/>
      <c r="D174" s="450" t="s">
        <v>68</v>
      </c>
      <c r="E174" s="451"/>
      <c r="F174" s="452">
        <v>1.23</v>
      </c>
      <c r="G174" s="1899"/>
    </row>
    <row r="175" spans="2:7" x14ac:dyDescent="0.25">
      <c r="C175" s="1892"/>
      <c r="D175" s="450" t="s">
        <v>69</v>
      </c>
      <c r="E175" s="451"/>
      <c r="F175" s="452">
        <v>0.02</v>
      </c>
      <c r="G175" s="1899"/>
    </row>
    <row r="176" spans="2:7" ht="15.75" thickBot="1" x14ac:dyDescent="0.3">
      <c r="C176" s="1892"/>
      <c r="D176" s="453" t="s">
        <v>70</v>
      </c>
      <c r="E176" s="454"/>
      <c r="F176" s="455">
        <v>4.21</v>
      </c>
      <c r="G176" s="1899"/>
    </row>
    <row r="177" spans="2:7" x14ac:dyDescent="0.25">
      <c r="C177" s="1891"/>
      <c r="D177" s="1897"/>
      <c r="E177" s="1897"/>
      <c r="F177" s="1897"/>
      <c r="G177" s="1891"/>
    </row>
    <row r="185" spans="2:7" x14ac:dyDescent="0.25">
      <c r="B185" s="1" t="s">
        <v>793</v>
      </c>
    </row>
    <row r="186" spans="2:7" x14ac:dyDescent="0.25">
      <c r="C186" s="8" t="s">
        <v>71</v>
      </c>
    </row>
    <row r="187" spans="2:7" x14ac:dyDescent="0.25">
      <c r="C187" t="s">
        <v>72</v>
      </c>
    </row>
    <row r="188" spans="2:7" x14ac:dyDescent="0.25">
      <c r="C188" t="s">
        <v>73</v>
      </c>
    </row>
    <row r="189" spans="2:7" x14ac:dyDescent="0.25">
      <c r="C189" t="s">
        <v>74</v>
      </c>
    </row>
    <row r="191" spans="2:7" x14ac:dyDescent="0.25">
      <c r="C191" s="8" t="s">
        <v>75</v>
      </c>
    </row>
    <row r="192" spans="2:7" x14ac:dyDescent="0.25">
      <c r="C192" t="s">
        <v>76</v>
      </c>
    </row>
    <row r="193" spans="2:4" x14ac:dyDescent="0.25">
      <c r="D193" t="s">
        <v>16</v>
      </c>
    </row>
    <row r="194" spans="2:4" x14ac:dyDescent="0.25">
      <c r="C194" t="s">
        <v>103</v>
      </c>
    </row>
    <row r="196" spans="2:4" x14ac:dyDescent="0.25">
      <c r="B196" s="1" t="s">
        <v>796</v>
      </c>
    </row>
    <row r="197" spans="2:4" x14ac:dyDescent="0.25">
      <c r="C197" s="8" t="s">
        <v>77</v>
      </c>
    </row>
    <row r="198" spans="2:4" x14ac:dyDescent="0.25">
      <c r="C198" t="s">
        <v>78</v>
      </c>
    </row>
    <row r="199" spans="2:4" x14ac:dyDescent="0.25">
      <c r="C199" t="s">
        <v>73</v>
      </c>
    </row>
    <row r="201" spans="2:4" x14ac:dyDescent="0.25">
      <c r="C201" s="8" t="s">
        <v>79</v>
      </c>
    </row>
    <row r="202" spans="2:4" x14ac:dyDescent="0.25">
      <c r="C202" s="1893" t="s">
        <v>17</v>
      </c>
    </row>
    <row r="203" spans="2:4" x14ac:dyDescent="0.25">
      <c r="C203" s="1893"/>
      <c r="D203" t="s">
        <v>16</v>
      </c>
    </row>
    <row r="204" spans="2:4" x14ac:dyDescent="0.25">
      <c r="C204" s="1893"/>
    </row>
    <row r="205" spans="2:4" x14ac:dyDescent="0.25">
      <c r="B205" s="1" t="s">
        <v>794</v>
      </c>
      <c r="C205" s="1893"/>
    </row>
    <row r="206" spans="2:4" x14ac:dyDescent="0.25">
      <c r="C206" s="8" t="s">
        <v>104</v>
      </c>
    </row>
    <row r="207" spans="2:4" x14ac:dyDescent="0.25">
      <c r="C207" t="s">
        <v>105</v>
      </c>
    </row>
    <row r="208" spans="2:4" x14ac:dyDescent="0.25">
      <c r="D208" t="s">
        <v>80</v>
      </c>
    </row>
    <row r="209" spans="3:12" x14ac:dyDescent="0.25">
      <c r="E209" t="s">
        <v>81</v>
      </c>
    </row>
    <row r="210" spans="3:12" x14ac:dyDescent="0.25">
      <c r="E210" t="s">
        <v>82</v>
      </c>
    </row>
    <row r="211" spans="3:12" x14ac:dyDescent="0.25">
      <c r="D211" t="s">
        <v>18</v>
      </c>
    </row>
    <row r="212" spans="3:12" x14ac:dyDescent="0.25">
      <c r="E212" t="s">
        <v>19</v>
      </c>
    </row>
    <row r="213" spans="3:12" x14ac:dyDescent="0.25">
      <c r="E213" t="s">
        <v>10</v>
      </c>
    </row>
    <row r="214" spans="3:12" x14ac:dyDescent="0.25">
      <c r="E214" t="s">
        <v>83</v>
      </c>
    </row>
    <row r="215" spans="3:12" x14ac:dyDescent="0.25">
      <c r="D215" t="s">
        <v>84</v>
      </c>
    </row>
    <row r="216" spans="3:12" x14ac:dyDescent="0.25">
      <c r="D216" t="s">
        <v>100</v>
      </c>
    </row>
    <row r="217" spans="3:12" x14ac:dyDescent="0.25">
      <c r="D217" t="s">
        <v>20</v>
      </c>
    </row>
    <row r="218" spans="3:12" x14ac:dyDescent="0.25">
      <c r="C218" t="s">
        <v>106</v>
      </c>
    </row>
    <row r="220" spans="3:12" x14ac:dyDescent="0.25">
      <c r="D220" t="s">
        <v>798</v>
      </c>
    </row>
    <row r="221" spans="3:12" ht="15.75" thickBot="1" x14ac:dyDescent="0.3"/>
    <row r="222" spans="3:12" ht="15.75" thickBot="1" x14ac:dyDescent="0.3">
      <c r="E222" s="456" t="s">
        <v>0</v>
      </c>
      <c r="F222" s="457" t="s">
        <v>1</v>
      </c>
      <c r="G222" s="2509" t="s">
        <v>5</v>
      </c>
      <c r="H222" s="2509"/>
      <c r="I222" s="2509"/>
      <c r="J222" s="2509"/>
      <c r="K222" s="2509"/>
      <c r="L222" s="2510"/>
    </row>
    <row r="223" spans="3:12" x14ac:dyDescent="0.25">
      <c r="E223" s="1900" t="s">
        <v>165</v>
      </c>
      <c r="F223" s="87" t="s">
        <v>166</v>
      </c>
      <c r="G223" s="2511" t="s">
        <v>167</v>
      </c>
      <c r="H223" s="2511"/>
      <c r="I223" s="2511"/>
      <c r="J223" s="2511"/>
      <c r="K223" s="2511"/>
      <c r="L223" s="2512"/>
    </row>
    <row r="224" spans="3:12" x14ac:dyDescent="0.25">
      <c r="E224" s="1901" t="s">
        <v>168</v>
      </c>
      <c r="F224" s="1902" t="s">
        <v>169</v>
      </c>
      <c r="G224" s="2505" t="s">
        <v>170</v>
      </c>
      <c r="H224" s="2505"/>
      <c r="I224" s="2505"/>
      <c r="J224" s="2505"/>
      <c r="K224" s="2505"/>
      <c r="L224" s="2506"/>
    </row>
    <row r="225" spans="4:12" x14ac:dyDescent="0.25">
      <c r="E225" s="1901" t="s">
        <v>171</v>
      </c>
      <c r="F225" s="1902" t="s">
        <v>172</v>
      </c>
      <c r="G225" s="2505" t="s">
        <v>173</v>
      </c>
      <c r="H225" s="2505"/>
      <c r="I225" s="2505"/>
      <c r="J225" s="2505"/>
      <c r="K225" s="2505"/>
      <c r="L225" s="2506"/>
    </row>
    <row r="226" spans="4:12" x14ac:dyDescent="0.25">
      <c r="E226" s="1901" t="s">
        <v>174</v>
      </c>
      <c r="F226" s="1902" t="s">
        <v>175</v>
      </c>
      <c r="G226" s="2505" t="s">
        <v>176</v>
      </c>
      <c r="H226" s="2505"/>
      <c r="I226" s="2505"/>
      <c r="J226" s="2505"/>
      <c r="K226" s="2505"/>
      <c r="L226" s="2506"/>
    </row>
    <row r="227" spans="4:12" x14ac:dyDescent="0.25">
      <c r="E227" s="1901" t="s">
        <v>177</v>
      </c>
      <c r="F227" s="1902" t="s">
        <v>178</v>
      </c>
      <c r="G227" s="2505" t="s">
        <v>179</v>
      </c>
      <c r="H227" s="2505"/>
      <c r="I227" s="2505"/>
      <c r="J227" s="2505"/>
      <c r="K227" s="2505"/>
      <c r="L227" s="2506"/>
    </row>
    <row r="228" spans="4:12" x14ac:dyDescent="0.25">
      <c r="E228" s="1901" t="s">
        <v>180</v>
      </c>
      <c r="F228" s="1902" t="s">
        <v>181</v>
      </c>
      <c r="G228" s="2505" t="s">
        <v>182</v>
      </c>
      <c r="H228" s="2505"/>
      <c r="I228" s="2505"/>
      <c r="J228" s="2505"/>
      <c r="K228" s="2505"/>
      <c r="L228" s="2506"/>
    </row>
    <row r="229" spans="4:12" x14ac:dyDescent="0.25">
      <c r="E229" s="1901" t="s">
        <v>183</v>
      </c>
      <c r="F229" s="1902" t="s">
        <v>184</v>
      </c>
      <c r="G229" s="2505" t="s">
        <v>185</v>
      </c>
      <c r="H229" s="2505"/>
      <c r="I229" s="2505"/>
      <c r="J229" s="2505"/>
      <c r="K229" s="2505"/>
      <c r="L229" s="2506"/>
    </row>
    <row r="230" spans="4:12" x14ac:dyDescent="0.25">
      <c r="E230" s="1901" t="s">
        <v>151</v>
      </c>
      <c r="F230" s="1902" t="s">
        <v>149</v>
      </c>
      <c r="G230" s="2505" t="s">
        <v>150</v>
      </c>
      <c r="H230" s="2505"/>
      <c r="I230" s="2505"/>
      <c r="J230" s="2505"/>
      <c r="K230" s="2505"/>
      <c r="L230" s="2506"/>
    </row>
    <row r="231" spans="4:12" ht="15.75" thickBot="1" x14ac:dyDescent="0.3">
      <c r="E231" s="1903" t="s">
        <v>186</v>
      </c>
      <c r="F231" s="1904" t="s">
        <v>187</v>
      </c>
      <c r="G231" s="2507" t="s">
        <v>188</v>
      </c>
      <c r="H231" s="2507"/>
      <c r="I231" s="2507"/>
      <c r="J231" s="2507"/>
      <c r="K231" s="2507"/>
      <c r="L231" s="2508"/>
    </row>
    <row r="232" spans="4:12" x14ac:dyDescent="0.25">
      <c r="E232" s="1905"/>
      <c r="F232" s="1906"/>
      <c r="G232" s="1906"/>
    </row>
    <row r="233" spans="4:12" ht="15.75" thickBot="1" x14ac:dyDescent="0.3">
      <c r="D233" t="s">
        <v>189</v>
      </c>
    </row>
    <row r="234" spans="4:12" ht="15.75" thickBot="1" x14ac:dyDescent="0.3">
      <c r="E234" s="272" t="s">
        <v>0</v>
      </c>
      <c r="F234" s="219" t="s">
        <v>1</v>
      </c>
      <c r="G234" s="458" t="s">
        <v>5</v>
      </c>
    </row>
    <row r="235" spans="4:12" x14ac:dyDescent="0.25">
      <c r="E235" s="1907" t="s">
        <v>190</v>
      </c>
      <c r="F235" s="1908" t="s">
        <v>191</v>
      </c>
      <c r="G235" s="1909" t="s">
        <v>192</v>
      </c>
    </row>
    <row r="236" spans="4:12" x14ac:dyDescent="0.25">
      <c r="E236" s="1910" t="s">
        <v>193</v>
      </c>
      <c r="F236" s="1911" t="s">
        <v>194</v>
      </c>
      <c r="G236" s="1912" t="s">
        <v>195</v>
      </c>
    </row>
    <row r="237" spans="4:12" x14ac:dyDescent="0.25">
      <c r="E237" s="1910" t="s">
        <v>196</v>
      </c>
      <c r="F237" s="1913" t="s">
        <v>197</v>
      </c>
      <c r="G237" s="1914" t="s">
        <v>198</v>
      </c>
    </row>
    <row r="238" spans="4:12" x14ac:dyDescent="0.25">
      <c r="E238" s="1910" t="s">
        <v>199</v>
      </c>
      <c r="F238" s="1913" t="s">
        <v>200</v>
      </c>
      <c r="G238" s="1914" t="s">
        <v>201</v>
      </c>
    </row>
    <row r="239" spans="4:12" x14ac:dyDescent="0.25">
      <c r="E239" s="1910" t="s">
        <v>202</v>
      </c>
      <c r="F239" s="1913" t="s">
        <v>203</v>
      </c>
      <c r="G239" s="1914" t="s">
        <v>204</v>
      </c>
    </row>
    <row r="240" spans="4:12" ht="15.75" thickBot="1" x14ac:dyDescent="0.3">
      <c r="E240" s="1915" t="s">
        <v>205</v>
      </c>
      <c r="F240" s="1916" t="s">
        <v>206</v>
      </c>
      <c r="G240" s="1917" t="s">
        <v>207</v>
      </c>
    </row>
    <row r="242" spans="2:7" x14ac:dyDescent="0.25">
      <c r="D242" t="s">
        <v>208</v>
      </c>
    </row>
    <row r="244" spans="2:7" x14ac:dyDescent="0.25">
      <c r="C244" t="s">
        <v>3518</v>
      </c>
    </row>
    <row r="245" spans="2:7" x14ac:dyDescent="0.25">
      <c r="C245" t="s">
        <v>111</v>
      </c>
    </row>
    <row r="246" spans="2:7" x14ac:dyDescent="0.25">
      <c r="D246" t="s">
        <v>114</v>
      </c>
    </row>
    <row r="247" spans="2:7" x14ac:dyDescent="0.25">
      <c r="C247" t="s">
        <v>112</v>
      </c>
    </row>
    <row r="248" spans="2:7" x14ac:dyDescent="0.25">
      <c r="C248" t="s">
        <v>209</v>
      </c>
    </row>
    <row r="251" spans="2:7" x14ac:dyDescent="0.25">
      <c r="B251" s="1" t="s">
        <v>797</v>
      </c>
    </row>
    <row r="252" spans="2:7" x14ac:dyDescent="0.25">
      <c r="C252" s="8" t="s">
        <v>85</v>
      </c>
    </row>
    <row r="253" spans="2:7" x14ac:dyDescent="0.25">
      <c r="C253" t="s">
        <v>86</v>
      </c>
    </row>
    <row r="254" spans="2:7" x14ac:dyDescent="0.25">
      <c r="D254" t="s">
        <v>87</v>
      </c>
      <c r="F254" s="1918"/>
      <c r="G254" s="1918"/>
    </row>
    <row r="255" spans="2:7" x14ac:dyDescent="0.25">
      <c r="E255" t="s">
        <v>21</v>
      </c>
    </row>
    <row r="256" spans="2:7" x14ac:dyDescent="0.25">
      <c r="E256" t="s">
        <v>22</v>
      </c>
    </row>
    <row r="257" spans="3:5" x14ac:dyDescent="0.25">
      <c r="D257" t="s">
        <v>88</v>
      </c>
    </row>
    <row r="258" spans="3:5" ht="18" x14ac:dyDescent="0.35">
      <c r="E258" t="s">
        <v>23</v>
      </c>
    </row>
    <row r="259" spans="3:5" ht="18" x14ac:dyDescent="0.35">
      <c r="E259" t="s">
        <v>89</v>
      </c>
    </row>
    <row r="260" spans="3:5" x14ac:dyDescent="0.25">
      <c r="D260" t="s">
        <v>25</v>
      </c>
    </row>
    <row r="261" spans="3:5" x14ac:dyDescent="0.25">
      <c r="D261" t="s">
        <v>24</v>
      </c>
    </row>
    <row r="262" spans="3:5" x14ac:dyDescent="0.25">
      <c r="D262" t="s">
        <v>90</v>
      </c>
    </row>
    <row r="264" spans="3:5" x14ac:dyDescent="0.25">
      <c r="C264" s="8"/>
    </row>
    <row r="268" spans="3:5" x14ac:dyDescent="0.25">
      <c r="D268" t="s">
        <v>91</v>
      </c>
    </row>
    <row r="272" spans="3:5" x14ac:dyDescent="0.25">
      <c r="D272" t="s">
        <v>92</v>
      </c>
    </row>
    <row r="275" spans="2:4" x14ac:dyDescent="0.25">
      <c r="B275" s="8" t="s">
        <v>121</v>
      </c>
    </row>
    <row r="276" spans="2:4" x14ac:dyDescent="0.25">
      <c r="B276" s="8"/>
      <c r="C276" s="8" t="s">
        <v>122</v>
      </c>
    </row>
    <row r="277" spans="2:4" x14ac:dyDescent="0.25">
      <c r="B277" s="8"/>
      <c r="C277" t="s">
        <v>123</v>
      </c>
    </row>
    <row r="278" spans="2:4" x14ac:dyDescent="0.25">
      <c r="B278" s="8"/>
      <c r="D278" t="s">
        <v>124</v>
      </c>
    </row>
    <row r="279" spans="2:4" x14ac:dyDescent="0.25">
      <c r="B279" s="8"/>
    </row>
    <row r="280" spans="2:4" x14ac:dyDescent="0.25">
      <c r="B280" s="8" t="s">
        <v>160</v>
      </c>
    </row>
    <row r="281" spans="2:4" x14ac:dyDescent="0.25">
      <c r="B281" s="8"/>
      <c r="C281" s="8" t="s">
        <v>210</v>
      </c>
    </row>
    <row r="282" spans="2:4" x14ac:dyDescent="0.25">
      <c r="B282" s="8"/>
      <c r="C282" t="s">
        <v>211</v>
      </c>
    </row>
    <row r="283" spans="2:4" x14ac:dyDescent="0.25">
      <c r="B283" s="8"/>
    </row>
    <row r="284" spans="2:4" x14ac:dyDescent="0.25">
      <c r="B284" s="8" t="s">
        <v>94</v>
      </c>
    </row>
    <row r="285" spans="2:4" x14ac:dyDescent="0.25">
      <c r="C285" t="s">
        <v>799</v>
      </c>
    </row>
    <row r="286" spans="2:4" x14ac:dyDescent="0.25">
      <c r="C286" s="8" t="s">
        <v>98</v>
      </c>
    </row>
    <row r="287" spans="2:4" x14ac:dyDescent="0.25">
      <c r="D287" t="s">
        <v>95</v>
      </c>
    </row>
    <row r="288" spans="2:4" x14ac:dyDescent="0.25">
      <c r="D288" t="s">
        <v>96</v>
      </c>
    </row>
    <row r="289" spans="4:4" x14ac:dyDescent="0.25">
      <c r="D289" t="s">
        <v>97</v>
      </c>
    </row>
  </sheetData>
  <mergeCells count="10">
    <mergeCell ref="G228:L228"/>
    <mergeCell ref="G229:L229"/>
    <mergeCell ref="G230:L230"/>
    <mergeCell ref="G231:L231"/>
    <mergeCell ref="G222:L222"/>
    <mergeCell ref="G223:L223"/>
    <mergeCell ref="G224:L224"/>
    <mergeCell ref="G225:L225"/>
    <mergeCell ref="G226:L226"/>
    <mergeCell ref="G227:L227"/>
  </mergeCells>
  <hyperlinks>
    <hyperlink ref="H14"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A1:R518"/>
  <sheetViews>
    <sheetView showGridLines="0" zoomScaleNormal="100" workbookViewId="0">
      <pane ySplit="1" topLeftCell="A2" activePane="bottomLeft" state="frozen"/>
      <selection pane="bottomLeft" activeCell="B518" sqref="B518:D518"/>
    </sheetView>
  </sheetViews>
  <sheetFormatPr baseColWidth="10" defaultColWidth="9.140625" defaultRowHeight="15" outlineLevelRow="1" x14ac:dyDescent="0.25"/>
  <cols>
    <col min="1" max="1" width="9" style="102" bestFit="1" customWidth="1"/>
    <col min="2" max="2" width="23.5703125" style="112" bestFit="1" customWidth="1"/>
    <col min="3" max="3" width="89.5703125" style="315" customWidth="1"/>
    <col min="4" max="4" width="21.140625" style="102" customWidth="1"/>
    <col min="5" max="6" width="14.28515625" style="102" customWidth="1"/>
    <col min="7" max="7" width="16.28515625" style="102" customWidth="1"/>
    <col min="8" max="8" width="11.28515625" style="102" customWidth="1"/>
    <col min="9" max="9" width="18.5703125" style="112" customWidth="1"/>
    <col min="10" max="10" width="96.28515625" style="112" bestFit="1" customWidth="1"/>
    <col min="11" max="11" width="8.85546875" style="102" customWidth="1"/>
    <col min="12" max="12" width="19.5703125" style="102" customWidth="1"/>
    <col min="13" max="13" width="7.85546875" style="102" customWidth="1"/>
    <col min="14" max="14" width="9.140625" style="102" customWidth="1"/>
    <col min="15" max="15" width="48.140625" style="102" bestFit="1" customWidth="1"/>
    <col min="16" max="16" width="53.85546875" style="102" bestFit="1" customWidth="1"/>
    <col min="17" max="16384" width="9.140625" style="102"/>
  </cols>
  <sheetData>
    <row r="1" spans="1:16" s="100" customFormat="1" ht="57.6" customHeight="1" x14ac:dyDescent="0.25">
      <c r="A1" s="99"/>
      <c r="B1" s="128"/>
      <c r="C1" s="717"/>
      <c r="I1" s="128"/>
      <c r="J1" s="128"/>
    </row>
    <row r="2" spans="1:16" s="101" customFormat="1" ht="15.75" thickBot="1" x14ac:dyDescent="0.3">
      <c r="B2" s="125"/>
      <c r="C2" s="718"/>
      <c r="D2" s="126"/>
      <c r="E2" s="127"/>
      <c r="F2" s="127"/>
      <c r="G2" s="127"/>
      <c r="H2" s="127"/>
      <c r="I2" s="130"/>
      <c r="J2" s="130"/>
    </row>
    <row r="3" spans="1:16" s="670" customFormat="1" ht="15.75" thickBot="1" x14ac:dyDescent="0.3">
      <c r="A3" s="664" t="s">
        <v>4621</v>
      </c>
      <c r="B3" s="665"/>
      <c r="C3" s="719"/>
      <c r="D3" s="667"/>
      <c r="E3" s="668"/>
      <c r="F3" s="668"/>
      <c r="G3" s="668"/>
      <c r="H3" s="668"/>
      <c r="I3" s="666"/>
      <c r="J3" s="666"/>
      <c r="K3" s="669"/>
      <c r="L3" s="669"/>
      <c r="M3" s="669"/>
      <c r="N3" s="669"/>
      <c r="O3" s="669"/>
      <c r="P3" s="669"/>
    </row>
    <row r="4" spans="1:16" s="101" customFormat="1" ht="15.75" thickBot="1" x14ac:dyDescent="0.3">
      <c r="B4" s="112"/>
      <c r="C4" s="720"/>
      <c r="D4" s="1970"/>
      <c r="E4" s="104"/>
      <c r="F4" s="104"/>
      <c r="G4" s="104"/>
      <c r="H4" s="104"/>
      <c r="I4" s="103"/>
      <c r="J4" s="1926"/>
    </row>
    <row r="5" spans="1:16" ht="15.75" thickBot="1" x14ac:dyDescent="0.3">
      <c r="A5" s="101"/>
      <c r="C5" s="356" t="s">
        <v>2165</v>
      </c>
      <c r="D5" s="102" t="s">
        <v>301</v>
      </c>
    </row>
    <row r="6" spans="1:16" s="101" customFormat="1" ht="15.75" thickBot="1" x14ac:dyDescent="0.3">
      <c r="B6" s="216" t="s">
        <v>0</v>
      </c>
      <c r="C6" s="721" t="s">
        <v>1</v>
      </c>
      <c r="D6" s="220" t="s">
        <v>840</v>
      </c>
      <c r="E6" s="220" t="s">
        <v>471</v>
      </c>
      <c r="F6" s="220" t="s">
        <v>472</v>
      </c>
      <c r="G6" s="220" t="s">
        <v>2</v>
      </c>
      <c r="H6" s="220" t="s">
        <v>300</v>
      </c>
      <c r="I6" s="218" t="s">
        <v>116</v>
      </c>
      <c r="J6" s="222" t="s">
        <v>117</v>
      </c>
    </row>
    <row r="7" spans="1:16" s="101" customFormat="1" ht="18" outlineLevel="1" x14ac:dyDescent="0.25">
      <c r="B7" s="147" t="s">
        <v>1183</v>
      </c>
      <c r="C7" s="722" t="s">
        <v>275</v>
      </c>
      <c r="D7" s="1403">
        <v>4</v>
      </c>
      <c r="E7" s="148">
        <v>0</v>
      </c>
      <c r="F7" s="148" t="s">
        <v>1252</v>
      </c>
      <c r="G7" s="148" t="s">
        <v>444</v>
      </c>
      <c r="H7" s="148">
        <v>1</v>
      </c>
      <c r="I7" s="580" t="s">
        <v>1990</v>
      </c>
      <c r="J7" s="812"/>
    </row>
    <row r="8" spans="1:16" s="101" customFormat="1" ht="18" outlineLevel="1" x14ac:dyDescent="0.25">
      <c r="B8" s="147" t="s">
        <v>1185</v>
      </c>
      <c r="C8" s="722" t="s">
        <v>2430</v>
      </c>
      <c r="D8" s="1403">
        <v>0.3</v>
      </c>
      <c r="E8" s="148">
        <v>0</v>
      </c>
      <c r="F8" s="148" t="s">
        <v>1252</v>
      </c>
      <c r="G8" s="148" t="s">
        <v>444</v>
      </c>
      <c r="H8" s="148">
        <v>1</v>
      </c>
      <c r="I8" s="580"/>
      <c r="J8" s="813"/>
    </row>
    <row r="9" spans="1:16" s="101" customFormat="1" ht="18" outlineLevel="1" x14ac:dyDescent="0.25">
      <c r="B9" s="147" t="s">
        <v>1184</v>
      </c>
      <c r="C9" s="722" t="s">
        <v>2431</v>
      </c>
      <c r="D9" s="1404">
        <v>0.62</v>
      </c>
      <c r="E9" s="148">
        <v>0</v>
      </c>
      <c r="F9" s="148" t="s">
        <v>1252</v>
      </c>
      <c r="G9" s="148" t="s">
        <v>444</v>
      </c>
      <c r="H9" s="148">
        <v>2</v>
      </c>
      <c r="I9" s="580"/>
      <c r="J9" s="813"/>
    </row>
    <row r="10" spans="1:16" s="101" customFormat="1" ht="18" outlineLevel="1" x14ac:dyDescent="0.25">
      <c r="B10" s="671" t="s">
        <v>3685</v>
      </c>
      <c r="C10" s="723" t="s">
        <v>3686</v>
      </c>
      <c r="D10" s="1404">
        <v>0.28000000000000003</v>
      </c>
      <c r="E10" s="148">
        <v>0</v>
      </c>
      <c r="F10" s="148" t="s">
        <v>1252</v>
      </c>
      <c r="G10" s="276" t="s">
        <v>1981</v>
      </c>
      <c r="H10" s="148">
        <v>2</v>
      </c>
      <c r="I10" s="580"/>
      <c r="J10" s="813" t="s">
        <v>3684</v>
      </c>
    </row>
    <row r="11" spans="1:16" s="101" customFormat="1" ht="18" outlineLevel="1" x14ac:dyDescent="0.25">
      <c r="B11" s="671" t="s">
        <v>3688</v>
      </c>
      <c r="C11" s="723" t="s">
        <v>3687</v>
      </c>
      <c r="D11" s="1404">
        <v>0.16</v>
      </c>
      <c r="E11" s="148">
        <v>0</v>
      </c>
      <c r="F11" s="148" t="s">
        <v>1252</v>
      </c>
      <c r="G11" s="276" t="s">
        <v>1981</v>
      </c>
      <c r="H11" s="148">
        <v>2</v>
      </c>
      <c r="I11" s="580"/>
      <c r="J11" s="813" t="s">
        <v>3684</v>
      </c>
    </row>
    <row r="12" spans="1:16" s="101" customFormat="1" ht="18" outlineLevel="1" x14ac:dyDescent="0.25">
      <c r="B12" s="671" t="s">
        <v>3689</v>
      </c>
      <c r="C12" s="723" t="s">
        <v>3690</v>
      </c>
      <c r="D12" s="1404">
        <v>0.35</v>
      </c>
      <c r="E12" s="148">
        <v>0</v>
      </c>
      <c r="F12" s="148" t="s">
        <v>1252</v>
      </c>
      <c r="G12" s="276" t="s">
        <v>1981</v>
      </c>
      <c r="H12" s="148">
        <v>2</v>
      </c>
      <c r="I12" s="580"/>
      <c r="J12" s="813" t="s">
        <v>3684</v>
      </c>
    </row>
    <row r="13" spans="1:16" s="101" customFormat="1" ht="18" outlineLevel="1" x14ac:dyDescent="0.25">
      <c r="B13" s="671" t="s">
        <v>3691</v>
      </c>
      <c r="C13" s="723" t="s">
        <v>3692</v>
      </c>
      <c r="D13" s="1404">
        <v>0.35</v>
      </c>
      <c r="E13" s="148">
        <v>0</v>
      </c>
      <c r="F13" s="148" t="s">
        <v>1252</v>
      </c>
      <c r="G13" s="276" t="s">
        <v>1981</v>
      </c>
      <c r="H13" s="148">
        <v>2</v>
      </c>
      <c r="I13" s="580"/>
      <c r="J13" s="813" t="s">
        <v>3684</v>
      </c>
    </row>
    <row r="14" spans="1:16" s="101" customFormat="1" ht="18" outlineLevel="1" x14ac:dyDescent="0.25">
      <c r="B14" s="147" t="s">
        <v>1908</v>
      </c>
      <c r="C14" s="722" t="s">
        <v>2432</v>
      </c>
      <c r="D14" s="1403">
        <v>5</v>
      </c>
      <c r="E14" s="148">
        <v>0</v>
      </c>
      <c r="F14" s="148" t="s">
        <v>1252</v>
      </c>
      <c r="G14" s="148" t="s">
        <v>1179</v>
      </c>
      <c r="H14" s="148">
        <v>1</v>
      </c>
      <c r="I14" s="580" t="s">
        <v>1989</v>
      </c>
      <c r="J14" s="812"/>
    </row>
    <row r="15" spans="1:16" s="101" customFormat="1" ht="18" outlineLevel="1" x14ac:dyDescent="0.25">
      <c r="B15" s="147" t="s">
        <v>3693</v>
      </c>
      <c r="C15" s="722" t="s">
        <v>3694</v>
      </c>
      <c r="D15" s="1403">
        <v>5</v>
      </c>
      <c r="E15" s="148">
        <v>0</v>
      </c>
      <c r="F15" s="148" t="s">
        <v>1252</v>
      </c>
      <c r="G15" s="148" t="s">
        <v>1179</v>
      </c>
      <c r="H15" s="148">
        <v>1</v>
      </c>
      <c r="I15" s="580" t="s">
        <v>1989</v>
      </c>
      <c r="J15" s="812" t="s">
        <v>3701</v>
      </c>
    </row>
    <row r="16" spans="1:16" s="101" customFormat="1" ht="18" outlineLevel="1" x14ac:dyDescent="0.25">
      <c r="B16" s="147" t="s">
        <v>3695</v>
      </c>
      <c r="C16" s="722" t="s">
        <v>3696</v>
      </c>
      <c r="D16" s="1403">
        <v>5</v>
      </c>
      <c r="E16" s="148">
        <v>0</v>
      </c>
      <c r="F16" s="148" t="s">
        <v>1252</v>
      </c>
      <c r="G16" s="148" t="s">
        <v>1179</v>
      </c>
      <c r="H16" s="148">
        <v>1</v>
      </c>
      <c r="I16" s="580" t="s">
        <v>1989</v>
      </c>
      <c r="J16" s="812" t="s">
        <v>3701</v>
      </c>
    </row>
    <row r="17" spans="2:12" s="101" customFormat="1" ht="18" outlineLevel="1" x14ac:dyDescent="0.25">
      <c r="B17" s="147" t="s">
        <v>3697</v>
      </c>
      <c r="C17" s="722" t="s">
        <v>3698</v>
      </c>
      <c r="D17" s="1403">
        <v>5</v>
      </c>
      <c r="E17" s="148">
        <v>0</v>
      </c>
      <c r="F17" s="148" t="s">
        <v>1252</v>
      </c>
      <c r="G17" s="148" t="s">
        <v>1179</v>
      </c>
      <c r="H17" s="148">
        <v>1</v>
      </c>
      <c r="I17" s="580" t="s">
        <v>1989</v>
      </c>
      <c r="J17" s="812" t="s">
        <v>3701</v>
      </c>
    </row>
    <row r="18" spans="2:12" s="101" customFormat="1" ht="18" outlineLevel="1" x14ac:dyDescent="0.25">
      <c r="B18" s="147" t="s">
        <v>3699</v>
      </c>
      <c r="C18" s="722" t="s">
        <v>3700</v>
      </c>
      <c r="D18" s="1403">
        <v>5</v>
      </c>
      <c r="E18" s="148">
        <v>0</v>
      </c>
      <c r="F18" s="148" t="s">
        <v>1252</v>
      </c>
      <c r="G18" s="148" t="s">
        <v>1179</v>
      </c>
      <c r="H18" s="148">
        <v>1</v>
      </c>
      <c r="I18" s="580" t="s">
        <v>1989</v>
      </c>
      <c r="J18" s="812" t="s">
        <v>3701</v>
      </c>
    </row>
    <row r="19" spans="2:12" s="101" customFormat="1" ht="18.75" outlineLevel="1" x14ac:dyDescent="0.25">
      <c r="B19" s="147" t="s">
        <v>1911</v>
      </c>
      <c r="C19" s="722" t="s">
        <v>2433</v>
      </c>
      <c r="D19" s="1404">
        <v>0.15</v>
      </c>
      <c r="E19" s="148">
        <v>0</v>
      </c>
      <c r="F19" s="148" t="s">
        <v>1252</v>
      </c>
      <c r="G19" s="148" t="s">
        <v>1178</v>
      </c>
      <c r="H19" s="148">
        <v>2</v>
      </c>
      <c r="I19" s="580" t="s">
        <v>1988</v>
      </c>
      <c r="J19" s="812"/>
    </row>
    <row r="20" spans="2:12" s="101" customFormat="1" ht="18.75" outlineLevel="1" x14ac:dyDescent="0.25">
      <c r="B20" s="147" t="s">
        <v>3707</v>
      </c>
      <c r="C20" s="722" t="s">
        <v>3702</v>
      </c>
      <c r="D20" s="1404">
        <v>0.15</v>
      </c>
      <c r="E20" s="148">
        <v>0</v>
      </c>
      <c r="F20" s="148" t="s">
        <v>1252</v>
      </c>
      <c r="G20" s="148" t="s">
        <v>1178</v>
      </c>
      <c r="H20" s="148">
        <v>2</v>
      </c>
      <c r="I20" s="580" t="s">
        <v>1988</v>
      </c>
      <c r="J20" s="812" t="s">
        <v>3710</v>
      </c>
    </row>
    <row r="21" spans="2:12" s="101" customFormat="1" ht="18.75" outlineLevel="1" x14ac:dyDescent="0.25">
      <c r="B21" s="147" t="s">
        <v>3708</v>
      </c>
      <c r="C21" s="722" t="s">
        <v>3703</v>
      </c>
      <c r="D21" s="1404">
        <v>0.15</v>
      </c>
      <c r="E21" s="148">
        <v>0</v>
      </c>
      <c r="F21" s="148" t="s">
        <v>1252</v>
      </c>
      <c r="G21" s="148" t="s">
        <v>1178</v>
      </c>
      <c r="H21" s="148">
        <v>2</v>
      </c>
      <c r="I21" s="580" t="s">
        <v>1988</v>
      </c>
      <c r="J21" s="812" t="s">
        <v>3710</v>
      </c>
    </row>
    <row r="22" spans="2:12" s="101" customFormat="1" ht="18.75" outlineLevel="1" x14ac:dyDescent="0.25">
      <c r="B22" s="147" t="s">
        <v>3709</v>
      </c>
      <c r="C22" s="722" t="s">
        <v>3704</v>
      </c>
      <c r="D22" s="1404">
        <v>0.15</v>
      </c>
      <c r="E22" s="148">
        <v>0</v>
      </c>
      <c r="F22" s="148" t="s">
        <v>1252</v>
      </c>
      <c r="G22" s="148" t="s">
        <v>1178</v>
      </c>
      <c r="H22" s="148">
        <v>2</v>
      </c>
      <c r="I22" s="580" t="s">
        <v>1988</v>
      </c>
      <c r="J22" s="812" t="s">
        <v>3710</v>
      </c>
    </row>
    <row r="23" spans="2:12" s="101" customFormat="1" ht="18.75" outlineLevel="1" x14ac:dyDescent="0.25">
      <c r="B23" s="147" t="s">
        <v>3705</v>
      </c>
      <c r="C23" s="722" t="s">
        <v>3706</v>
      </c>
      <c r="D23" s="1404">
        <v>0.15</v>
      </c>
      <c r="E23" s="148">
        <v>0</v>
      </c>
      <c r="F23" s="148" t="s">
        <v>1252</v>
      </c>
      <c r="G23" s="148" t="s">
        <v>1178</v>
      </c>
      <c r="H23" s="148">
        <v>2</v>
      </c>
      <c r="I23" s="580" t="s">
        <v>1988</v>
      </c>
      <c r="J23" s="812" t="s">
        <v>3710</v>
      </c>
    </row>
    <row r="24" spans="2:12" s="101" customFormat="1" ht="18" outlineLevel="1" x14ac:dyDescent="0.25">
      <c r="B24" s="147" t="s">
        <v>1909</v>
      </c>
      <c r="C24" s="722" t="s">
        <v>2434</v>
      </c>
      <c r="D24" s="1403">
        <v>0.5</v>
      </c>
      <c r="E24" s="148">
        <v>0</v>
      </c>
      <c r="F24" s="148" t="s">
        <v>1252</v>
      </c>
      <c r="G24" s="148" t="s">
        <v>1179</v>
      </c>
      <c r="H24" s="148">
        <v>1</v>
      </c>
      <c r="I24" s="580"/>
      <c r="J24" s="812"/>
    </row>
    <row r="25" spans="2:12" s="101" customFormat="1" ht="18" outlineLevel="1" x14ac:dyDescent="0.25">
      <c r="B25" s="147" t="s">
        <v>3814</v>
      </c>
      <c r="C25" s="722" t="s">
        <v>3818</v>
      </c>
      <c r="D25" s="1403">
        <v>0.5</v>
      </c>
      <c r="E25" s="148">
        <v>0</v>
      </c>
      <c r="F25" s="148" t="s">
        <v>1252</v>
      </c>
      <c r="G25" s="148" t="s">
        <v>1179</v>
      </c>
      <c r="H25" s="148">
        <v>1</v>
      </c>
      <c r="I25" s="580" t="s">
        <v>1989</v>
      </c>
      <c r="J25" s="812" t="s">
        <v>3701</v>
      </c>
    </row>
    <row r="26" spans="2:12" s="101" customFormat="1" ht="18" outlineLevel="1" x14ac:dyDescent="0.25">
      <c r="B26" s="147" t="s">
        <v>3815</v>
      </c>
      <c r="C26" s="722" t="s">
        <v>3819</v>
      </c>
      <c r="D26" s="1403">
        <v>0.5</v>
      </c>
      <c r="E26" s="148">
        <v>0</v>
      </c>
      <c r="F26" s="148" t="s">
        <v>1252</v>
      </c>
      <c r="G26" s="148" t="s">
        <v>1179</v>
      </c>
      <c r="H26" s="148">
        <v>1</v>
      </c>
      <c r="I26" s="580" t="s">
        <v>1989</v>
      </c>
      <c r="J26" s="812" t="s">
        <v>3701</v>
      </c>
    </row>
    <row r="27" spans="2:12" s="101" customFormat="1" ht="18" outlineLevel="1" x14ac:dyDescent="0.25">
      <c r="B27" s="147" t="s">
        <v>3816</v>
      </c>
      <c r="C27" s="722" t="s">
        <v>3820</v>
      </c>
      <c r="D27" s="1403">
        <v>0.5</v>
      </c>
      <c r="E27" s="148">
        <v>0</v>
      </c>
      <c r="F27" s="148" t="s">
        <v>1252</v>
      </c>
      <c r="G27" s="148" t="s">
        <v>1179</v>
      </c>
      <c r="H27" s="148">
        <v>1</v>
      </c>
      <c r="I27" s="580" t="s">
        <v>1989</v>
      </c>
      <c r="J27" s="812" t="s">
        <v>3701</v>
      </c>
    </row>
    <row r="28" spans="2:12" s="101" customFormat="1" ht="18" outlineLevel="1" x14ac:dyDescent="0.25">
      <c r="B28" s="147" t="s">
        <v>3817</v>
      </c>
      <c r="C28" s="722" t="s">
        <v>3821</v>
      </c>
      <c r="D28" s="1403">
        <v>0.5</v>
      </c>
      <c r="E28" s="148">
        <v>0</v>
      </c>
      <c r="F28" s="148" t="s">
        <v>1252</v>
      </c>
      <c r="G28" s="148" t="s">
        <v>1179</v>
      </c>
      <c r="H28" s="148">
        <v>1</v>
      </c>
      <c r="I28" s="580" t="s">
        <v>1989</v>
      </c>
      <c r="J28" s="812" t="s">
        <v>3701</v>
      </c>
    </row>
    <row r="29" spans="2:12" s="101" customFormat="1" ht="18" outlineLevel="1" x14ac:dyDescent="0.25">
      <c r="B29" s="147" t="s">
        <v>1910</v>
      </c>
      <c r="C29" s="722" t="s">
        <v>2435</v>
      </c>
      <c r="D29" s="1403">
        <v>0.1</v>
      </c>
      <c r="E29" s="148">
        <v>0</v>
      </c>
      <c r="F29" s="148" t="s">
        <v>1252</v>
      </c>
      <c r="G29" s="148" t="s">
        <v>1179</v>
      </c>
      <c r="H29" s="148">
        <v>1</v>
      </c>
      <c r="I29" s="580"/>
      <c r="J29" s="812"/>
      <c r="L29" s="2047"/>
    </row>
    <row r="30" spans="2:12" s="101" customFormat="1" ht="18" outlineLevel="1" x14ac:dyDescent="0.25">
      <c r="B30" s="147" t="s">
        <v>1912</v>
      </c>
      <c r="C30" s="722" t="s">
        <v>2436</v>
      </c>
      <c r="D30" s="1404">
        <v>0.2</v>
      </c>
      <c r="E30" s="148">
        <v>0</v>
      </c>
      <c r="F30" s="148" t="s">
        <v>1252</v>
      </c>
      <c r="G30" s="148" t="s">
        <v>884</v>
      </c>
      <c r="H30" s="148">
        <v>2</v>
      </c>
      <c r="I30" s="580"/>
      <c r="J30" s="812" t="s">
        <v>5555</v>
      </c>
    </row>
    <row r="31" spans="2:12" s="101" customFormat="1" ht="18" outlineLevel="1" x14ac:dyDescent="0.25">
      <c r="B31" s="147" t="s">
        <v>2217</v>
      </c>
      <c r="C31" s="722" t="s">
        <v>2437</v>
      </c>
      <c r="D31" s="1404">
        <v>0.2</v>
      </c>
      <c r="E31" s="148">
        <v>0</v>
      </c>
      <c r="F31" s="148" t="s">
        <v>1252</v>
      </c>
      <c r="G31" s="148" t="s">
        <v>884</v>
      </c>
      <c r="H31" s="148">
        <v>2</v>
      </c>
      <c r="I31" s="580"/>
      <c r="J31" s="812" t="s">
        <v>3711</v>
      </c>
    </row>
    <row r="32" spans="2:12" s="101" customFormat="1" ht="18" outlineLevel="1" x14ac:dyDescent="0.25">
      <c r="B32" s="147" t="s">
        <v>3712</v>
      </c>
      <c r="C32" s="722" t="s">
        <v>3713</v>
      </c>
      <c r="D32" s="1404">
        <v>0.05</v>
      </c>
      <c r="E32" s="148">
        <v>0</v>
      </c>
      <c r="F32" s="148" t="s">
        <v>1252</v>
      </c>
      <c r="G32" s="148" t="s">
        <v>884</v>
      </c>
      <c r="H32" s="148">
        <v>2</v>
      </c>
      <c r="I32" s="580"/>
      <c r="J32" s="813" t="s">
        <v>3722</v>
      </c>
    </row>
    <row r="33" spans="2:10" s="101" customFormat="1" ht="18" outlineLevel="1" x14ac:dyDescent="0.25">
      <c r="B33" s="147" t="s">
        <v>3714</v>
      </c>
      <c r="C33" s="722" t="s">
        <v>3715</v>
      </c>
      <c r="D33" s="1404">
        <v>0.05</v>
      </c>
      <c r="E33" s="148">
        <v>0</v>
      </c>
      <c r="F33" s="148" t="s">
        <v>1252</v>
      </c>
      <c r="G33" s="148" t="s">
        <v>884</v>
      </c>
      <c r="H33" s="148">
        <v>2</v>
      </c>
      <c r="I33" s="580"/>
      <c r="J33" s="813" t="s">
        <v>3722</v>
      </c>
    </row>
    <row r="34" spans="2:10" s="101" customFormat="1" ht="18" outlineLevel="1" x14ac:dyDescent="0.25">
      <c r="B34" s="147" t="s">
        <v>3717</v>
      </c>
      <c r="C34" s="722" t="s">
        <v>3716</v>
      </c>
      <c r="D34" s="1404">
        <v>0.5</v>
      </c>
      <c r="E34" s="148">
        <v>0</v>
      </c>
      <c r="F34" s="148" t="s">
        <v>1252</v>
      </c>
      <c r="G34" s="148" t="s">
        <v>884</v>
      </c>
      <c r="H34" s="148">
        <v>2</v>
      </c>
      <c r="I34" s="580"/>
      <c r="J34" s="813" t="s">
        <v>3722</v>
      </c>
    </row>
    <row r="35" spans="2:10" s="101" customFormat="1" ht="18" outlineLevel="1" x14ac:dyDescent="0.25">
      <c r="B35" s="147" t="s">
        <v>3718</v>
      </c>
      <c r="C35" s="722" t="s">
        <v>3719</v>
      </c>
      <c r="D35" s="1404">
        <v>0.3</v>
      </c>
      <c r="E35" s="148">
        <v>0</v>
      </c>
      <c r="F35" s="148" t="s">
        <v>1252</v>
      </c>
      <c r="G35" s="148" t="s">
        <v>884</v>
      </c>
      <c r="H35" s="148">
        <v>2</v>
      </c>
      <c r="I35" s="580"/>
      <c r="J35" s="813" t="s">
        <v>3722</v>
      </c>
    </row>
    <row r="36" spans="2:10" s="101" customFormat="1" ht="18" outlineLevel="1" x14ac:dyDescent="0.25">
      <c r="B36" s="147" t="s">
        <v>3720</v>
      </c>
      <c r="C36" s="722" t="s">
        <v>3721</v>
      </c>
      <c r="D36" s="1404">
        <v>7.4999999999999997E-2</v>
      </c>
      <c r="E36" s="148">
        <v>0</v>
      </c>
      <c r="F36" s="148" t="s">
        <v>1252</v>
      </c>
      <c r="G36" s="148" t="s">
        <v>884</v>
      </c>
      <c r="H36" s="148">
        <v>2</v>
      </c>
      <c r="I36" s="580"/>
      <c r="J36" s="813" t="s">
        <v>3722</v>
      </c>
    </row>
    <row r="37" spans="2:10" s="101" customFormat="1" ht="18" outlineLevel="1" x14ac:dyDescent="0.25">
      <c r="B37" s="147" t="s">
        <v>2147</v>
      </c>
      <c r="C37" s="722" t="s">
        <v>2649</v>
      </c>
      <c r="D37" s="1403">
        <v>50</v>
      </c>
      <c r="E37" s="148">
        <v>0</v>
      </c>
      <c r="F37" s="148" t="s">
        <v>1252</v>
      </c>
      <c r="G37" s="148" t="s">
        <v>1179</v>
      </c>
      <c r="H37" s="148">
        <v>1</v>
      </c>
      <c r="I37" s="580"/>
      <c r="J37" s="812"/>
    </row>
    <row r="38" spans="2:10" s="101" customFormat="1" ht="18" outlineLevel="1" x14ac:dyDescent="0.25">
      <c r="B38" s="1295" t="s">
        <v>4657</v>
      </c>
      <c r="C38" s="581" t="s">
        <v>4658</v>
      </c>
      <c r="D38" s="1391">
        <v>1.2E-2</v>
      </c>
      <c r="E38" s="1301">
        <v>0</v>
      </c>
      <c r="F38" s="1301">
        <v>2</v>
      </c>
      <c r="G38" s="1301" t="s">
        <v>1981</v>
      </c>
      <c r="H38" s="1301">
        <v>3</v>
      </c>
      <c r="I38" s="581"/>
      <c r="J38" s="1302" t="s">
        <v>4659</v>
      </c>
    </row>
    <row r="39" spans="2:10" s="101" customFormat="1" ht="18" outlineLevel="1" x14ac:dyDescent="0.25">
      <c r="B39" s="1295" t="s">
        <v>1913</v>
      </c>
      <c r="C39" s="722" t="s">
        <v>2438</v>
      </c>
      <c r="D39" s="1403">
        <v>5</v>
      </c>
      <c r="E39" s="148">
        <v>0</v>
      </c>
      <c r="F39" s="148" t="s">
        <v>1252</v>
      </c>
      <c r="G39" s="148" t="s">
        <v>4652</v>
      </c>
      <c r="H39" s="148">
        <v>1</v>
      </c>
      <c r="I39" s="580"/>
      <c r="J39" s="812"/>
    </row>
    <row r="40" spans="2:10" s="101" customFormat="1" ht="18.75" outlineLevel="1" thickBot="1" x14ac:dyDescent="0.4">
      <c r="B40" s="1296" t="s">
        <v>4234</v>
      </c>
      <c r="C40" s="724" t="s">
        <v>4653</v>
      </c>
      <c r="D40" s="1405">
        <v>350</v>
      </c>
      <c r="E40" s="277">
        <v>0</v>
      </c>
      <c r="F40" s="146" t="s">
        <v>1252</v>
      </c>
      <c r="G40" s="146" t="s">
        <v>4652</v>
      </c>
      <c r="H40" s="146">
        <v>1</v>
      </c>
      <c r="I40" s="145"/>
      <c r="J40" s="814"/>
    </row>
    <row r="41" spans="2:10" s="101" customFormat="1" ht="15.75" thickBot="1" x14ac:dyDescent="0.3">
      <c r="B41" s="112"/>
      <c r="C41" s="720"/>
      <c r="D41" s="1970"/>
      <c r="E41" s="104"/>
      <c r="F41" s="104"/>
      <c r="G41" s="104"/>
      <c r="H41" s="104"/>
      <c r="I41" s="103"/>
      <c r="J41" s="1926"/>
    </row>
    <row r="42" spans="2:10" s="101" customFormat="1" ht="15.75" thickBot="1" x14ac:dyDescent="0.3">
      <c r="B42" s="112"/>
      <c r="C42" s="295" t="s">
        <v>2132</v>
      </c>
      <c r="D42" s="102" t="s">
        <v>301</v>
      </c>
      <c r="E42" s="102"/>
      <c r="F42" s="102"/>
      <c r="G42" s="102"/>
      <c r="H42" s="102"/>
      <c r="I42" s="112"/>
      <c r="J42" s="1926"/>
    </row>
    <row r="43" spans="2:10" s="101" customFormat="1" ht="15.75" thickBot="1" x14ac:dyDescent="0.3">
      <c r="B43" s="216" t="s">
        <v>0</v>
      </c>
      <c r="C43" s="721" t="s">
        <v>1</v>
      </c>
      <c r="D43" s="220" t="s">
        <v>840</v>
      </c>
      <c r="E43" s="220" t="s">
        <v>471</v>
      </c>
      <c r="F43" s="220" t="s">
        <v>472</v>
      </c>
      <c r="G43" s="220" t="s">
        <v>2</v>
      </c>
      <c r="H43" s="220" t="s">
        <v>300</v>
      </c>
      <c r="I43" s="218" t="s">
        <v>116</v>
      </c>
      <c r="J43" s="815" t="s">
        <v>117</v>
      </c>
    </row>
    <row r="44" spans="2:10" s="101" customFormat="1" ht="18" outlineLevel="1" x14ac:dyDescent="0.25">
      <c r="B44" s="672" t="s">
        <v>1186</v>
      </c>
      <c r="C44" s="725" t="s">
        <v>2439</v>
      </c>
      <c r="D44" s="335">
        <v>1.3</v>
      </c>
      <c r="E44" s="336">
        <v>0</v>
      </c>
      <c r="F44" s="336" t="s">
        <v>1252</v>
      </c>
      <c r="G44" s="336" t="s">
        <v>444</v>
      </c>
      <c r="H44" s="336">
        <v>1</v>
      </c>
      <c r="I44" s="334"/>
      <c r="J44" s="816"/>
    </row>
    <row r="45" spans="2:10" s="101" customFormat="1" ht="18" outlineLevel="1" x14ac:dyDescent="0.25">
      <c r="B45" s="673" t="s">
        <v>1187</v>
      </c>
      <c r="C45" s="726" t="s">
        <v>2440</v>
      </c>
      <c r="D45" s="337">
        <v>0.05</v>
      </c>
      <c r="E45" s="338">
        <v>0</v>
      </c>
      <c r="F45" s="338" t="s">
        <v>1252</v>
      </c>
      <c r="G45" s="338" t="s">
        <v>444</v>
      </c>
      <c r="H45" s="338">
        <v>2</v>
      </c>
      <c r="I45" s="328"/>
      <c r="J45" s="817"/>
    </row>
    <row r="46" spans="2:10" s="101" customFormat="1" ht="18" outlineLevel="1" x14ac:dyDescent="0.25">
      <c r="B46" s="674" t="s">
        <v>1188</v>
      </c>
      <c r="C46" s="727" t="s">
        <v>2441</v>
      </c>
      <c r="D46" s="332">
        <v>10</v>
      </c>
      <c r="E46" s="333">
        <v>0</v>
      </c>
      <c r="F46" s="333" t="s">
        <v>1252</v>
      </c>
      <c r="G46" s="333" t="s">
        <v>444</v>
      </c>
      <c r="H46" s="333">
        <v>1</v>
      </c>
      <c r="I46" s="818"/>
      <c r="J46" s="819" t="s">
        <v>1156</v>
      </c>
    </row>
    <row r="47" spans="2:10" s="101" customFormat="1" ht="18" outlineLevel="1" x14ac:dyDescent="0.25">
      <c r="B47" s="675" t="s">
        <v>1914</v>
      </c>
      <c r="C47" s="726" t="s">
        <v>2442</v>
      </c>
      <c r="D47" s="330">
        <v>0.5</v>
      </c>
      <c r="E47" s="331">
        <v>0</v>
      </c>
      <c r="F47" s="331" t="s">
        <v>1252</v>
      </c>
      <c r="G47" s="331" t="s">
        <v>1179</v>
      </c>
      <c r="H47" s="331">
        <v>1</v>
      </c>
      <c r="I47" s="820"/>
      <c r="J47" s="821"/>
    </row>
    <row r="48" spans="2:10" s="101" customFormat="1" ht="18.75" outlineLevel="1" x14ac:dyDescent="0.25">
      <c r="B48" s="673" t="s">
        <v>3429</v>
      </c>
      <c r="C48" s="726" t="s">
        <v>3430</v>
      </c>
      <c r="D48" s="337">
        <v>0.05</v>
      </c>
      <c r="E48" s="338">
        <v>0</v>
      </c>
      <c r="F48" s="338" t="s">
        <v>1252</v>
      </c>
      <c r="G48" s="338" t="s">
        <v>1178</v>
      </c>
      <c r="H48" s="338">
        <v>2</v>
      </c>
      <c r="I48" s="328"/>
      <c r="J48" s="817"/>
    </row>
    <row r="49" spans="2:10" s="101" customFormat="1" ht="18" outlineLevel="1" x14ac:dyDescent="0.25">
      <c r="B49" s="673" t="s">
        <v>1915</v>
      </c>
      <c r="C49" s="726" t="s">
        <v>2443</v>
      </c>
      <c r="D49" s="337">
        <v>0.05</v>
      </c>
      <c r="E49" s="338">
        <v>0</v>
      </c>
      <c r="F49" s="338" t="s">
        <v>1252</v>
      </c>
      <c r="G49" s="338" t="s">
        <v>884</v>
      </c>
      <c r="H49" s="338">
        <v>2</v>
      </c>
      <c r="I49" s="328"/>
      <c r="J49" s="817"/>
    </row>
    <row r="50" spans="2:10" s="101" customFormat="1" ht="18.75" outlineLevel="1" thickBot="1" x14ac:dyDescent="0.3">
      <c r="B50" s="676" t="s">
        <v>2218</v>
      </c>
      <c r="C50" s="728" t="s">
        <v>2444</v>
      </c>
      <c r="D50" s="339">
        <v>0.02</v>
      </c>
      <c r="E50" s="340">
        <v>0</v>
      </c>
      <c r="F50" s="340" t="s">
        <v>1252</v>
      </c>
      <c r="G50" s="340" t="s">
        <v>884</v>
      </c>
      <c r="H50" s="340">
        <v>2</v>
      </c>
      <c r="I50" s="329"/>
      <c r="J50" s="822"/>
    </row>
    <row r="51" spans="2:10" s="101" customFormat="1" ht="15.75" thickBot="1" x14ac:dyDescent="0.3">
      <c r="B51" s="1926"/>
      <c r="C51" s="1947"/>
      <c r="I51" s="1926"/>
      <c r="J51" s="1926"/>
    </row>
    <row r="52" spans="2:10" s="101" customFormat="1" ht="15.75" thickBot="1" x14ac:dyDescent="0.3">
      <c r="B52" s="112"/>
      <c r="C52" s="729" t="s">
        <v>3974</v>
      </c>
      <c r="D52" s="102" t="s">
        <v>301</v>
      </c>
      <c r="E52" s="102"/>
      <c r="F52" s="102"/>
      <c r="G52" s="102"/>
      <c r="H52" s="102"/>
      <c r="I52" s="112"/>
      <c r="J52" s="1926"/>
    </row>
    <row r="53" spans="2:10" s="101" customFormat="1" ht="15.75" thickBot="1" x14ac:dyDescent="0.3">
      <c r="B53" s="582" t="s">
        <v>0</v>
      </c>
      <c r="C53" s="730" t="s">
        <v>1</v>
      </c>
      <c r="D53" s="584" t="s">
        <v>840</v>
      </c>
      <c r="E53" s="584" t="s">
        <v>471</v>
      </c>
      <c r="F53" s="584" t="s">
        <v>472</v>
      </c>
      <c r="G53" s="584" t="s">
        <v>2</v>
      </c>
      <c r="H53" s="584" t="s">
        <v>300</v>
      </c>
      <c r="I53" s="583" t="s">
        <v>116</v>
      </c>
      <c r="J53" s="823" t="s">
        <v>117</v>
      </c>
    </row>
    <row r="54" spans="2:10" s="101" customFormat="1" ht="18" outlineLevel="1" x14ac:dyDescent="0.25">
      <c r="B54" s="585" t="s">
        <v>3975</v>
      </c>
      <c r="C54" s="731" t="s">
        <v>3976</v>
      </c>
      <c r="D54" s="587">
        <v>1</v>
      </c>
      <c r="E54" s="588">
        <v>0</v>
      </c>
      <c r="F54" s="588" t="s">
        <v>1252</v>
      </c>
      <c r="G54" s="344" t="s">
        <v>444</v>
      </c>
      <c r="H54" s="588">
        <v>2</v>
      </c>
      <c r="I54" s="824" t="s">
        <v>1987</v>
      </c>
      <c r="J54" s="825"/>
    </row>
    <row r="55" spans="2:10" s="101" customFormat="1" ht="18" outlineLevel="1" x14ac:dyDescent="0.25">
      <c r="B55" s="589" t="s">
        <v>3977</v>
      </c>
      <c r="C55" s="731" t="s">
        <v>3978</v>
      </c>
      <c r="D55" s="590">
        <v>0.1</v>
      </c>
      <c r="E55" s="434">
        <v>0</v>
      </c>
      <c r="F55" s="434" t="s">
        <v>1252</v>
      </c>
      <c r="G55" s="434" t="s">
        <v>444</v>
      </c>
      <c r="H55" s="434">
        <v>1</v>
      </c>
      <c r="I55" s="586" t="s">
        <v>1987</v>
      </c>
      <c r="J55" s="826"/>
    </row>
    <row r="56" spans="2:10" s="101" customFormat="1" ht="18" outlineLevel="1" x14ac:dyDescent="0.25">
      <c r="B56" s="591" t="s">
        <v>2453</v>
      </c>
      <c r="C56" s="732" t="s">
        <v>2445</v>
      </c>
      <c r="D56" s="433">
        <v>0.45</v>
      </c>
      <c r="E56" s="434">
        <v>0</v>
      </c>
      <c r="F56" s="434" t="s">
        <v>1252</v>
      </c>
      <c r="G56" s="434" t="s">
        <v>444</v>
      </c>
      <c r="H56" s="434">
        <v>1</v>
      </c>
      <c r="I56" s="432"/>
      <c r="J56" s="827"/>
    </row>
    <row r="57" spans="2:10" s="101" customFormat="1" ht="18" outlineLevel="1" x14ac:dyDescent="0.25">
      <c r="B57" s="591" t="s">
        <v>1700</v>
      </c>
      <c r="C57" s="733" t="s">
        <v>2446</v>
      </c>
      <c r="D57" s="433">
        <v>0.49</v>
      </c>
      <c r="E57" s="434">
        <v>0</v>
      </c>
      <c r="F57" s="434" t="s">
        <v>1252</v>
      </c>
      <c r="G57" s="435" t="s">
        <v>444</v>
      </c>
      <c r="H57" s="434">
        <v>2</v>
      </c>
      <c r="I57" s="432"/>
      <c r="J57" s="436"/>
    </row>
    <row r="58" spans="2:10" s="101" customFormat="1" ht="18" outlineLevel="1" x14ac:dyDescent="0.25">
      <c r="B58" s="591" t="s">
        <v>3979</v>
      </c>
      <c r="C58" s="734" t="s">
        <v>3980</v>
      </c>
      <c r="D58" s="438">
        <v>0.08</v>
      </c>
      <c r="E58" s="434">
        <v>0</v>
      </c>
      <c r="F58" s="434" t="s">
        <v>1252</v>
      </c>
      <c r="G58" s="435" t="s">
        <v>444</v>
      </c>
      <c r="H58" s="434">
        <v>2</v>
      </c>
      <c r="I58" s="432"/>
      <c r="J58" s="827" t="s">
        <v>3981</v>
      </c>
    </row>
    <row r="59" spans="2:10" s="101" customFormat="1" ht="18" outlineLevel="1" x14ac:dyDescent="0.25">
      <c r="B59" s="591" t="s">
        <v>3982</v>
      </c>
      <c r="C59" s="2442" t="s">
        <v>5438</v>
      </c>
      <c r="D59" s="438">
        <v>7.0000000000000007E-2</v>
      </c>
      <c r="E59" s="434">
        <v>0</v>
      </c>
      <c r="F59" s="434" t="s">
        <v>1252</v>
      </c>
      <c r="G59" s="435" t="s">
        <v>444</v>
      </c>
      <c r="H59" s="434">
        <v>2</v>
      </c>
      <c r="I59" s="432"/>
      <c r="J59" s="827"/>
    </row>
    <row r="60" spans="2:10" s="101" customFormat="1" ht="18" outlineLevel="1" x14ac:dyDescent="0.25">
      <c r="B60" s="591" t="s">
        <v>2102</v>
      </c>
      <c r="C60" s="732" t="s">
        <v>2447</v>
      </c>
      <c r="D60" s="438">
        <v>5.0000000000000001E-3</v>
      </c>
      <c r="E60" s="434">
        <v>0</v>
      </c>
      <c r="F60" s="434" t="s">
        <v>1252</v>
      </c>
      <c r="G60" s="435" t="s">
        <v>444</v>
      </c>
      <c r="H60" s="434">
        <v>2</v>
      </c>
      <c r="I60" s="432"/>
      <c r="J60" s="827"/>
    </row>
    <row r="61" spans="2:10" s="101" customFormat="1" ht="18" outlineLevel="1" x14ac:dyDescent="0.25">
      <c r="B61" s="591" t="s">
        <v>3983</v>
      </c>
      <c r="C61" s="732" t="s">
        <v>2448</v>
      </c>
      <c r="D61" s="439">
        <v>7</v>
      </c>
      <c r="E61" s="434">
        <v>0</v>
      </c>
      <c r="F61" s="434" t="s">
        <v>1252</v>
      </c>
      <c r="G61" s="435" t="s">
        <v>444</v>
      </c>
      <c r="H61" s="434">
        <v>1</v>
      </c>
      <c r="I61" s="432"/>
      <c r="J61" s="827"/>
    </row>
    <row r="62" spans="2:10" s="101" customFormat="1" ht="18" outlineLevel="1" x14ac:dyDescent="0.25">
      <c r="B62" s="2431" t="s">
        <v>5418</v>
      </c>
      <c r="C62" s="2432" t="s">
        <v>5419</v>
      </c>
      <c r="D62" s="439">
        <v>4</v>
      </c>
      <c r="E62" s="434">
        <v>0</v>
      </c>
      <c r="F62" s="434" t="s">
        <v>1252</v>
      </c>
      <c r="G62" s="435" t="s">
        <v>444</v>
      </c>
      <c r="H62" s="434">
        <v>1</v>
      </c>
      <c r="I62" s="432"/>
      <c r="J62" s="827"/>
    </row>
    <row r="63" spans="2:10" s="101" customFormat="1" ht="18" outlineLevel="1" x14ac:dyDescent="0.25">
      <c r="B63" s="591" t="s">
        <v>3984</v>
      </c>
      <c r="C63" s="734" t="s">
        <v>3985</v>
      </c>
      <c r="D63" s="438">
        <v>0.66</v>
      </c>
      <c r="E63" s="434">
        <v>0</v>
      </c>
      <c r="F63" s="434" t="s">
        <v>1252</v>
      </c>
      <c r="G63" s="435" t="s">
        <v>1981</v>
      </c>
      <c r="H63" s="434">
        <v>2</v>
      </c>
      <c r="I63" s="432"/>
      <c r="J63" s="827"/>
    </row>
    <row r="64" spans="2:10" s="101" customFormat="1" ht="18" outlineLevel="1" x14ac:dyDescent="0.25">
      <c r="B64" s="591" t="s">
        <v>3986</v>
      </c>
      <c r="C64" s="715" t="s">
        <v>3987</v>
      </c>
      <c r="D64" s="438">
        <v>0.5</v>
      </c>
      <c r="E64" s="434">
        <v>0</v>
      </c>
      <c r="F64" s="434" t="s">
        <v>1252</v>
      </c>
      <c r="G64" s="440" t="s">
        <v>1981</v>
      </c>
      <c r="H64" s="434">
        <v>2</v>
      </c>
      <c r="I64" s="432"/>
      <c r="J64" s="827"/>
    </row>
    <row r="65" spans="2:10" s="101" customFormat="1" ht="18" outlineLevel="1" x14ac:dyDescent="0.25">
      <c r="B65" s="591" t="s">
        <v>3988</v>
      </c>
      <c r="C65" s="715" t="s">
        <v>3989</v>
      </c>
      <c r="D65" s="438">
        <v>0.25</v>
      </c>
      <c r="E65" s="434">
        <v>0</v>
      </c>
      <c r="F65" s="434" t="s">
        <v>1252</v>
      </c>
      <c r="G65" s="440" t="s">
        <v>1981</v>
      </c>
      <c r="H65" s="434">
        <v>2</v>
      </c>
      <c r="I65" s="432"/>
      <c r="J65" s="827"/>
    </row>
    <row r="66" spans="2:10" s="101" customFormat="1" ht="18" outlineLevel="1" x14ac:dyDescent="0.25">
      <c r="B66" s="591" t="s">
        <v>3990</v>
      </c>
      <c r="C66" s="2445" t="s">
        <v>5439</v>
      </c>
      <c r="D66" s="438">
        <v>0.66</v>
      </c>
      <c r="E66" s="434">
        <v>0</v>
      </c>
      <c r="F66" s="434" t="s">
        <v>1252</v>
      </c>
      <c r="G66" s="435" t="s">
        <v>1981</v>
      </c>
      <c r="H66" s="434">
        <v>2</v>
      </c>
      <c r="I66" s="432"/>
      <c r="J66" s="827"/>
    </row>
    <row r="67" spans="2:10" s="101" customFormat="1" ht="18" outlineLevel="1" x14ac:dyDescent="0.25">
      <c r="B67" s="591" t="s">
        <v>2178</v>
      </c>
      <c r="C67" s="732" t="s">
        <v>2449</v>
      </c>
      <c r="D67" s="438">
        <v>0.25</v>
      </c>
      <c r="E67" s="434">
        <v>0</v>
      </c>
      <c r="F67" s="434" t="s">
        <v>1252</v>
      </c>
      <c r="G67" s="440" t="s">
        <v>1981</v>
      </c>
      <c r="H67" s="434">
        <v>2</v>
      </c>
      <c r="I67" s="432"/>
      <c r="J67" s="827"/>
    </row>
    <row r="68" spans="2:10" s="101" customFormat="1" ht="18" outlineLevel="1" x14ac:dyDescent="0.25">
      <c r="B68" s="591" t="s">
        <v>2179</v>
      </c>
      <c r="C68" s="732" t="s">
        <v>2450</v>
      </c>
      <c r="D68" s="438">
        <v>0.5</v>
      </c>
      <c r="E68" s="434">
        <v>0</v>
      </c>
      <c r="F68" s="434" t="s">
        <v>1252</v>
      </c>
      <c r="G68" s="440" t="s">
        <v>1981</v>
      </c>
      <c r="H68" s="434">
        <v>2</v>
      </c>
      <c r="I68" s="432"/>
      <c r="J68" s="827"/>
    </row>
    <row r="69" spans="2:10" s="101" customFormat="1" ht="18" outlineLevel="1" x14ac:dyDescent="0.25">
      <c r="B69" s="591" t="s">
        <v>1916</v>
      </c>
      <c r="C69" s="734" t="s">
        <v>2451</v>
      </c>
      <c r="D69" s="1305">
        <v>0.15</v>
      </c>
      <c r="E69" s="1306">
        <v>0</v>
      </c>
      <c r="F69" s="1306" t="s">
        <v>1252</v>
      </c>
      <c r="G69" s="1307" t="s">
        <v>886</v>
      </c>
      <c r="H69" s="1306">
        <v>2</v>
      </c>
      <c r="I69" s="1304" t="s">
        <v>1986</v>
      </c>
      <c r="J69" s="1308" t="s">
        <v>5530</v>
      </c>
    </row>
    <row r="70" spans="2:10" s="101" customFormat="1" ht="18" outlineLevel="1" x14ac:dyDescent="0.25">
      <c r="B70" s="1303" t="s">
        <v>4660</v>
      </c>
      <c r="C70" s="1304" t="s">
        <v>4661</v>
      </c>
      <c r="D70" s="1305">
        <v>0.8</v>
      </c>
      <c r="E70" s="1306">
        <v>0</v>
      </c>
      <c r="F70" s="1306">
        <v>2</v>
      </c>
      <c r="G70" s="1307" t="s">
        <v>283</v>
      </c>
      <c r="H70" s="1306">
        <v>2</v>
      </c>
      <c r="I70" s="1304"/>
      <c r="J70" s="1308" t="s">
        <v>4659</v>
      </c>
    </row>
    <row r="71" spans="2:10" s="101" customFormat="1" ht="18" outlineLevel="1" x14ac:dyDescent="0.25">
      <c r="B71" s="1303" t="s">
        <v>4662</v>
      </c>
      <c r="C71" s="1304" t="s">
        <v>4663</v>
      </c>
      <c r="D71" s="1305">
        <v>0.4</v>
      </c>
      <c r="E71" s="1306">
        <v>0</v>
      </c>
      <c r="F71" s="1306">
        <v>2</v>
      </c>
      <c r="G71" s="1307" t="s">
        <v>283</v>
      </c>
      <c r="H71" s="1306">
        <v>2</v>
      </c>
      <c r="I71" s="1304"/>
      <c r="J71" s="1308" t="s">
        <v>4659</v>
      </c>
    </row>
    <row r="72" spans="2:10" s="101" customFormat="1" ht="18" outlineLevel="1" x14ac:dyDescent="0.25">
      <c r="B72" s="591" t="s">
        <v>3991</v>
      </c>
      <c r="C72" s="734" t="s">
        <v>3992</v>
      </c>
      <c r="D72" s="438">
        <v>0.1</v>
      </c>
      <c r="E72" s="434">
        <v>0</v>
      </c>
      <c r="F72" s="434" t="s">
        <v>1252</v>
      </c>
      <c r="G72" s="435" t="s">
        <v>2120</v>
      </c>
      <c r="H72" s="434">
        <v>2</v>
      </c>
      <c r="I72" s="432"/>
      <c r="J72" s="827"/>
    </row>
    <row r="73" spans="2:10" s="101" customFormat="1" ht="18" outlineLevel="1" x14ac:dyDescent="0.25">
      <c r="B73" s="591" t="s">
        <v>1769</v>
      </c>
      <c r="C73" s="734" t="s">
        <v>2452</v>
      </c>
      <c r="D73" s="438">
        <v>0.01</v>
      </c>
      <c r="E73" s="434">
        <v>0</v>
      </c>
      <c r="F73" s="434" t="s">
        <v>1252</v>
      </c>
      <c r="G73" s="435" t="s">
        <v>2120</v>
      </c>
      <c r="H73" s="434">
        <v>2</v>
      </c>
      <c r="I73" s="432"/>
      <c r="J73" s="827"/>
    </row>
    <row r="74" spans="2:10" s="101" customFormat="1" ht="18" outlineLevel="1" x14ac:dyDescent="0.25">
      <c r="B74" s="591" t="s">
        <v>3993</v>
      </c>
      <c r="C74" s="2446" t="s">
        <v>5440</v>
      </c>
      <c r="D74" s="438">
        <v>0.1</v>
      </c>
      <c r="E74" s="434">
        <v>0</v>
      </c>
      <c r="F74" s="434" t="s">
        <v>1252</v>
      </c>
      <c r="G74" s="435" t="s">
        <v>2120</v>
      </c>
      <c r="H74" s="434">
        <v>2</v>
      </c>
      <c r="I74" s="432"/>
      <c r="J74" s="827"/>
    </row>
    <row r="75" spans="2:10" s="101" customFormat="1" ht="18" outlineLevel="1" x14ac:dyDescent="0.25">
      <c r="B75" s="591" t="s">
        <v>3994</v>
      </c>
      <c r="C75" s="736" t="s">
        <v>3995</v>
      </c>
      <c r="D75" s="435">
        <v>0.05</v>
      </c>
      <c r="E75" s="434">
        <v>0</v>
      </c>
      <c r="F75" s="435" t="s">
        <v>1252</v>
      </c>
      <c r="G75" s="435" t="s">
        <v>1178</v>
      </c>
      <c r="H75" s="435">
        <v>2</v>
      </c>
      <c r="I75" s="441"/>
      <c r="J75" s="630"/>
    </row>
    <row r="76" spans="2:10" s="101" customFormat="1" ht="18" outlineLevel="1" x14ac:dyDescent="0.25">
      <c r="B76" s="592" t="s">
        <v>3996</v>
      </c>
      <c r="C76" s="737" t="s">
        <v>3997</v>
      </c>
      <c r="D76" s="438">
        <v>0.1</v>
      </c>
      <c r="E76" s="434">
        <v>0</v>
      </c>
      <c r="F76" s="435" t="s">
        <v>1252</v>
      </c>
      <c r="G76" s="435" t="s">
        <v>884</v>
      </c>
      <c r="H76" s="435">
        <v>2</v>
      </c>
      <c r="I76" s="441"/>
      <c r="J76" s="630"/>
    </row>
    <row r="77" spans="2:10" s="101" customFormat="1" ht="18" outlineLevel="1" x14ac:dyDescent="0.25">
      <c r="B77" s="592" t="s">
        <v>3998</v>
      </c>
      <c r="C77" s="737" t="s">
        <v>3999</v>
      </c>
      <c r="D77" s="435">
        <v>0.05</v>
      </c>
      <c r="E77" s="434">
        <v>0</v>
      </c>
      <c r="F77" s="435" t="s">
        <v>1252</v>
      </c>
      <c r="G77" s="435" t="s">
        <v>884</v>
      </c>
      <c r="H77" s="435">
        <v>2</v>
      </c>
      <c r="I77" s="441"/>
      <c r="J77" s="630"/>
    </row>
    <row r="78" spans="2:10" s="101" customFormat="1" ht="18" outlineLevel="1" x14ac:dyDescent="0.25">
      <c r="B78" s="591" t="s">
        <v>4000</v>
      </c>
      <c r="C78" s="735" t="s">
        <v>4001</v>
      </c>
      <c r="D78" s="439">
        <v>5</v>
      </c>
      <c r="E78" s="434">
        <v>0</v>
      </c>
      <c r="F78" s="434" t="s">
        <v>1252</v>
      </c>
      <c r="G78" s="435" t="s">
        <v>1179</v>
      </c>
      <c r="H78" s="434">
        <v>1</v>
      </c>
      <c r="I78" s="432"/>
      <c r="J78" s="436"/>
    </row>
    <row r="79" spans="2:10" s="101" customFormat="1" ht="18" outlineLevel="1" x14ac:dyDescent="0.25">
      <c r="B79" s="591" t="s">
        <v>2103</v>
      </c>
      <c r="C79" s="715" t="s">
        <v>2654</v>
      </c>
      <c r="D79" s="433">
        <v>0.01</v>
      </c>
      <c r="E79" s="434">
        <v>0</v>
      </c>
      <c r="F79" s="434" t="s">
        <v>1252</v>
      </c>
      <c r="G79" s="435" t="s">
        <v>2120</v>
      </c>
      <c r="H79" s="434">
        <v>2</v>
      </c>
      <c r="I79" s="432"/>
      <c r="J79" s="436"/>
    </row>
    <row r="80" spans="2:10" s="101" customFormat="1" ht="18" outlineLevel="1" x14ac:dyDescent="0.25">
      <c r="B80" s="591" t="s">
        <v>2660</v>
      </c>
      <c r="C80" s="715" t="s">
        <v>2459</v>
      </c>
      <c r="D80" s="433">
        <v>0.35</v>
      </c>
      <c r="E80" s="434">
        <v>0</v>
      </c>
      <c r="F80" s="434" t="s">
        <v>1252</v>
      </c>
      <c r="G80" s="435" t="s">
        <v>1883</v>
      </c>
      <c r="H80" s="434">
        <v>2</v>
      </c>
      <c r="I80" s="432"/>
      <c r="J80" s="436"/>
    </row>
    <row r="81" spans="2:10" s="101" customFormat="1" ht="18" outlineLevel="1" x14ac:dyDescent="0.25">
      <c r="B81" s="1303" t="s">
        <v>4664</v>
      </c>
      <c r="C81" s="1309" t="s">
        <v>4665</v>
      </c>
      <c r="D81" s="1310">
        <v>0.17</v>
      </c>
      <c r="E81" s="1306">
        <v>0</v>
      </c>
      <c r="F81" s="1307">
        <v>2</v>
      </c>
      <c r="G81" s="1307" t="s">
        <v>283</v>
      </c>
      <c r="H81" s="1306">
        <v>2</v>
      </c>
      <c r="I81" s="1309"/>
      <c r="J81" s="1311" t="s">
        <v>4666</v>
      </c>
    </row>
    <row r="82" spans="2:10" s="101" customFormat="1" ht="18" outlineLevel="1" x14ac:dyDescent="0.25">
      <c r="B82" s="591" t="s">
        <v>4003</v>
      </c>
      <c r="C82" s="736" t="s">
        <v>4004</v>
      </c>
      <c r="D82" s="433">
        <v>0.1</v>
      </c>
      <c r="E82" s="434">
        <v>0</v>
      </c>
      <c r="F82" s="435">
        <v>1</v>
      </c>
      <c r="G82" s="435" t="s">
        <v>1179</v>
      </c>
      <c r="H82" s="434">
        <v>2</v>
      </c>
      <c r="I82" s="441"/>
      <c r="J82" s="630"/>
    </row>
    <row r="83" spans="2:10" s="101" customFormat="1" ht="18" outlineLevel="1" x14ac:dyDescent="0.25">
      <c r="B83" s="591" t="s">
        <v>2661</v>
      </c>
      <c r="C83" s="715" t="s">
        <v>2460</v>
      </c>
      <c r="D83" s="433">
        <v>0.6</v>
      </c>
      <c r="E83" s="434">
        <v>0</v>
      </c>
      <c r="F83" s="434" t="s">
        <v>1252</v>
      </c>
      <c r="G83" s="435" t="s">
        <v>2120</v>
      </c>
      <c r="H83" s="434">
        <v>2</v>
      </c>
      <c r="I83" s="432"/>
      <c r="J83" s="436"/>
    </row>
    <row r="84" spans="2:10" s="101" customFormat="1" ht="18" outlineLevel="1" x14ac:dyDescent="0.25">
      <c r="B84" s="1303" t="s">
        <v>4667</v>
      </c>
      <c r="C84" s="1309" t="s">
        <v>4668</v>
      </c>
      <c r="D84" s="1310">
        <v>0.1</v>
      </c>
      <c r="E84" s="1306">
        <v>0</v>
      </c>
      <c r="F84" s="1307">
        <v>2</v>
      </c>
      <c r="G84" s="1307" t="s">
        <v>283</v>
      </c>
      <c r="H84" s="1306">
        <v>2</v>
      </c>
      <c r="I84" s="1309"/>
      <c r="J84" s="1311" t="s">
        <v>4666</v>
      </c>
    </row>
    <row r="85" spans="2:10" s="101" customFormat="1" ht="18" outlineLevel="1" x14ac:dyDescent="0.25">
      <c r="B85" s="591" t="s">
        <v>1917</v>
      </c>
      <c r="C85" s="736" t="s">
        <v>2461</v>
      </c>
      <c r="D85" s="435">
        <v>1E-3</v>
      </c>
      <c r="E85" s="434">
        <v>0</v>
      </c>
      <c r="F85" s="435" t="s">
        <v>1252</v>
      </c>
      <c r="G85" s="435" t="s">
        <v>1606</v>
      </c>
      <c r="H85" s="435">
        <v>4</v>
      </c>
      <c r="I85" s="441"/>
      <c r="J85" s="630"/>
    </row>
    <row r="86" spans="2:10" s="101" customFormat="1" ht="18" outlineLevel="1" x14ac:dyDescent="0.25">
      <c r="B86" s="591" t="s">
        <v>1918</v>
      </c>
      <c r="C86" s="736" t="s">
        <v>2462</v>
      </c>
      <c r="D86" s="435">
        <v>1E-3</v>
      </c>
      <c r="E86" s="434">
        <v>0</v>
      </c>
      <c r="F86" s="435" t="s">
        <v>1252</v>
      </c>
      <c r="G86" s="435" t="s">
        <v>1607</v>
      </c>
      <c r="H86" s="435">
        <v>4</v>
      </c>
      <c r="I86" s="441"/>
      <c r="J86" s="630"/>
    </row>
    <row r="87" spans="2:10" s="101" customFormat="1" ht="18" outlineLevel="1" x14ac:dyDescent="0.25">
      <c r="B87" s="591" t="s">
        <v>1919</v>
      </c>
      <c r="C87" s="736" t="s">
        <v>2463</v>
      </c>
      <c r="D87" s="435">
        <v>1E-3</v>
      </c>
      <c r="E87" s="434">
        <v>0</v>
      </c>
      <c r="F87" s="435" t="s">
        <v>1252</v>
      </c>
      <c r="G87" s="435" t="s">
        <v>1608</v>
      </c>
      <c r="H87" s="435">
        <v>4</v>
      </c>
      <c r="I87" s="441"/>
      <c r="J87" s="630"/>
    </row>
    <row r="88" spans="2:10" s="101" customFormat="1" ht="18" outlineLevel="1" x14ac:dyDescent="0.25">
      <c r="B88" s="591" t="s">
        <v>1181</v>
      </c>
      <c r="C88" s="736" t="s">
        <v>2464</v>
      </c>
      <c r="D88" s="435">
        <v>2E-3</v>
      </c>
      <c r="E88" s="434">
        <v>0</v>
      </c>
      <c r="F88" s="435" t="s">
        <v>1252</v>
      </c>
      <c r="G88" s="435" t="s">
        <v>886</v>
      </c>
      <c r="H88" s="435">
        <v>3</v>
      </c>
      <c r="I88" s="441"/>
      <c r="J88" s="630"/>
    </row>
    <row r="89" spans="2:10" s="101" customFormat="1" ht="18" outlineLevel="1" x14ac:dyDescent="0.25">
      <c r="B89" s="591" t="s">
        <v>2454</v>
      </c>
      <c r="C89" s="736" t="s">
        <v>2465</v>
      </c>
      <c r="D89" s="435">
        <v>5.0000000000000001E-3</v>
      </c>
      <c r="E89" s="434">
        <v>0</v>
      </c>
      <c r="F89" s="435" t="s">
        <v>1252</v>
      </c>
      <c r="G89" s="435" t="s">
        <v>886</v>
      </c>
      <c r="H89" s="435">
        <v>3</v>
      </c>
      <c r="I89" s="441"/>
      <c r="J89" s="630"/>
    </row>
    <row r="90" spans="2:10" s="101" customFormat="1" ht="18" outlineLevel="1" x14ac:dyDescent="0.25">
      <c r="B90" s="589" t="s">
        <v>2455</v>
      </c>
      <c r="C90" s="738" t="s">
        <v>2456</v>
      </c>
      <c r="D90" s="439">
        <v>-200</v>
      </c>
      <c r="E90" s="342" t="s">
        <v>2176</v>
      </c>
      <c r="F90" s="343" t="s">
        <v>1252</v>
      </c>
      <c r="G90" s="435" t="s">
        <v>2136</v>
      </c>
      <c r="H90" s="343">
        <v>0</v>
      </c>
      <c r="I90" s="586"/>
      <c r="J90" s="826"/>
    </row>
    <row r="91" spans="2:10" s="101" customFormat="1" ht="18.75" outlineLevel="1" thickBot="1" x14ac:dyDescent="0.3">
      <c r="B91" s="593" t="s">
        <v>2457</v>
      </c>
      <c r="C91" s="739" t="s">
        <v>2458</v>
      </c>
      <c r="D91" s="413">
        <v>0.1</v>
      </c>
      <c r="E91" s="443">
        <v>0</v>
      </c>
      <c r="F91" s="443" t="s">
        <v>1252</v>
      </c>
      <c r="G91" s="443" t="s">
        <v>3435</v>
      </c>
      <c r="H91" s="443">
        <v>2</v>
      </c>
      <c r="I91" s="828"/>
      <c r="J91" s="444"/>
    </row>
    <row r="92" spans="2:10" s="101" customFormat="1" ht="18" outlineLevel="1" x14ac:dyDescent="0.25">
      <c r="B92" s="2433" t="s">
        <v>5420</v>
      </c>
      <c r="C92" s="2434" t="s">
        <v>5421</v>
      </c>
      <c r="D92" s="2435">
        <v>0.1</v>
      </c>
      <c r="E92" s="427">
        <v>0</v>
      </c>
      <c r="F92" s="427" t="s">
        <v>1252</v>
      </c>
      <c r="G92" s="428" t="s">
        <v>1981</v>
      </c>
      <c r="H92" s="427">
        <v>2</v>
      </c>
      <c r="I92" s="426"/>
      <c r="J92" s="829"/>
    </row>
    <row r="93" spans="2:10" s="101" customFormat="1" ht="18" outlineLevel="1" x14ac:dyDescent="0.25">
      <c r="B93" s="2433" t="s">
        <v>5422</v>
      </c>
      <c r="C93" s="2434" t="s">
        <v>5423</v>
      </c>
      <c r="D93" s="2435">
        <v>0.05</v>
      </c>
      <c r="E93" s="427">
        <v>0</v>
      </c>
      <c r="F93" s="427" t="s">
        <v>1252</v>
      </c>
      <c r="G93" s="428" t="s">
        <v>2120</v>
      </c>
      <c r="H93" s="427">
        <v>2</v>
      </c>
      <c r="I93" s="426"/>
      <c r="J93" s="829"/>
    </row>
    <row r="94" spans="2:10" s="101" customFormat="1" ht="18" outlineLevel="1" x14ac:dyDescent="0.25">
      <c r="B94" s="2433" t="s">
        <v>5424</v>
      </c>
      <c r="C94" s="2434" t="s">
        <v>5425</v>
      </c>
      <c r="D94" s="2436">
        <v>0.5</v>
      </c>
      <c r="E94" s="427">
        <v>0</v>
      </c>
      <c r="F94" s="427" t="s">
        <v>1252</v>
      </c>
      <c r="G94" s="428" t="s">
        <v>2120</v>
      </c>
      <c r="H94" s="427">
        <v>2</v>
      </c>
      <c r="I94" s="830"/>
      <c r="J94" s="831"/>
    </row>
    <row r="95" spans="2:10" s="101" customFormat="1" ht="18" outlineLevel="1" x14ac:dyDescent="0.25">
      <c r="B95" s="2433" t="s">
        <v>5426</v>
      </c>
      <c r="C95" s="2434" t="s">
        <v>5427</v>
      </c>
      <c r="D95" s="2437">
        <v>0.12</v>
      </c>
      <c r="E95" s="1312">
        <v>0</v>
      </c>
      <c r="F95" s="1313">
        <v>2</v>
      </c>
      <c r="G95" s="1314" t="s">
        <v>283</v>
      </c>
      <c r="H95" s="1313">
        <v>2</v>
      </c>
      <c r="I95" s="1315"/>
      <c r="J95" s="831" t="s">
        <v>4666</v>
      </c>
    </row>
    <row r="96" spans="2:10" s="101" customFormat="1" ht="18" outlineLevel="1" x14ac:dyDescent="0.25">
      <c r="B96" s="595" t="s">
        <v>4005</v>
      </c>
      <c r="C96" s="2434" t="s">
        <v>5441</v>
      </c>
      <c r="D96" s="594">
        <v>-120</v>
      </c>
      <c r="E96" s="429" t="s">
        <v>2176</v>
      </c>
      <c r="F96" s="427" t="s">
        <v>1252</v>
      </c>
      <c r="G96" s="428" t="s">
        <v>2136</v>
      </c>
      <c r="H96" s="427">
        <v>0</v>
      </c>
      <c r="I96" s="830"/>
      <c r="J96" s="831"/>
    </row>
    <row r="97" spans="2:18" s="101" customFormat="1" ht="18" outlineLevel="1" x14ac:dyDescent="0.25">
      <c r="B97" s="595" t="s">
        <v>4006</v>
      </c>
      <c r="C97" s="2434" t="s">
        <v>5442</v>
      </c>
      <c r="D97" s="594">
        <v>-170</v>
      </c>
      <c r="E97" s="429" t="s">
        <v>2176</v>
      </c>
      <c r="F97" s="427" t="s">
        <v>1252</v>
      </c>
      <c r="G97" s="428" t="s">
        <v>2136</v>
      </c>
      <c r="H97" s="427">
        <v>0</v>
      </c>
      <c r="I97" s="830"/>
      <c r="J97" s="831"/>
    </row>
    <row r="98" spans="2:18" s="101" customFormat="1" ht="18.75" outlineLevel="1" thickBot="1" x14ac:dyDescent="0.3">
      <c r="B98" s="596" t="s">
        <v>4007</v>
      </c>
      <c r="C98" s="716" t="s">
        <v>2466</v>
      </c>
      <c r="D98" s="597">
        <v>0.02</v>
      </c>
      <c r="E98" s="430">
        <v>0</v>
      </c>
      <c r="F98" s="430" t="s">
        <v>1252</v>
      </c>
      <c r="G98" s="431" t="s">
        <v>3435</v>
      </c>
      <c r="H98" s="430">
        <v>2</v>
      </c>
      <c r="I98" s="832"/>
      <c r="J98" s="293"/>
    </row>
    <row r="99" spans="2:18" s="101" customFormat="1" ht="18" outlineLevel="1" x14ac:dyDescent="0.25">
      <c r="B99" s="1478" t="s">
        <v>4855</v>
      </c>
      <c r="C99" s="1479" t="s">
        <v>4916</v>
      </c>
      <c r="D99" s="1480">
        <v>24</v>
      </c>
      <c r="E99" s="1481">
        <v>0</v>
      </c>
      <c r="F99" s="1481" t="s">
        <v>1252</v>
      </c>
      <c r="G99" s="1482" t="s">
        <v>847</v>
      </c>
      <c r="H99" s="1481">
        <v>1</v>
      </c>
      <c r="I99" s="1483"/>
      <c r="J99" s="1484" t="s">
        <v>4856</v>
      </c>
    </row>
    <row r="100" spans="2:18" s="101" customFormat="1" ht="18.75" outlineLevel="1" thickBot="1" x14ac:dyDescent="0.3">
      <c r="B100" s="1485" t="s">
        <v>4857</v>
      </c>
      <c r="C100" s="1486" t="s">
        <v>4917</v>
      </c>
      <c r="D100" s="1487">
        <v>1000</v>
      </c>
      <c r="E100" s="1488">
        <v>1000</v>
      </c>
      <c r="F100" s="1488" t="s">
        <v>1252</v>
      </c>
      <c r="G100" s="1489" t="s">
        <v>2136</v>
      </c>
      <c r="H100" s="1488">
        <v>0</v>
      </c>
      <c r="I100" s="1490"/>
      <c r="J100" s="1491" t="s">
        <v>4858</v>
      </c>
    </row>
    <row r="101" spans="2:18" s="161" customFormat="1" ht="15.75" thickBot="1" x14ac:dyDescent="0.3">
      <c r="B101" s="1927"/>
      <c r="C101" s="720"/>
      <c r="D101" s="1970"/>
      <c r="E101" s="104"/>
      <c r="F101" s="104"/>
      <c r="G101" s="104"/>
      <c r="H101" s="104"/>
      <c r="I101" s="103"/>
      <c r="J101" s="1926"/>
      <c r="K101" s="101"/>
      <c r="L101" s="101"/>
      <c r="M101" s="101"/>
      <c r="N101" s="101"/>
      <c r="O101" s="101"/>
      <c r="P101" s="101"/>
      <c r="Q101" s="101"/>
      <c r="R101" s="101"/>
    </row>
    <row r="102" spans="2:18" s="161" customFormat="1" ht="15.75" thickBot="1" x14ac:dyDescent="0.3">
      <c r="B102" s="112"/>
      <c r="C102" s="353" t="s">
        <v>2887</v>
      </c>
      <c r="D102" s="102" t="s">
        <v>301</v>
      </c>
      <c r="E102" s="102"/>
      <c r="F102" s="102"/>
      <c r="G102" s="102"/>
      <c r="H102" s="102"/>
      <c r="I102" s="112"/>
      <c r="J102" s="1926"/>
      <c r="K102" s="101"/>
      <c r="L102" s="101"/>
      <c r="M102" s="101"/>
      <c r="N102" s="101"/>
      <c r="O102" s="101"/>
      <c r="P102" s="101"/>
      <c r="Q102" s="101"/>
      <c r="R102" s="101"/>
    </row>
    <row r="103" spans="2:18" s="161" customFormat="1" ht="15.75" thickBot="1" x14ac:dyDescent="0.3">
      <c r="B103" s="677" t="s">
        <v>0</v>
      </c>
      <c r="C103" s="740" t="s">
        <v>1</v>
      </c>
      <c r="D103" s="298" t="s">
        <v>840</v>
      </c>
      <c r="E103" s="298" t="s">
        <v>471</v>
      </c>
      <c r="F103" s="298" t="s">
        <v>472</v>
      </c>
      <c r="G103" s="298" t="s">
        <v>2</v>
      </c>
      <c r="H103" s="298" t="s">
        <v>300</v>
      </c>
      <c r="I103" s="833" t="s">
        <v>116</v>
      </c>
      <c r="J103" s="834" t="s">
        <v>117</v>
      </c>
      <c r="K103" s="101"/>
      <c r="L103" s="101"/>
      <c r="M103" s="101"/>
      <c r="N103" s="101"/>
      <c r="O103" s="101"/>
      <c r="P103" s="101"/>
      <c r="Q103" s="101"/>
      <c r="R103" s="101"/>
    </row>
    <row r="104" spans="2:18" s="161" customFormat="1" ht="18" outlineLevel="1" x14ac:dyDescent="0.35">
      <c r="B104" s="1297" t="s">
        <v>2219</v>
      </c>
      <c r="C104" s="1298" t="s">
        <v>2220</v>
      </c>
      <c r="D104" s="1299">
        <v>0.9</v>
      </c>
      <c r="E104" s="513">
        <v>0</v>
      </c>
      <c r="F104" s="513">
        <v>10</v>
      </c>
      <c r="G104" s="513" t="s">
        <v>847</v>
      </c>
      <c r="H104" s="513">
        <v>2</v>
      </c>
      <c r="I104" s="513" t="s">
        <v>1991</v>
      </c>
      <c r="J104" s="1300" t="s">
        <v>3868</v>
      </c>
      <c r="K104" s="101"/>
      <c r="L104" s="101"/>
      <c r="M104" s="101"/>
      <c r="N104" s="101"/>
      <c r="O104" s="101"/>
      <c r="P104" s="101"/>
      <c r="Q104" s="101"/>
      <c r="R104" s="101"/>
    </row>
    <row r="105" spans="2:18" s="161" customFormat="1" ht="18" outlineLevel="1" x14ac:dyDescent="0.35">
      <c r="B105" s="1297" t="s">
        <v>4745</v>
      </c>
      <c r="C105" s="1298" t="s">
        <v>4751</v>
      </c>
      <c r="D105" s="1374">
        <v>1.5E-3</v>
      </c>
      <c r="E105" s="513">
        <v>0</v>
      </c>
      <c r="F105" s="513">
        <v>10</v>
      </c>
      <c r="G105" s="1319" t="s">
        <v>1981</v>
      </c>
      <c r="H105" s="513">
        <v>4</v>
      </c>
      <c r="I105" s="513" t="s">
        <v>1991</v>
      </c>
      <c r="J105" s="1300" t="s">
        <v>4747</v>
      </c>
      <c r="K105" s="101"/>
      <c r="L105" s="101"/>
      <c r="M105" s="101"/>
      <c r="N105" s="101"/>
      <c r="O105" s="101"/>
      <c r="P105" s="101"/>
      <c r="Q105" s="101"/>
      <c r="R105" s="101"/>
    </row>
    <row r="106" spans="2:18" s="161" customFormat="1" ht="18" outlineLevel="1" x14ac:dyDescent="0.35">
      <c r="B106" s="1297" t="s">
        <v>4746</v>
      </c>
      <c r="C106" s="1298" t="s">
        <v>4752</v>
      </c>
      <c r="D106" s="1374">
        <v>0.25</v>
      </c>
      <c r="E106" s="513">
        <v>0</v>
      </c>
      <c r="F106" s="513">
        <v>10</v>
      </c>
      <c r="G106" s="1319" t="s">
        <v>1981</v>
      </c>
      <c r="H106" s="513">
        <v>4</v>
      </c>
      <c r="I106" s="513" t="s">
        <v>1991</v>
      </c>
      <c r="J106" s="1300" t="s">
        <v>4748</v>
      </c>
      <c r="K106" s="101"/>
      <c r="L106" s="101"/>
      <c r="M106" s="101"/>
      <c r="N106" s="101"/>
      <c r="O106" s="101"/>
      <c r="P106" s="101"/>
      <c r="Q106" s="101"/>
      <c r="R106" s="101"/>
    </row>
    <row r="107" spans="2:18" s="161" customFormat="1" ht="18" outlineLevel="1" x14ac:dyDescent="0.35">
      <c r="B107" s="1297" t="s">
        <v>2222</v>
      </c>
      <c r="C107" s="1298" t="s">
        <v>2467</v>
      </c>
      <c r="D107" s="1402">
        <v>0.17</v>
      </c>
      <c r="E107" s="513">
        <v>0</v>
      </c>
      <c r="F107" s="513" t="s">
        <v>1252</v>
      </c>
      <c r="G107" s="513" t="s">
        <v>847</v>
      </c>
      <c r="H107" s="513">
        <v>2</v>
      </c>
      <c r="I107" s="513"/>
      <c r="J107" s="1300"/>
      <c r="K107" s="101"/>
      <c r="L107" s="101"/>
      <c r="M107" s="101"/>
      <c r="N107" s="101"/>
      <c r="O107" s="101"/>
      <c r="P107" s="101"/>
      <c r="Q107" s="101"/>
      <c r="R107" s="101"/>
    </row>
    <row r="108" spans="2:18" s="161" customFormat="1" ht="18.75" outlineLevel="1" x14ac:dyDescent="0.35">
      <c r="B108" s="1297" t="s">
        <v>2224</v>
      </c>
      <c r="C108" s="1298" t="s">
        <v>2470</v>
      </c>
      <c r="D108" s="1372">
        <v>1E-3</v>
      </c>
      <c r="E108" s="1319">
        <v>0</v>
      </c>
      <c r="F108" s="1319" t="s">
        <v>1252</v>
      </c>
      <c r="G108" s="513" t="s">
        <v>4724</v>
      </c>
      <c r="H108" s="1319">
        <v>3</v>
      </c>
      <c r="I108" s="513"/>
      <c r="J108" s="1300"/>
      <c r="K108" s="101"/>
      <c r="L108" s="101"/>
      <c r="M108" s="101"/>
      <c r="N108" s="101"/>
      <c r="O108" s="101"/>
      <c r="P108" s="101"/>
      <c r="Q108" s="101"/>
      <c r="R108" s="101"/>
    </row>
    <row r="109" spans="2:18" s="161" customFormat="1" ht="18.75" customHeight="1" outlineLevel="1" x14ac:dyDescent="0.25">
      <c r="B109" s="1316" t="s">
        <v>4669</v>
      </c>
      <c r="C109" s="1317" t="s">
        <v>4670</v>
      </c>
      <c r="D109" s="1318">
        <v>1</v>
      </c>
      <c r="E109" s="1319">
        <v>0</v>
      </c>
      <c r="F109" s="1319">
        <v>2</v>
      </c>
      <c r="G109" s="1319" t="s">
        <v>283</v>
      </c>
      <c r="H109" s="1319">
        <v>2</v>
      </c>
      <c r="I109" s="521"/>
      <c r="J109" s="1320" t="s">
        <v>4659</v>
      </c>
      <c r="K109" s="101"/>
      <c r="L109" s="101"/>
      <c r="M109" s="101"/>
      <c r="N109" s="101"/>
      <c r="O109" s="101"/>
      <c r="P109" s="101"/>
      <c r="Q109" s="101"/>
      <c r="R109" s="101"/>
    </row>
    <row r="110" spans="2:18" s="161" customFormat="1" ht="18.75" outlineLevel="1" x14ac:dyDescent="0.35">
      <c r="B110" s="1297" t="s">
        <v>2223</v>
      </c>
      <c r="C110" s="1298" t="s">
        <v>2469</v>
      </c>
      <c r="D110" s="1373">
        <v>4.0000000000000001E-3</v>
      </c>
      <c r="E110" s="1319">
        <v>0</v>
      </c>
      <c r="F110" s="513" t="s">
        <v>1252</v>
      </c>
      <c r="G110" s="513" t="s">
        <v>4724</v>
      </c>
      <c r="H110" s="513">
        <v>3</v>
      </c>
      <c r="I110" s="513"/>
      <c r="J110" s="1300"/>
      <c r="K110" s="101"/>
      <c r="L110" s="101"/>
      <c r="M110" s="101"/>
      <c r="N110" s="101"/>
      <c r="O110" s="101"/>
      <c r="P110" s="101"/>
      <c r="Q110" s="101"/>
      <c r="R110" s="101"/>
    </row>
    <row r="111" spans="2:18" s="161" customFormat="1" ht="19.5" customHeight="1" outlineLevel="1" x14ac:dyDescent="0.25">
      <c r="B111" s="1316" t="s">
        <v>4671</v>
      </c>
      <c r="C111" s="1317" t="s">
        <v>4672</v>
      </c>
      <c r="D111" s="1318">
        <v>0.3</v>
      </c>
      <c r="E111" s="1319">
        <v>0</v>
      </c>
      <c r="F111" s="1319">
        <v>2</v>
      </c>
      <c r="G111" s="1319" t="s">
        <v>283</v>
      </c>
      <c r="H111" s="1319">
        <v>2</v>
      </c>
      <c r="I111" s="521"/>
      <c r="J111" s="1320" t="s">
        <v>4659</v>
      </c>
      <c r="K111" s="101"/>
      <c r="L111" s="101"/>
      <c r="M111" s="101"/>
      <c r="N111" s="101"/>
      <c r="O111" s="101"/>
      <c r="P111" s="101"/>
      <c r="Q111" s="101"/>
      <c r="R111" s="101"/>
    </row>
    <row r="112" spans="2:18" s="161" customFormat="1" ht="18.75" outlineLevel="1" x14ac:dyDescent="0.35">
      <c r="B112" s="1297" t="s">
        <v>3904</v>
      </c>
      <c r="C112" s="1298" t="s">
        <v>5572</v>
      </c>
      <c r="D112" s="1299">
        <v>0.5</v>
      </c>
      <c r="E112" s="513">
        <v>0</v>
      </c>
      <c r="F112" s="513" t="s">
        <v>1252</v>
      </c>
      <c r="G112" s="513" t="s">
        <v>849</v>
      </c>
      <c r="H112" s="513">
        <v>2</v>
      </c>
      <c r="I112" s="513"/>
      <c r="J112" s="1300" t="s">
        <v>3876</v>
      </c>
      <c r="K112" s="101"/>
      <c r="L112" s="101"/>
      <c r="M112" s="101"/>
      <c r="N112" s="101"/>
      <c r="O112" s="101"/>
      <c r="P112" s="101"/>
      <c r="Q112" s="101"/>
      <c r="R112" s="101"/>
    </row>
    <row r="113" spans="2:18" s="161" customFormat="1" ht="18.75" outlineLevel="1" x14ac:dyDescent="0.35">
      <c r="B113" s="1297" t="s">
        <v>3906</v>
      </c>
      <c r="C113" s="1298" t="s">
        <v>5573</v>
      </c>
      <c r="D113" s="1402">
        <v>0.3</v>
      </c>
      <c r="E113" s="513">
        <v>0</v>
      </c>
      <c r="F113" s="513" t="s">
        <v>1252</v>
      </c>
      <c r="G113" s="513" t="s">
        <v>849</v>
      </c>
      <c r="H113" s="513">
        <v>2</v>
      </c>
      <c r="I113" s="513"/>
      <c r="J113" s="1300" t="s">
        <v>3876</v>
      </c>
      <c r="K113" s="101"/>
      <c r="L113" s="101"/>
      <c r="M113" s="101"/>
      <c r="N113" s="101"/>
      <c r="O113" s="101"/>
      <c r="P113" s="101"/>
      <c r="Q113" s="101"/>
      <c r="R113" s="101"/>
    </row>
    <row r="114" spans="2:18" s="161" customFormat="1" ht="18.75" outlineLevel="1" x14ac:dyDescent="0.35">
      <c r="B114" s="1297" t="s">
        <v>3908</v>
      </c>
      <c r="C114" s="1298" t="s">
        <v>5574</v>
      </c>
      <c r="D114" s="1402">
        <v>0.5</v>
      </c>
      <c r="E114" s="513">
        <v>0</v>
      </c>
      <c r="F114" s="513" t="s">
        <v>1252</v>
      </c>
      <c r="G114" s="513" t="s">
        <v>849</v>
      </c>
      <c r="H114" s="513">
        <v>2</v>
      </c>
      <c r="I114" s="513" t="s">
        <v>2406</v>
      </c>
      <c r="J114" s="1300" t="s">
        <v>4654</v>
      </c>
      <c r="K114" s="101"/>
      <c r="L114" s="101"/>
      <c r="M114" s="101"/>
      <c r="N114" s="101"/>
      <c r="O114" s="101"/>
      <c r="P114" s="101"/>
      <c r="Q114" s="101"/>
      <c r="R114" s="101"/>
    </row>
    <row r="115" spans="2:18" s="161" customFormat="1" ht="18.75" outlineLevel="1" x14ac:dyDescent="0.35">
      <c r="B115" s="1297" t="s">
        <v>3909</v>
      </c>
      <c r="C115" s="1298" t="s">
        <v>5575</v>
      </c>
      <c r="D115" s="1402">
        <v>0.15</v>
      </c>
      <c r="E115" s="513">
        <v>0</v>
      </c>
      <c r="F115" s="513" t="s">
        <v>1252</v>
      </c>
      <c r="G115" s="513" t="s">
        <v>849</v>
      </c>
      <c r="H115" s="513">
        <v>2</v>
      </c>
      <c r="I115" s="513" t="s">
        <v>2406</v>
      </c>
      <c r="J115" s="1300" t="s">
        <v>4655</v>
      </c>
      <c r="K115" s="101"/>
      <c r="L115" s="101"/>
      <c r="M115" s="101"/>
      <c r="N115" s="101"/>
      <c r="O115" s="101"/>
      <c r="P115" s="101"/>
      <c r="Q115" s="101"/>
      <c r="R115" s="101"/>
    </row>
    <row r="116" spans="2:18" s="161" customFormat="1" ht="18" outlineLevel="1" x14ac:dyDescent="0.35">
      <c r="B116" s="1297" t="s">
        <v>2221</v>
      </c>
      <c r="C116" s="1298" t="s">
        <v>2468</v>
      </c>
      <c r="D116" s="1402">
        <v>0.01</v>
      </c>
      <c r="E116" s="513">
        <v>0</v>
      </c>
      <c r="F116" s="513" t="s">
        <v>1252</v>
      </c>
      <c r="G116" s="513" t="s">
        <v>850</v>
      </c>
      <c r="H116" s="513">
        <v>2</v>
      </c>
      <c r="I116" s="513" t="s">
        <v>1992</v>
      </c>
      <c r="J116" s="1300" t="s">
        <v>3941</v>
      </c>
      <c r="K116" s="101"/>
      <c r="L116" s="101"/>
      <c r="M116" s="101"/>
      <c r="N116" s="101"/>
      <c r="O116" s="101"/>
      <c r="P116" s="101"/>
      <c r="Q116" s="101"/>
      <c r="R116" s="101"/>
    </row>
    <row r="117" spans="2:18" s="161" customFormat="1" ht="18" outlineLevel="1" x14ac:dyDescent="0.35">
      <c r="B117" s="1297" t="s">
        <v>3954</v>
      </c>
      <c r="C117" s="1298" t="s">
        <v>3955</v>
      </c>
      <c r="D117" s="1299">
        <v>0.7</v>
      </c>
      <c r="E117" s="513">
        <v>0</v>
      </c>
      <c r="F117" s="513" t="s">
        <v>1252</v>
      </c>
      <c r="G117" s="513" t="s">
        <v>850</v>
      </c>
      <c r="H117" s="513">
        <v>3</v>
      </c>
      <c r="I117" s="513" t="s">
        <v>1992</v>
      </c>
      <c r="J117" s="1300" t="s">
        <v>4753</v>
      </c>
      <c r="K117" s="101"/>
      <c r="L117" s="101"/>
      <c r="M117" s="101"/>
      <c r="N117" s="101"/>
      <c r="O117" s="101"/>
      <c r="P117" s="101"/>
      <c r="Q117" s="101"/>
      <c r="R117" s="101"/>
    </row>
    <row r="118" spans="2:18" s="161" customFormat="1" ht="18" outlineLevel="1" x14ac:dyDescent="0.35">
      <c r="B118" s="1297" t="s">
        <v>3870</v>
      </c>
      <c r="C118" s="1298" t="s">
        <v>3871</v>
      </c>
      <c r="D118" s="2313">
        <v>0.9</v>
      </c>
      <c r="E118" s="513">
        <v>0</v>
      </c>
      <c r="F118" s="513" t="s">
        <v>1252</v>
      </c>
      <c r="G118" s="513" t="s">
        <v>850</v>
      </c>
      <c r="H118" s="513">
        <v>3</v>
      </c>
      <c r="I118" s="513" t="s">
        <v>1992</v>
      </c>
      <c r="J118" s="1300" t="s">
        <v>4656</v>
      </c>
      <c r="K118" s="101"/>
      <c r="L118" s="101"/>
      <c r="M118" s="101"/>
      <c r="N118" s="101"/>
      <c r="O118" s="101"/>
      <c r="P118" s="101"/>
      <c r="Q118" s="101"/>
      <c r="R118" s="101"/>
    </row>
    <row r="119" spans="2:18" s="161" customFormat="1" ht="18" outlineLevel="1" x14ac:dyDescent="0.35">
      <c r="B119" s="1297" t="s">
        <v>2225</v>
      </c>
      <c r="C119" s="1298" t="s">
        <v>2471</v>
      </c>
      <c r="D119" s="1374">
        <v>0.03</v>
      </c>
      <c r="E119" s="513">
        <v>0</v>
      </c>
      <c r="F119" s="513" t="s">
        <v>1252</v>
      </c>
      <c r="G119" s="513" t="s">
        <v>850</v>
      </c>
      <c r="H119" s="513">
        <v>2</v>
      </c>
      <c r="I119" s="513"/>
      <c r="J119" s="1300"/>
      <c r="K119" s="101"/>
      <c r="L119" s="101"/>
      <c r="M119" s="101"/>
      <c r="N119" s="101"/>
      <c r="O119" s="101"/>
      <c r="P119" s="101"/>
      <c r="Q119" s="101"/>
      <c r="R119" s="101"/>
    </row>
    <row r="120" spans="2:18" s="161" customFormat="1" ht="18" outlineLevel="1" x14ac:dyDescent="0.35">
      <c r="B120" s="1297" t="s">
        <v>3927</v>
      </c>
      <c r="C120" s="1298" t="s">
        <v>3931</v>
      </c>
      <c r="D120" s="1374">
        <v>4.0000000000000001E-3</v>
      </c>
      <c r="E120" s="513">
        <v>0</v>
      </c>
      <c r="F120" s="513" t="s">
        <v>1252</v>
      </c>
      <c r="G120" s="513" t="s">
        <v>850</v>
      </c>
      <c r="H120" s="513">
        <v>4</v>
      </c>
      <c r="I120" s="513"/>
      <c r="J120" s="1300"/>
      <c r="K120" s="101"/>
      <c r="L120" s="101"/>
      <c r="M120" s="101"/>
      <c r="N120" s="101"/>
      <c r="O120" s="101"/>
      <c r="P120" s="101"/>
      <c r="Q120" s="101"/>
      <c r="R120" s="101"/>
    </row>
    <row r="121" spans="2:18" s="161" customFormat="1" ht="18" outlineLevel="1" x14ac:dyDescent="0.35">
      <c r="B121" s="1297" t="s">
        <v>3872</v>
      </c>
      <c r="C121" s="1298" t="s">
        <v>3969</v>
      </c>
      <c r="D121" s="1374">
        <v>2.9999999999999997E-4</v>
      </c>
      <c r="E121" s="513">
        <v>0</v>
      </c>
      <c r="F121" s="513" t="s">
        <v>1252</v>
      </c>
      <c r="G121" s="513" t="s">
        <v>850</v>
      </c>
      <c r="H121" s="513">
        <v>4</v>
      </c>
      <c r="I121" s="513"/>
      <c r="J121" s="1300" t="s">
        <v>4754</v>
      </c>
      <c r="K121" s="101"/>
      <c r="L121" s="101"/>
      <c r="M121" s="101"/>
      <c r="N121" s="101"/>
      <c r="O121" s="101"/>
      <c r="P121" s="101"/>
      <c r="Q121" s="101"/>
      <c r="R121" s="101"/>
    </row>
    <row r="122" spans="2:18" s="161" customFormat="1" ht="18" outlineLevel="1" x14ac:dyDescent="0.35">
      <c r="B122" s="1297" t="s">
        <v>3873</v>
      </c>
      <c r="C122" s="1298" t="s">
        <v>3970</v>
      </c>
      <c r="D122" s="1374">
        <v>8.0000000000000002E-3</v>
      </c>
      <c r="E122" s="513">
        <v>0</v>
      </c>
      <c r="F122" s="513" t="s">
        <v>1252</v>
      </c>
      <c r="G122" s="513" t="s">
        <v>850</v>
      </c>
      <c r="H122" s="513">
        <v>3</v>
      </c>
      <c r="I122" s="513"/>
      <c r="J122" s="1300"/>
      <c r="K122" s="101"/>
      <c r="L122" s="101"/>
      <c r="M122" s="101"/>
      <c r="N122" s="101"/>
      <c r="O122" s="101"/>
      <c r="P122" s="101"/>
      <c r="Q122" s="101"/>
      <c r="R122" s="101"/>
    </row>
    <row r="123" spans="2:18" s="161" customFormat="1" ht="18.75" outlineLevel="1" x14ac:dyDescent="0.35">
      <c r="B123" s="1297" t="s">
        <v>3874</v>
      </c>
      <c r="C123" s="1298" t="s">
        <v>3971</v>
      </c>
      <c r="D123" s="1299">
        <v>0.8</v>
      </c>
      <c r="E123" s="513">
        <v>0</v>
      </c>
      <c r="F123" s="513" t="s">
        <v>1252</v>
      </c>
      <c r="G123" s="513" t="s">
        <v>849</v>
      </c>
      <c r="H123" s="513">
        <v>2</v>
      </c>
      <c r="I123" s="513"/>
      <c r="J123" s="1300" t="s">
        <v>4755</v>
      </c>
      <c r="K123" s="101"/>
      <c r="L123" s="101"/>
      <c r="M123" s="101"/>
      <c r="N123" s="101"/>
      <c r="O123" s="101"/>
      <c r="P123" s="101"/>
      <c r="Q123" s="101"/>
      <c r="R123" s="101"/>
    </row>
    <row r="124" spans="2:18" s="161" customFormat="1" ht="18.75" outlineLevel="1" x14ac:dyDescent="0.35">
      <c r="B124" s="1297" t="s">
        <v>3917</v>
      </c>
      <c r="C124" s="1298" t="s">
        <v>3918</v>
      </c>
      <c r="D124" s="1299">
        <v>0.5</v>
      </c>
      <c r="E124" s="513">
        <v>0</v>
      </c>
      <c r="F124" s="513" t="s">
        <v>1252</v>
      </c>
      <c r="G124" s="513" t="s">
        <v>849</v>
      </c>
      <c r="H124" s="513">
        <v>2</v>
      </c>
      <c r="I124" s="513"/>
      <c r="J124" s="1300"/>
      <c r="K124" s="101"/>
      <c r="L124" s="101"/>
      <c r="M124" s="101"/>
      <c r="N124" s="101"/>
      <c r="O124" s="101"/>
      <c r="P124" s="101"/>
      <c r="Q124" s="101"/>
      <c r="R124" s="101"/>
    </row>
    <row r="125" spans="2:18" s="161" customFormat="1" ht="18.75" outlineLevel="1" x14ac:dyDescent="0.35">
      <c r="B125" s="1297" t="s">
        <v>3919</v>
      </c>
      <c r="C125" s="1298" t="s">
        <v>3920</v>
      </c>
      <c r="D125" s="1402">
        <v>0.5</v>
      </c>
      <c r="E125" s="513">
        <v>0</v>
      </c>
      <c r="F125" s="513" t="s">
        <v>1252</v>
      </c>
      <c r="G125" s="513" t="s">
        <v>849</v>
      </c>
      <c r="H125" s="513">
        <v>2</v>
      </c>
      <c r="I125" s="513" t="s">
        <v>2406</v>
      </c>
      <c r="J125" s="1300"/>
      <c r="K125" s="101"/>
      <c r="L125" s="101"/>
      <c r="M125" s="101"/>
      <c r="N125" s="101"/>
      <c r="O125" s="101"/>
      <c r="P125" s="101"/>
      <c r="Q125" s="101"/>
      <c r="R125" s="101"/>
    </row>
    <row r="126" spans="2:18" s="161" customFormat="1" ht="18" outlineLevel="1" x14ac:dyDescent="0.35">
      <c r="B126" s="1297" t="s">
        <v>5075</v>
      </c>
      <c r="C126" s="1298" t="s">
        <v>5076</v>
      </c>
      <c r="D126" s="1299">
        <v>6</v>
      </c>
      <c r="E126" s="513">
        <v>0</v>
      </c>
      <c r="F126" s="513" t="s">
        <v>1252</v>
      </c>
      <c r="G126" s="513" t="s">
        <v>378</v>
      </c>
      <c r="H126" s="513">
        <v>1</v>
      </c>
      <c r="I126" s="513"/>
      <c r="J126" s="1300"/>
      <c r="K126" s="101"/>
      <c r="L126" s="101"/>
      <c r="M126" s="101"/>
      <c r="N126" s="101"/>
      <c r="O126" s="101"/>
      <c r="P126" s="101"/>
      <c r="Q126" s="101"/>
      <c r="R126" s="101"/>
    </row>
    <row r="127" spans="2:18" s="161" customFormat="1" ht="18.75" outlineLevel="1" thickBot="1" x14ac:dyDescent="0.4">
      <c r="B127" s="1380" t="s">
        <v>5077</v>
      </c>
      <c r="C127" s="1381" t="s">
        <v>5078</v>
      </c>
      <c r="D127" s="1382">
        <v>8</v>
      </c>
      <c r="E127" s="1383">
        <v>0</v>
      </c>
      <c r="F127" s="1383" t="s">
        <v>1252</v>
      </c>
      <c r="G127" s="1383" t="s">
        <v>378</v>
      </c>
      <c r="H127" s="1383">
        <v>1</v>
      </c>
      <c r="I127" s="1383"/>
      <c r="J127" s="1384"/>
      <c r="K127" s="101"/>
      <c r="L127" s="101"/>
      <c r="M127" s="101"/>
      <c r="N127" s="101"/>
      <c r="O127" s="101"/>
      <c r="P127" s="101"/>
      <c r="Q127" s="101"/>
      <c r="R127" s="101"/>
    </row>
    <row r="128" spans="2:18" s="161" customFormat="1" ht="15.75" thickBot="1" x14ac:dyDescent="0.3">
      <c r="B128" s="1927"/>
      <c r="C128" s="720"/>
      <c r="D128" s="1970"/>
      <c r="E128" s="104"/>
      <c r="F128" s="104"/>
      <c r="G128" s="104"/>
      <c r="H128" s="104"/>
      <c r="I128" s="103"/>
      <c r="J128" s="1926"/>
      <c r="K128" s="101"/>
      <c r="L128" s="101"/>
      <c r="M128" s="101"/>
      <c r="N128" s="101"/>
      <c r="O128" s="101"/>
      <c r="P128" s="101"/>
      <c r="Q128" s="101"/>
      <c r="R128" s="101"/>
    </row>
    <row r="129" spans="2:18" s="161" customFormat="1" ht="15.75" thickBot="1" x14ac:dyDescent="0.3">
      <c r="B129" s="112"/>
      <c r="C129" s="353" t="s">
        <v>2888</v>
      </c>
      <c r="D129" s="102" t="s">
        <v>301</v>
      </c>
      <c r="E129" s="102"/>
      <c r="F129" s="102"/>
      <c r="G129" s="102"/>
      <c r="H129" s="102"/>
      <c r="I129" s="112"/>
      <c r="J129" s="1926"/>
      <c r="K129" s="101"/>
      <c r="L129" s="101"/>
      <c r="M129" s="101"/>
      <c r="N129" s="101"/>
      <c r="O129" s="101"/>
      <c r="P129" s="101"/>
      <c r="Q129" s="101"/>
      <c r="R129" s="101"/>
    </row>
    <row r="130" spans="2:18" s="161" customFormat="1" ht="15.75" thickBot="1" x14ac:dyDescent="0.3">
      <c r="B130" s="677" t="s">
        <v>0</v>
      </c>
      <c r="C130" s="740" t="s">
        <v>1</v>
      </c>
      <c r="D130" s="298" t="s">
        <v>840</v>
      </c>
      <c r="E130" s="298" t="s">
        <v>471</v>
      </c>
      <c r="F130" s="298" t="s">
        <v>472</v>
      </c>
      <c r="G130" s="298" t="s">
        <v>2</v>
      </c>
      <c r="H130" s="298" t="s">
        <v>300</v>
      </c>
      <c r="I130" s="833" t="s">
        <v>116</v>
      </c>
      <c r="J130" s="834" t="s">
        <v>117</v>
      </c>
      <c r="K130" s="101"/>
      <c r="L130" s="101"/>
      <c r="M130" s="101"/>
      <c r="N130" s="101"/>
      <c r="O130" s="101"/>
      <c r="P130" s="101"/>
      <c r="Q130" s="101"/>
      <c r="R130" s="101"/>
    </row>
    <row r="131" spans="2:18" s="161" customFormat="1" ht="18" outlineLevel="1" x14ac:dyDescent="0.35">
      <c r="B131" s="679" t="s">
        <v>2226</v>
      </c>
      <c r="C131" s="741" t="s">
        <v>2227</v>
      </c>
      <c r="D131" s="299">
        <v>0.65</v>
      </c>
      <c r="E131" s="300">
        <v>0</v>
      </c>
      <c r="F131" s="300" t="s">
        <v>1252</v>
      </c>
      <c r="G131" s="300" t="s">
        <v>847</v>
      </c>
      <c r="H131" s="300">
        <v>2</v>
      </c>
      <c r="I131" s="835" t="s">
        <v>1990</v>
      </c>
      <c r="J131" s="836"/>
      <c r="K131" s="101"/>
      <c r="L131" s="101"/>
      <c r="M131" s="101"/>
      <c r="N131" s="101"/>
      <c r="O131" s="101"/>
      <c r="P131" s="101"/>
      <c r="Q131" s="101"/>
      <c r="R131" s="101"/>
    </row>
    <row r="132" spans="2:18" s="161" customFormat="1" ht="18" outlineLevel="1" x14ac:dyDescent="0.35">
      <c r="B132" s="680" t="s">
        <v>2229</v>
      </c>
      <c r="C132" s="742" t="s">
        <v>2473</v>
      </c>
      <c r="D132" s="301">
        <v>0.15</v>
      </c>
      <c r="E132" s="302">
        <v>0</v>
      </c>
      <c r="F132" s="302" t="s">
        <v>1252</v>
      </c>
      <c r="G132" s="302" t="s">
        <v>847</v>
      </c>
      <c r="H132" s="302">
        <v>2</v>
      </c>
      <c r="I132" s="837"/>
      <c r="J132" s="838"/>
      <c r="K132" s="101"/>
      <c r="L132" s="101"/>
      <c r="M132" s="101"/>
      <c r="N132" s="101"/>
      <c r="O132" s="101"/>
      <c r="P132" s="101"/>
      <c r="Q132" s="101"/>
      <c r="R132" s="101"/>
    </row>
    <row r="133" spans="2:18" s="161" customFormat="1" ht="18" outlineLevel="1" x14ac:dyDescent="0.35">
      <c r="B133" s="680" t="s">
        <v>2228</v>
      </c>
      <c r="C133" s="742" t="s">
        <v>2474</v>
      </c>
      <c r="D133" s="301">
        <v>0.1</v>
      </c>
      <c r="E133" s="302">
        <v>0</v>
      </c>
      <c r="F133" s="302" t="s">
        <v>1252</v>
      </c>
      <c r="G133" s="302" t="s">
        <v>850</v>
      </c>
      <c r="H133" s="302">
        <v>2</v>
      </c>
      <c r="I133" s="837" t="s">
        <v>1989</v>
      </c>
      <c r="J133" s="838"/>
      <c r="K133" s="101"/>
      <c r="L133" s="101"/>
      <c r="M133" s="101"/>
      <c r="N133" s="101"/>
      <c r="O133" s="101"/>
      <c r="P133" s="101"/>
      <c r="Q133" s="101"/>
      <c r="R133" s="101"/>
    </row>
    <row r="134" spans="2:18" s="161" customFormat="1" ht="18.75" outlineLevel="1" x14ac:dyDescent="0.35">
      <c r="B134" s="680" t="s">
        <v>2230</v>
      </c>
      <c r="C134" s="743" t="s">
        <v>2475</v>
      </c>
      <c r="D134" s="1459">
        <v>2.0000000000000002E-5</v>
      </c>
      <c r="E134" s="1322">
        <v>0</v>
      </c>
      <c r="F134" s="1322" t="s">
        <v>1252</v>
      </c>
      <c r="G134" s="1322" t="s">
        <v>1938</v>
      </c>
      <c r="H134" s="302">
        <v>2</v>
      </c>
      <c r="I134" s="837"/>
      <c r="J134" s="838"/>
      <c r="K134" s="101"/>
      <c r="L134" s="101"/>
      <c r="M134" s="101"/>
      <c r="N134" s="101"/>
      <c r="O134" s="101"/>
      <c r="P134" s="101"/>
      <c r="Q134" s="101"/>
      <c r="R134" s="101"/>
    </row>
    <row r="135" spans="2:18" s="161" customFormat="1" ht="18" outlineLevel="1" x14ac:dyDescent="0.35">
      <c r="B135" s="1321" t="s">
        <v>4673</v>
      </c>
      <c r="C135" s="1325" t="s">
        <v>4674</v>
      </c>
      <c r="D135" s="1393">
        <v>2</v>
      </c>
      <c r="E135" s="1322">
        <v>0</v>
      </c>
      <c r="F135" s="1322">
        <v>2</v>
      </c>
      <c r="G135" s="1322" t="s">
        <v>283</v>
      </c>
      <c r="H135" s="1322">
        <v>2</v>
      </c>
      <c r="I135" s="1323"/>
      <c r="J135" s="1324" t="s">
        <v>4659</v>
      </c>
      <c r="K135" s="101"/>
      <c r="L135" s="101"/>
      <c r="M135" s="101"/>
      <c r="N135" s="101"/>
      <c r="O135" s="101"/>
      <c r="P135" s="101"/>
      <c r="Q135" s="101"/>
      <c r="R135" s="101"/>
    </row>
    <row r="136" spans="2:18" s="161" customFormat="1" ht="18.75" outlineLevel="1" x14ac:dyDescent="0.35">
      <c r="B136" s="680" t="s">
        <v>2231</v>
      </c>
      <c r="C136" s="742" t="s">
        <v>2476</v>
      </c>
      <c r="D136" s="301">
        <v>0.5</v>
      </c>
      <c r="E136" s="302">
        <v>0</v>
      </c>
      <c r="F136" s="302" t="s">
        <v>1252</v>
      </c>
      <c r="G136" s="302" t="s">
        <v>849</v>
      </c>
      <c r="H136" s="302">
        <v>2</v>
      </c>
      <c r="I136" s="837"/>
      <c r="J136" s="838"/>
      <c r="K136" s="101"/>
      <c r="L136" s="101"/>
      <c r="M136" s="101"/>
      <c r="N136" s="101"/>
      <c r="O136" s="101"/>
      <c r="P136" s="101"/>
      <c r="Q136" s="101"/>
      <c r="R136" s="101"/>
    </row>
    <row r="137" spans="2:18" s="161" customFormat="1" ht="18.75" outlineLevel="1" x14ac:dyDescent="0.35">
      <c r="B137" s="680" t="s">
        <v>2232</v>
      </c>
      <c r="C137" s="742" t="s">
        <v>2477</v>
      </c>
      <c r="D137" s="301">
        <v>0.5</v>
      </c>
      <c r="E137" s="302">
        <v>0</v>
      </c>
      <c r="F137" s="302" t="s">
        <v>1252</v>
      </c>
      <c r="G137" s="302" t="s">
        <v>849</v>
      </c>
      <c r="H137" s="302">
        <v>2</v>
      </c>
      <c r="I137" s="839" t="s">
        <v>2407</v>
      </c>
      <c r="J137" s="838"/>
      <c r="K137" s="101"/>
      <c r="L137" s="101"/>
      <c r="M137" s="101"/>
      <c r="N137" s="101"/>
      <c r="O137" s="101"/>
      <c r="P137" s="101"/>
      <c r="Q137" s="101"/>
      <c r="R137" s="101"/>
    </row>
    <row r="138" spans="2:18" s="161" customFormat="1" ht="18" outlineLevel="1" x14ac:dyDescent="0.35">
      <c r="B138" s="680" t="s">
        <v>2233</v>
      </c>
      <c r="C138" s="742" t="s">
        <v>2478</v>
      </c>
      <c r="D138" s="301">
        <v>0.03</v>
      </c>
      <c r="E138" s="302">
        <v>0</v>
      </c>
      <c r="F138" s="302" t="s">
        <v>1252</v>
      </c>
      <c r="G138" s="302" t="s">
        <v>850</v>
      </c>
      <c r="H138" s="302">
        <v>2</v>
      </c>
      <c r="I138" s="837"/>
      <c r="J138" s="838"/>
      <c r="K138" s="101"/>
      <c r="L138" s="101"/>
      <c r="M138" s="101"/>
      <c r="N138" s="101"/>
      <c r="O138" s="101"/>
      <c r="P138" s="101"/>
      <c r="Q138" s="101"/>
      <c r="R138" s="101"/>
    </row>
    <row r="139" spans="2:18" s="161" customFormat="1" ht="18.75" outlineLevel="1" x14ac:dyDescent="0.35">
      <c r="B139" s="680" t="s">
        <v>2472</v>
      </c>
      <c r="C139" s="742" t="s">
        <v>2479</v>
      </c>
      <c r="D139" s="301">
        <v>9999</v>
      </c>
      <c r="E139" s="302">
        <v>0</v>
      </c>
      <c r="F139" s="302" t="s">
        <v>1252</v>
      </c>
      <c r="G139" s="302" t="s">
        <v>2166</v>
      </c>
      <c r="H139" s="302">
        <v>4</v>
      </c>
      <c r="I139" s="839"/>
      <c r="J139" s="838"/>
      <c r="K139" s="101"/>
      <c r="L139" s="101"/>
      <c r="M139" s="101"/>
      <c r="N139" s="101"/>
      <c r="O139" s="101"/>
      <c r="P139" s="101"/>
      <c r="Q139" s="101"/>
      <c r="R139" s="101"/>
    </row>
    <row r="140" spans="2:18" s="161" customFormat="1" ht="18" outlineLevel="1" x14ac:dyDescent="0.35">
      <c r="B140" s="680" t="s">
        <v>5091</v>
      </c>
      <c r="C140" s="742" t="s">
        <v>5090</v>
      </c>
      <c r="D140" s="2312">
        <v>10</v>
      </c>
      <c r="E140" s="302">
        <v>0</v>
      </c>
      <c r="F140" s="302" t="s">
        <v>1252</v>
      </c>
      <c r="G140" s="302" t="s">
        <v>850</v>
      </c>
      <c r="H140" s="302">
        <v>2</v>
      </c>
      <c r="I140" s="839"/>
      <c r="J140" s="838" t="s">
        <v>5092</v>
      </c>
      <c r="K140" s="101"/>
      <c r="L140" s="101"/>
      <c r="M140" s="101"/>
      <c r="N140" s="101"/>
      <c r="O140" s="101"/>
      <c r="P140" s="101"/>
      <c r="Q140" s="101"/>
      <c r="R140" s="101"/>
    </row>
    <row r="141" spans="2:18" s="161" customFormat="1" ht="18" outlineLevel="1" x14ac:dyDescent="0.35">
      <c r="B141" s="680" t="s">
        <v>5079</v>
      </c>
      <c r="C141" s="742" t="s">
        <v>5080</v>
      </c>
      <c r="D141" s="301">
        <v>6</v>
      </c>
      <c r="E141" s="302">
        <v>0</v>
      </c>
      <c r="F141" s="302" t="s">
        <v>1252</v>
      </c>
      <c r="G141" s="302" t="s">
        <v>378</v>
      </c>
      <c r="H141" s="302">
        <v>1</v>
      </c>
      <c r="I141" s="837"/>
      <c r="J141" s="838"/>
      <c r="K141" s="101"/>
      <c r="L141" s="101"/>
      <c r="M141" s="101"/>
      <c r="N141" s="101"/>
      <c r="O141" s="101"/>
      <c r="P141" s="101"/>
      <c r="Q141" s="101"/>
      <c r="R141" s="101"/>
    </row>
    <row r="142" spans="2:18" s="161" customFormat="1" ht="18.75" outlineLevel="1" thickBot="1" x14ac:dyDescent="0.4">
      <c r="B142" s="681" t="s">
        <v>5081</v>
      </c>
      <c r="C142" s="744" t="s">
        <v>5082</v>
      </c>
      <c r="D142" s="1729">
        <v>8</v>
      </c>
      <c r="E142" s="303">
        <v>0</v>
      </c>
      <c r="F142" s="303" t="s">
        <v>1252</v>
      </c>
      <c r="G142" s="354" t="s">
        <v>378</v>
      </c>
      <c r="H142" s="303">
        <v>1</v>
      </c>
      <c r="I142" s="840"/>
      <c r="J142" s="841"/>
      <c r="K142" s="101"/>
      <c r="L142" s="101"/>
      <c r="M142" s="101"/>
      <c r="N142" s="101"/>
      <c r="O142" s="101"/>
      <c r="P142" s="101"/>
      <c r="Q142" s="101"/>
      <c r="R142" s="101"/>
    </row>
    <row r="143" spans="2:18" s="161" customFormat="1" ht="15.75" thickBot="1" x14ac:dyDescent="0.3">
      <c r="B143" s="1927"/>
      <c r="C143" s="720"/>
      <c r="D143" s="1970"/>
      <c r="E143" s="104"/>
      <c r="F143" s="104"/>
      <c r="G143" s="104"/>
      <c r="H143" s="104"/>
      <c r="I143" s="103"/>
      <c r="J143" s="1926"/>
      <c r="K143" s="101"/>
      <c r="L143" s="101"/>
      <c r="M143" s="101"/>
      <c r="N143" s="101"/>
      <c r="O143" s="101"/>
      <c r="P143" s="101"/>
      <c r="Q143" s="101"/>
      <c r="R143" s="101"/>
    </row>
    <row r="144" spans="2:18" s="161" customFormat="1" ht="15.75" thickBot="1" x14ac:dyDescent="0.3">
      <c r="B144" s="112"/>
      <c r="C144" s="353" t="s">
        <v>5093</v>
      </c>
      <c r="D144" s="102" t="s">
        <v>301</v>
      </c>
      <c r="E144" s="102"/>
      <c r="F144" s="102"/>
      <c r="G144" s="102"/>
      <c r="H144" s="102"/>
      <c r="I144" s="112"/>
      <c r="J144" s="1926"/>
      <c r="K144" s="101"/>
      <c r="L144" s="101"/>
      <c r="M144" s="101"/>
      <c r="N144" s="101"/>
      <c r="O144" s="101"/>
      <c r="P144" s="101"/>
      <c r="Q144" s="101"/>
      <c r="R144" s="101"/>
    </row>
    <row r="145" spans="2:18" s="161" customFormat="1" ht="15.75" thickBot="1" x14ac:dyDescent="0.3">
      <c r="B145" s="677" t="s">
        <v>0</v>
      </c>
      <c r="C145" s="740" t="s">
        <v>1</v>
      </c>
      <c r="D145" s="298" t="s">
        <v>840</v>
      </c>
      <c r="E145" s="298" t="s">
        <v>471</v>
      </c>
      <c r="F145" s="298" t="s">
        <v>472</v>
      </c>
      <c r="G145" s="298" t="s">
        <v>2</v>
      </c>
      <c r="H145" s="298" t="s">
        <v>300</v>
      </c>
      <c r="I145" s="833" t="s">
        <v>116</v>
      </c>
      <c r="J145" s="834" t="s">
        <v>117</v>
      </c>
      <c r="K145" s="101"/>
      <c r="L145" s="101"/>
      <c r="M145" s="101"/>
      <c r="N145" s="101"/>
      <c r="O145" s="101"/>
      <c r="P145" s="101"/>
      <c r="Q145" s="101"/>
      <c r="R145" s="101"/>
    </row>
    <row r="146" spans="2:18" s="161" customFormat="1" ht="18" outlineLevel="1" x14ac:dyDescent="0.35">
      <c r="B146" s="1772" t="s">
        <v>5094</v>
      </c>
      <c r="C146" s="1773" t="s">
        <v>5104</v>
      </c>
      <c r="D146" s="1788">
        <f>8272.5*24/28</f>
        <v>7090.7142857142853</v>
      </c>
      <c r="E146" s="1774">
        <v>0</v>
      </c>
      <c r="F146" s="1774" t="s">
        <v>1252</v>
      </c>
      <c r="G146" s="1774" t="s">
        <v>5096</v>
      </c>
      <c r="H146" s="1774">
        <v>2</v>
      </c>
      <c r="I146" s="1775" t="s">
        <v>1990</v>
      </c>
      <c r="J146" s="1776" t="s">
        <v>5268</v>
      </c>
      <c r="K146" s="101"/>
      <c r="L146" s="101"/>
      <c r="M146" s="101"/>
      <c r="N146" s="101"/>
      <c r="O146" s="101"/>
      <c r="P146" s="101"/>
      <c r="Q146" s="101"/>
      <c r="R146" s="101"/>
    </row>
    <row r="147" spans="2:18" s="161" customFormat="1" ht="18" outlineLevel="1" x14ac:dyDescent="0.35">
      <c r="B147" s="1793" t="s">
        <v>5095</v>
      </c>
      <c r="C147" s="1794" t="s">
        <v>5105</v>
      </c>
      <c r="D147" s="1795">
        <v>-1.1000000000000001</v>
      </c>
      <c r="E147" s="1796">
        <v>-10</v>
      </c>
      <c r="F147" s="1796" t="s">
        <v>1252</v>
      </c>
      <c r="G147" s="1791" t="s">
        <v>1981</v>
      </c>
      <c r="H147" s="1796">
        <v>2</v>
      </c>
      <c r="I147" s="1797" t="s">
        <v>1990</v>
      </c>
      <c r="J147" s="1776" t="s">
        <v>5268</v>
      </c>
      <c r="K147" s="101"/>
      <c r="L147" s="101"/>
      <c r="M147" s="101"/>
      <c r="N147" s="101"/>
      <c r="O147" s="101"/>
      <c r="P147" s="101"/>
      <c r="Q147" s="101"/>
      <c r="R147" s="101"/>
    </row>
    <row r="148" spans="2:18" s="161" customFormat="1" ht="18" outlineLevel="1" x14ac:dyDescent="0.35">
      <c r="B148" s="1789" t="s">
        <v>5112</v>
      </c>
      <c r="C148" s="1790" t="s">
        <v>5113</v>
      </c>
      <c r="D148" s="1801">
        <v>1E-3</v>
      </c>
      <c r="E148" s="1791">
        <v>0</v>
      </c>
      <c r="F148" s="1791" t="s">
        <v>1252</v>
      </c>
      <c r="G148" s="1791" t="s">
        <v>5096</v>
      </c>
      <c r="H148" s="1791">
        <v>2</v>
      </c>
      <c r="I148" s="1792" t="s">
        <v>1990</v>
      </c>
      <c r="J148" s="1776"/>
      <c r="K148" s="101"/>
      <c r="L148" s="101"/>
      <c r="M148" s="101"/>
      <c r="N148" s="101"/>
      <c r="O148" s="101"/>
      <c r="P148" s="101"/>
      <c r="Q148" s="101"/>
      <c r="R148" s="101"/>
    </row>
    <row r="149" spans="2:18" s="161" customFormat="1" ht="18.75" outlineLevel="1" x14ac:dyDescent="0.35">
      <c r="B149" s="1793" t="s">
        <v>5520</v>
      </c>
      <c r="C149" s="1794" t="s">
        <v>5521</v>
      </c>
      <c r="D149" s="1795">
        <v>0.25</v>
      </c>
      <c r="E149" s="1796">
        <v>0</v>
      </c>
      <c r="F149" s="1796" t="s">
        <v>1252</v>
      </c>
      <c r="G149" s="1791" t="s">
        <v>849</v>
      </c>
      <c r="H149" s="1796">
        <v>2</v>
      </c>
      <c r="I149" s="1797" t="s">
        <v>2406</v>
      </c>
      <c r="J149" s="1776"/>
      <c r="K149" s="101"/>
      <c r="L149" s="101"/>
      <c r="M149" s="101"/>
      <c r="N149" s="101"/>
      <c r="O149" s="101"/>
      <c r="P149" s="101"/>
      <c r="Q149" s="101"/>
      <c r="R149" s="101"/>
    </row>
    <row r="150" spans="2:18" s="161" customFormat="1" ht="18.75" outlineLevel="1" x14ac:dyDescent="0.35">
      <c r="B150" s="1793" t="s">
        <v>5566</v>
      </c>
      <c r="C150" s="1794" t="s">
        <v>5567</v>
      </c>
      <c r="D150" s="1795">
        <v>0.01</v>
      </c>
      <c r="E150" s="1796">
        <v>0</v>
      </c>
      <c r="F150" s="1796" t="s">
        <v>1252</v>
      </c>
      <c r="G150" s="1791" t="s">
        <v>849</v>
      </c>
      <c r="H150" s="1796">
        <v>2</v>
      </c>
      <c r="I150" s="1797" t="s">
        <v>2406</v>
      </c>
      <c r="J150" s="1776"/>
      <c r="K150" s="101"/>
      <c r="L150" s="101"/>
      <c r="M150" s="101"/>
      <c r="N150" s="101"/>
      <c r="O150" s="101"/>
      <c r="P150" s="101"/>
      <c r="Q150" s="101"/>
      <c r="R150" s="101"/>
    </row>
    <row r="151" spans="2:18" s="161" customFormat="1" ht="18" outlineLevel="1" x14ac:dyDescent="0.35">
      <c r="B151" s="1789" t="s">
        <v>5114</v>
      </c>
      <c r="C151" s="1790" t="s">
        <v>5115</v>
      </c>
      <c r="D151" s="1801">
        <v>0.1</v>
      </c>
      <c r="E151" s="1791">
        <v>0</v>
      </c>
      <c r="F151" s="1791" t="s">
        <v>1252</v>
      </c>
      <c r="G151" s="1791" t="s">
        <v>5122</v>
      </c>
      <c r="H151" s="1791">
        <v>2</v>
      </c>
      <c r="I151" s="1792" t="s">
        <v>1990</v>
      </c>
      <c r="J151" s="1776"/>
      <c r="K151" s="101"/>
      <c r="L151" s="101"/>
      <c r="M151" s="101"/>
      <c r="N151" s="101"/>
      <c r="O151" s="101"/>
      <c r="P151" s="101"/>
      <c r="Q151" s="101"/>
      <c r="R151" s="101"/>
    </row>
    <row r="152" spans="2:18" s="161" customFormat="1" ht="18.75" outlineLevel="1" thickBot="1" x14ac:dyDescent="0.4">
      <c r="B152" s="1777" t="s">
        <v>5558</v>
      </c>
      <c r="C152" s="1778" t="s">
        <v>5559</v>
      </c>
      <c r="D152" s="2314">
        <v>1000</v>
      </c>
      <c r="E152" s="1791">
        <v>0</v>
      </c>
      <c r="F152" s="1791" t="s">
        <v>1252</v>
      </c>
      <c r="G152" s="1780" t="s">
        <v>1981</v>
      </c>
      <c r="H152" s="1779"/>
      <c r="I152" s="1781"/>
      <c r="J152" s="1776"/>
      <c r="K152" s="101"/>
      <c r="L152" s="101"/>
      <c r="M152" s="101"/>
      <c r="N152" s="101"/>
      <c r="O152" s="101"/>
      <c r="P152" s="101"/>
      <c r="Q152" s="101"/>
      <c r="R152" s="101"/>
    </row>
    <row r="153" spans="2:18" s="161" customFormat="1" ht="15.75" thickBot="1" x14ac:dyDescent="0.3">
      <c r="B153" s="1927"/>
      <c r="C153" s="720"/>
      <c r="D153" s="1970"/>
      <c r="E153" s="104"/>
      <c r="F153" s="104"/>
      <c r="G153" s="104"/>
      <c r="H153" s="104"/>
      <c r="I153" s="103"/>
      <c r="J153" s="1926"/>
      <c r="K153" s="101"/>
      <c r="L153" s="101"/>
      <c r="M153" s="101"/>
      <c r="N153" s="101"/>
      <c r="O153" s="101"/>
      <c r="P153" s="101"/>
      <c r="Q153" s="101"/>
      <c r="R153" s="101"/>
    </row>
    <row r="154" spans="2:18" s="161" customFormat="1" ht="15.75" thickBot="1" x14ac:dyDescent="0.3">
      <c r="B154" s="112"/>
      <c r="C154" s="353" t="s">
        <v>2889</v>
      </c>
      <c r="D154" s="102" t="s">
        <v>301</v>
      </c>
      <c r="E154" s="102"/>
      <c r="F154" s="102"/>
      <c r="G154" s="102"/>
      <c r="H154" s="102"/>
      <c r="I154" s="112"/>
      <c r="J154" s="1926"/>
      <c r="K154" s="101"/>
      <c r="L154" s="101"/>
      <c r="M154" s="101"/>
      <c r="N154" s="101"/>
      <c r="O154" s="101"/>
      <c r="P154" s="101"/>
      <c r="Q154" s="101"/>
      <c r="R154" s="101"/>
    </row>
    <row r="155" spans="2:18" s="115" customFormat="1" ht="15.75" thickBot="1" x14ac:dyDescent="0.3">
      <c r="B155" s="677" t="s">
        <v>0</v>
      </c>
      <c r="C155" s="740" t="s">
        <v>1</v>
      </c>
      <c r="D155" s="298" t="s">
        <v>840</v>
      </c>
      <c r="E155" s="298" t="s">
        <v>471</v>
      </c>
      <c r="F155" s="298" t="s">
        <v>472</v>
      </c>
      <c r="G155" s="298" t="s">
        <v>2</v>
      </c>
      <c r="H155" s="298" t="s">
        <v>300</v>
      </c>
      <c r="I155" s="833" t="s">
        <v>116</v>
      </c>
      <c r="J155" s="842" t="s">
        <v>117</v>
      </c>
      <c r="K155" s="101"/>
      <c r="L155" s="101"/>
      <c r="M155" s="101"/>
      <c r="N155" s="101"/>
      <c r="O155" s="101"/>
      <c r="P155" s="101"/>
      <c r="Q155" s="101"/>
      <c r="R155" s="101"/>
    </row>
    <row r="156" spans="2:18" s="161" customFormat="1" ht="18" outlineLevel="1" x14ac:dyDescent="0.35">
      <c r="B156" s="682" t="s">
        <v>2234</v>
      </c>
      <c r="C156" s="745" t="s">
        <v>2481</v>
      </c>
      <c r="D156" s="304">
        <v>0.1</v>
      </c>
      <c r="E156" s="304">
        <v>0</v>
      </c>
      <c r="F156" s="304" t="s">
        <v>1252</v>
      </c>
      <c r="G156" s="304" t="s">
        <v>847</v>
      </c>
      <c r="H156" s="304">
        <v>3</v>
      </c>
      <c r="I156" s="843"/>
      <c r="J156" s="844"/>
      <c r="K156" s="101"/>
      <c r="L156" s="101"/>
      <c r="M156" s="101"/>
      <c r="N156" s="101"/>
      <c r="O156" s="101"/>
      <c r="P156" s="101"/>
      <c r="Q156" s="101"/>
      <c r="R156" s="101"/>
    </row>
    <row r="157" spans="2:18" s="161" customFormat="1" ht="18" outlineLevel="1" x14ac:dyDescent="0.35">
      <c r="B157" s="683" t="s">
        <v>2235</v>
      </c>
      <c r="C157" s="746" t="s">
        <v>2482</v>
      </c>
      <c r="D157" s="306">
        <v>1.9E-2</v>
      </c>
      <c r="E157" s="306">
        <v>0</v>
      </c>
      <c r="F157" s="306" t="s">
        <v>1252</v>
      </c>
      <c r="G157" s="306" t="s">
        <v>847</v>
      </c>
      <c r="H157" s="306">
        <v>3</v>
      </c>
      <c r="I157" s="305"/>
      <c r="J157" s="845"/>
      <c r="K157" s="101"/>
      <c r="L157" s="101"/>
      <c r="M157" s="101"/>
      <c r="N157" s="101"/>
      <c r="O157" s="101"/>
      <c r="P157" s="101"/>
      <c r="Q157" s="101"/>
      <c r="R157" s="101"/>
    </row>
    <row r="158" spans="2:18" s="161" customFormat="1" ht="18" outlineLevel="1" x14ac:dyDescent="0.35">
      <c r="B158" s="683" t="s">
        <v>2236</v>
      </c>
      <c r="C158" s="746" t="s">
        <v>2483</v>
      </c>
      <c r="D158" s="306">
        <v>2</v>
      </c>
      <c r="E158" s="306">
        <v>0</v>
      </c>
      <c r="F158" s="306" t="s">
        <v>1252</v>
      </c>
      <c r="G158" s="306" t="s">
        <v>850</v>
      </c>
      <c r="H158" s="306">
        <v>1</v>
      </c>
      <c r="I158" s="305"/>
      <c r="J158" s="845"/>
      <c r="K158" s="101"/>
      <c r="L158" s="101"/>
      <c r="M158" s="101"/>
      <c r="N158" s="101"/>
      <c r="O158" s="101"/>
      <c r="P158" s="101"/>
      <c r="Q158" s="101"/>
      <c r="R158" s="101"/>
    </row>
    <row r="159" spans="2:18" s="161" customFormat="1" ht="18" outlineLevel="1" x14ac:dyDescent="0.35">
      <c r="B159" s="683" t="s">
        <v>2237</v>
      </c>
      <c r="C159" s="746" t="s">
        <v>2484</v>
      </c>
      <c r="D159" s="306">
        <v>1</v>
      </c>
      <c r="E159" s="306">
        <v>0</v>
      </c>
      <c r="F159" s="306" t="s">
        <v>1252</v>
      </c>
      <c r="G159" s="306" t="s">
        <v>850</v>
      </c>
      <c r="H159" s="306">
        <v>2</v>
      </c>
      <c r="I159" s="305"/>
      <c r="J159" s="845"/>
      <c r="K159" s="101"/>
      <c r="L159" s="101"/>
      <c r="M159" s="101"/>
      <c r="N159" s="101"/>
      <c r="O159" s="101"/>
      <c r="P159" s="101"/>
      <c r="Q159" s="101"/>
      <c r="R159" s="101"/>
    </row>
    <row r="160" spans="2:18" s="161" customFormat="1" ht="18.75" outlineLevel="1" x14ac:dyDescent="0.25">
      <c r="B160" s="684" t="s">
        <v>2238</v>
      </c>
      <c r="C160" s="746" t="s">
        <v>2485</v>
      </c>
      <c r="D160" s="1327">
        <v>2.0000000000000001E-4</v>
      </c>
      <c r="E160" s="1327">
        <v>0</v>
      </c>
      <c r="F160" s="1327" t="s">
        <v>1252</v>
      </c>
      <c r="G160" s="1327" t="s">
        <v>1938</v>
      </c>
      <c r="H160" s="306">
        <v>6</v>
      </c>
      <c r="I160" s="305"/>
      <c r="J160" s="846"/>
      <c r="K160" s="101"/>
      <c r="L160" s="101"/>
      <c r="M160" s="101"/>
      <c r="N160" s="101"/>
      <c r="O160" s="101"/>
      <c r="P160" s="101"/>
      <c r="Q160" s="101"/>
      <c r="R160" s="101"/>
    </row>
    <row r="161" spans="2:18" s="161" customFormat="1" ht="18" outlineLevel="1" x14ac:dyDescent="0.35">
      <c r="B161" s="1326" t="s">
        <v>4675</v>
      </c>
      <c r="C161" s="1328" t="s">
        <v>4676</v>
      </c>
      <c r="D161" s="1394">
        <v>2</v>
      </c>
      <c r="E161" s="1327">
        <v>0</v>
      </c>
      <c r="F161" s="1327">
        <v>2</v>
      </c>
      <c r="G161" s="1327" t="s">
        <v>283</v>
      </c>
      <c r="H161" s="1327">
        <v>2</v>
      </c>
      <c r="I161" s="1328"/>
      <c r="J161" s="1329" t="s">
        <v>4659</v>
      </c>
      <c r="K161" s="101"/>
      <c r="L161" s="101"/>
      <c r="M161" s="101"/>
      <c r="N161" s="101"/>
      <c r="O161" s="101"/>
      <c r="P161" s="101"/>
      <c r="Q161" s="101"/>
      <c r="R161" s="101"/>
    </row>
    <row r="162" spans="2:18" s="161" customFormat="1" ht="18.75" outlineLevel="1" x14ac:dyDescent="0.35">
      <c r="B162" s="683" t="s">
        <v>3472</v>
      </c>
      <c r="C162" s="746" t="s">
        <v>3473</v>
      </c>
      <c r="D162" s="306">
        <v>0.4</v>
      </c>
      <c r="E162" s="306">
        <v>0</v>
      </c>
      <c r="F162" s="306" t="s">
        <v>1252</v>
      </c>
      <c r="G162" s="306" t="s">
        <v>849</v>
      </c>
      <c r="H162" s="306">
        <v>2</v>
      </c>
      <c r="I162" s="305"/>
      <c r="J162" s="845"/>
      <c r="K162" s="101"/>
      <c r="L162" s="101"/>
      <c r="M162" s="101"/>
      <c r="N162" s="101"/>
      <c r="O162" s="101"/>
      <c r="P162" s="101"/>
      <c r="Q162" s="101"/>
      <c r="R162" s="101"/>
    </row>
    <row r="163" spans="2:18" s="161" customFormat="1" ht="18" outlineLevel="1" x14ac:dyDescent="0.35">
      <c r="B163" s="683" t="s">
        <v>2239</v>
      </c>
      <c r="C163" s="746" t="s">
        <v>2486</v>
      </c>
      <c r="D163" s="306">
        <v>0.1</v>
      </c>
      <c r="E163" s="306">
        <v>0</v>
      </c>
      <c r="F163" s="306" t="s">
        <v>1252</v>
      </c>
      <c r="G163" s="306" t="s">
        <v>850</v>
      </c>
      <c r="H163" s="306">
        <v>2</v>
      </c>
      <c r="I163" s="305"/>
      <c r="J163" s="845"/>
      <c r="K163" s="101"/>
      <c r="L163" s="101"/>
      <c r="M163" s="101"/>
      <c r="N163" s="101"/>
      <c r="O163" s="101"/>
      <c r="P163" s="101"/>
      <c r="Q163" s="101"/>
      <c r="R163" s="101"/>
    </row>
    <row r="164" spans="2:18" s="161" customFormat="1" ht="19.5" outlineLevel="1" thickBot="1" x14ac:dyDescent="0.4">
      <c r="B164" s="685" t="s">
        <v>2480</v>
      </c>
      <c r="C164" s="747" t="s">
        <v>2487</v>
      </c>
      <c r="D164" s="308">
        <v>1</v>
      </c>
      <c r="E164" s="308">
        <v>0</v>
      </c>
      <c r="F164" s="308" t="s">
        <v>1252</v>
      </c>
      <c r="G164" s="355" t="s">
        <v>2891</v>
      </c>
      <c r="H164" s="308">
        <v>1</v>
      </c>
      <c r="I164" s="307"/>
      <c r="J164" s="847"/>
      <c r="K164" s="101"/>
      <c r="L164" s="101"/>
      <c r="M164" s="101"/>
      <c r="N164" s="101"/>
      <c r="O164" s="101"/>
      <c r="P164" s="101"/>
      <c r="Q164" s="101"/>
      <c r="R164" s="101"/>
    </row>
    <row r="165" spans="2:18" s="101" customFormat="1" ht="15.75" thickBot="1" x14ac:dyDescent="0.3">
      <c r="B165" s="112"/>
      <c r="C165" s="720"/>
      <c r="D165" s="1971"/>
      <c r="E165" s="104"/>
      <c r="F165" s="104"/>
      <c r="G165" s="104"/>
      <c r="H165" s="104"/>
      <c r="I165" s="103"/>
      <c r="J165" s="1926"/>
    </row>
    <row r="166" spans="2:18" s="101" customFormat="1" ht="15.75" thickBot="1" x14ac:dyDescent="0.3">
      <c r="B166" s="112"/>
      <c r="C166" s="295" t="s">
        <v>2160</v>
      </c>
      <c r="D166" s="102" t="s">
        <v>301</v>
      </c>
      <c r="E166" s="102"/>
      <c r="F166" s="102"/>
      <c r="G166" s="102"/>
      <c r="H166" s="102"/>
      <c r="I166" s="112"/>
      <c r="J166" s="1926"/>
    </row>
    <row r="167" spans="2:18" s="101" customFormat="1" ht="15.75" thickBot="1" x14ac:dyDescent="0.3">
      <c r="B167" s="216" t="s">
        <v>0</v>
      </c>
      <c r="C167" s="721" t="s">
        <v>1</v>
      </c>
      <c r="D167" s="220" t="s">
        <v>840</v>
      </c>
      <c r="E167" s="220" t="s">
        <v>471</v>
      </c>
      <c r="F167" s="220" t="s">
        <v>472</v>
      </c>
      <c r="G167" s="220" t="s">
        <v>2</v>
      </c>
      <c r="H167" s="220" t="s">
        <v>300</v>
      </c>
      <c r="I167" s="218" t="s">
        <v>116</v>
      </c>
      <c r="J167" s="815" t="s">
        <v>117</v>
      </c>
    </row>
    <row r="168" spans="2:18" s="101" customFormat="1" ht="18" outlineLevel="1" x14ac:dyDescent="0.25">
      <c r="B168" s="686" t="s">
        <v>1189</v>
      </c>
      <c r="C168" s="748" t="s">
        <v>306</v>
      </c>
      <c r="D168" s="164">
        <v>0.3</v>
      </c>
      <c r="E168" s="164">
        <v>0</v>
      </c>
      <c r="F168" s="164" t="s">
        <v>1252</v>
      </c>
      <c r="G168" s="164" t="s">
        <v>444</v>
      </c>
      <c r="H168" s="164">
        <v>1</v>
      </c>
      <c r="I168" s="848"/>
      <c r="J168" s="849"/>
    </row>
    <row r="169" spans="2:18" s="101" customFormat="1" ht="18" outlineLevel="1" x14ac:dyDescent="0.25">
      <c r="B169" s="152" t="s">
        <v>1190</v>
      </c>
      <c r="C169" s="749" t="s">
        <v>2489</v>
      </c>
      <c r="D169" s="154">
        <v>0.03</v>
      </c>
      <c r="E169" s="154">
        <v>0</v>
      </c>
      <c r="F169" s="154" t="s">
        <v>1252</v>
      </c>
      <c r="G169" s="154" t="s">
        <v>444</v>
      </c>
      <c r="H169" s="154">
        <v>1</v>
      </c>
      <c r="I169" s="153"/>
      <c r="J169" s="159"/>
    </row>
    <row r="170" spans="2:18" s="101" customFormat="1" ht="18" outlineLevel="1" x14ac:dyDescent="0.25">
      <c r="B170" s="152" t="s">
        <v>1920</v>
      </c>
      <c r="C170" s="749" t="s">
        <v>2490</v>
      </c>
      <c r="D170" s="154">
        <v>400</v>
      </c>
      <c r="E170" s="154">
        <v>0</v>
      </c>
      <c r="F170" s="154" t="s">
        <v>1252</v>
      </c>
      <c r="G170" s="154" t="s">
        <v>1179</v>
      </c>
      <c r="H170" s="154">
        <v>0</v>
      </c>
      <c r="I170" s="153"/>
      <c r="J170" s="159"/>
    </row>
    <row r="171" spans="2:18" s="101" customFormat="1" ht="18" outlineLevel="1" x14ac:dyDescent="0.25">
      <c r="B171" s="687" t="s">
        <v>2488</v>
      </c>
      <c r="C171" s="749" t="s">
        <v>2491</v>
      </c>
      <c r="D171" s="412">
        <v>99999</v>
      </c>
      <c r="E171" s="154">
        <v>0</v>
      </c>
      <c r="F171" s="154" t="s">
        <v>1252</v>
      </c>
      <c r="G171" s="154" t="s">
        <v>1179</v>
      </c>
      <c r="H171" s="154">
        <v>0</v>
      </c>
      <c r="I171" s="153"/>
      <c r="J171" s="159"/>
    </row>
    <row r="172" spans="2:18" s="101" customFormat="1" ht="18" outlineLevel="1" x14ac:dyDescent="0.25">
      <c r="B172" s="1415" t="s">
        <v>4781</v>
      </c>
      <c r="C172" s="1418" t="s">
        <v>4782</v>
      </c>
      <c r="D172" s="1416">
        <v>0.999</v>
      </c>
      <c r="E172" s="1417">
        <v>0</v>
      </c>
      <c r="F172" s="1417" t="s">
        <v>1252</v>
      </c>
      <c r="G172" s="154" t="s">
        <v>2166</v>
      </c>
      <c r="H172" s="1417">
        <v>3</v>
      </c>
      <c r="I172" s="1417"/>
      <c r="J172" s="1419"/>
    </row>
    <row r="173" spans="2:18" s="101" customFormat="1" ht="18" outlineLevel="1" x14ac:dyDescent="0.25">
      <c r="B173" s="1415" t="s">
        <v>4783</v>
      </c>
      <c r="C173" s="1418" t="s">
        <v>4784</v>
      </c>
      <c r="D173" s="1417">
        <v>0.1</v>
      </c>
      <c r="E173" s="1417">
        <v>0</v>
      </c>
      <c r="F173" s="1417">
        <v>2</v>
      </c>
      <c r="G173" s="1417" t="s">
        <v>283</v>
      </c>
      <c r="H173" s="1417">
        <v>2</v>
      </c>
      <c r="I173" s="1417"/>
      <c r="J173" s="1419" t="s">
        <v>4659</v>
      </c>
    </row>
    <row r="174" spans="2:18" s="101" customFormat="1" ht="18" outlineLevel="1" x14ac:dyDescent="0.25">
      <c r="B174" s="152" t="s">
        <v>3431</v>
      </c>
      <c r="C174" s="749" t="s">
        <v>3432</v>
      </c>
      <c r="D174" s="154">
        <v>0.05</v>
      </c>
      <c r="E174" s="154">
        <v>0</v>
      </c>
      <c r="F174" s="154" t="s">
        <v>1252</v>
      </c>
      <c r="G174" s="154" t="s">
        <v>1178</v>
      </c>
      <c r="H174" s="154">
        <v>2</v>
      </c>
      <c r="I174" s="153"/>
      <c r="J174" s="159"/>
    </row>
    <row r="175" spans="2:18" s="101" customFormat="1" ht="18" outlineLevel="1" x14ac:dyDescent="0.25">
      <c r="B175" s="152" t="s">
        <v>2346</v>
      </c>
      <c r="C175" s="749" t="s">
        <v>2492</v>
      </c>
      <c r="D175" s="154">
        <v>0.05</v>
      </c>
      <c r="E175" s="154">
        <v>0</v>
      </c>
      <c r="F175" s="154" t="s">
        <v>1252</v>
      </c>
      <c r="G175" s="154" t="s">
        <v>884</v>
      </c>
      <c r="H175" s="154">
        <v>2</v>
      </c>
      <c r="I175" s="153"/>
      <c r="J175" s="159"/>
    </row>
    <row r="176" spans="2:18" s="101" customFormat="1" ht="18" outlineLevel="1" x14ac:dyDescent="0.25">
      <c r="B176" s="152" t="s">
        <v>1963</v>
      </c>
      <c r="C176" s="749" t="s">
        <v>2493</v>
      </c>
      <c r="D176" s="154">
        <v>4.5</v>
      </c>
      <c r="E176" s="154">
        <v>0</v>
      </c>
      <c r="F176" s="154" t="s">
        <v>1252</v>
      </c>
      <c r="G176" s="154" t="s">
        <v>378</v>
      </c>
      <c r="H176" s="154">
        <v>1</v>
      </c>
      <c r="I176" s="153"/>
      <c r="J176" s="159"/>
    </row>
    <row r="177" spans="1:10" s="101" customFormat="1" ht="18.75" outlineLevel="1" thickBot="1" x14ac:dyDescent="0.3">
      <c r="B177" s="688" t="s">
        <v>1964</v>
      </c>
      <c r="C177" s="750" t="s">
        <v>2494</v>
      </c>
      <c r="D177" s="156">
        <v>9.5</v>
      </c>
      <c r="E177" s="156">
        <v>0</v>
      </c>
      <c r="F177" s="156" t="s">
        <v>1252</v>
      </c>
      <c r="G177" s="156" t="s">
        <v>378</v>
      </c>
      <c r="H177" s="156">
        <v>1</v>
      </c>
      <c r="I177" s="155"/>
      <c r="J177" s="160"/>
    </row>
    <row r="178" spans="1:10" s="101" customFormat="1" ht="15.75" thickBot="1" x14ac:dyDescent="0.3">
      <c r="B178" s="112"/>
      <c r="C178" s="720"/>
      <c r="D178" s="1971"/>
      <c r="E178" s="104"/>
      <c r="F178" s="104"/>
      <c r="G178" s="104"/>
      <c r="H178" s="104"/>
      <c r="I178" s="103"/>
      <c r="J178" s="1926"/>
    </row>
    <row r="179" spans="1:10" s="101" customFormat="1" ht="15.75" thickBot="1" x14ac:dyDescent="0.3">
      <c r="B179" s="112"/>
      <c r="C179" s="295" t="s">
        <v>2161</v>
      </c>
      <c r="D179" s="102" t="s">
        <v>301</v>
      </c>
      <c r="E179" s="102"/>
      <c r="F179" s="102"/>
      <c r="G179" s="102"/>
      <c r="H179" s="102"/>
      <c r="I179" s="112"/>
      <c r="J179" s="1926"/>
    </row>
    <row r="180" spans="1:10" s="101" customFormat="1" ht="15.75" thickBot="1" x14ac:dyDescent="0.3">
      <c r="B180" s="689" t="s">
        <v>0</v>
      </c>
      <c r="C180" s="751" t="s">
        <v>1</v>
      </c>
      <c r="D180" s="113" t="s">
        <v>840</v>
      </c>
      <c r="E180" s="113" t="s">
        <v>471</v>
      </c>
      <c r="F180" s="113" t="s">
        <v>472</v>
      </c>
      <c r="G180" s="113" t="s">
        <v>2</v>
      </c>
      <c r="H180" s="113" t="s">
        <v>300</v>
      </c>
      <c r="I180" s="850" t="s">
        <v>116</v>
      </c>
      <c r="J180" s="851" t="s">
        <v>117</v>
      </c>
    </row>
    <row r="181" spans="1:10" s="101" customFormat="1" ht="18" outlineLevel="1" x14ac:dyDescent="0.25">
      <c r="B181" s="690" t="s">
        <v>851</v>
      </c>
      <c r="C181" s="752" t="s">
        <v>1042</v>
      </c>
      <c r="D181" s="223">
        <v>1.3</v>
      </c>
      <c r="E181" s="224">
        <v>0</v>
      </c>
      <c r="F181" s="224" t="s">
        <v>1252</v>
      </c>
      <c r="G181" s="224" t="s">
        <v>847</v>
      </c>
      <c r="H181" s="224">
        <v>1</v>
      </c>
      <c r="I181" s="852"/>
      <c r="J181" s="853"/>
    </row>
    <row r="182" spans="1:10" s="101" customFormat="1" ht="18" outlineLevel="1" x14ac:dyDescent="0.25">
      <c r="B182" s="691" t="s">
        <v>852</v>
      </c>
      <c r="C182" s="753" t="s">
        <v>2495</v>
      </c>
      <c r="D182" s="225">
        <v>0.13</v>
      </c>
      <c r="E182" s="225">
        <v>0</v>
      </c>
      <c r="F182" s="225" t="s">
        <v>1252</v>
      </c>
      <c r="G182" s="225" t="s">
        <v>847</v>
      </c>
      <c r="H182" s="225">
        <v>1</v>
      </c>
      <c r="I182" s="854"/>
      <c r="J182" s="855"/>
    </row>
    <row r="183" spans="1:10" s="101" customFormat="1" ht="18" outlineLevel="1" x14ac:dyDescent="0.25">
      <c r="B183" s="691" t="s">
        <v>1921</v>
      </c>
      <c r="C183" s="753" t="s">
        <v>2496</v>
      </c>
      <c r="D183" s="225">
        <v>0.1</v>
      </c>
      <c r="E183" s="225">
        <v>0</v>
      </c>
      <c r="F183" s="225" t="s">
        <v>1252</v>
      </c>
      <c r="G183" s="225" t="s">
        <v>848</v>
      </c>
      <c r="H183" s="225">
        <v>1</v>
      </c>
      <c r="I183" s="854"/>
      <c r="J183" s="855"/>
    </row>
    <row r="184" spans="1:10" s="101" customFormat="1" ht="18" outlineLevel="1" x14ac:dyDescent="0.25">
      <c r="B184" s="691" t="s">
        <v>3433</v>
      </c>
      <c r="C184" s="753" t="s">
        <v>3434</v>
      </c>
      <c r="D184" s="225">
        <v>0.05</v>
      </c>
      <c r="E184" s="225">
        <v>0</v>
      </c>
      <c r="F184" s="225" t="s">
        <v>1252</v>
      </c>
      <c r="G184" s="225" t="s">
        <v>849</v>
      </c>
      <c r="H184" s="225">
        <v>2</v>
      </c>
      <c r="I184" s="854"/>
      <c r="J184" s="855"/>
    </row>
    <row r="185" spans="1:10" s="101" customFormat="1" ht="18" outlineLevel="1" x14ac:dyDescent="0.25">
      <c r="B185" s="691" t="s">
        <v>2347</v>
      </c>
      <c r="C185" s="753" t="s">
        <v>2497</v>
      </c>
      <c r="D185" s="225">
        <v>0.05</v>
      </c>
      <c r="E185" s="225">
        <v>0</v>
      </c>
      <c r="F185" s="225" t="s">
        <v>1252</v>
      </c>
      <c r="G185" s="225" t="s">
        <v>850</v>
      </c>
      <c r="H185" s="225">
        <v>2</v>
      </c>
      <c r="I185" s="854"/>
      <c r="J185" s="855"/>
    </row>
    <row r="186" spans="1:10" s="101" customFormat="1" ht="18" outlineLevel="1" x14ac:dyDescent="0.25">
      <c r="B186" s="691" t="s">
        <v>1965</v>
      </c>
      <c r="C186" s="753" t="s">
        <v>2498</v>
      </c>
      <c r="D186" s="225">
        <v>4.5</v>
      </c>
      <c r="E186" s="225">
        <v>0</v>
      </c>
      <c r="F186" s="225" t="s">
        <v>1252</v>
      </c>
      <c r="G186" s="225" t="s">
        <v>378</v>
      </c>
      <c r="H186" s="225">
        <v>1</v>
      </c>
      <c r="I186" s="854"/>
      <c r="J186" s="855"/>
    </row>
    <row r="187" spans="1:10" s="101" customFormat="1" ht="18.75" outlineLevel="1" thickBot="1" x14ac:dyDescent="0.3">
      <c r="B187" s="692" t="s">
        <v>1966</v>
      </c>
      <c r="C187" s="754" t="s">
        <v>2499</v>
      </c>
      <c r="D187" s="227">
        <v>9.5</v>
      </c>
      <c r="E187" s="227">
        <v>0</v>
      </c>
      <c r="F187" s="227" t="s">
        <v>1252</v>
      </c>
      <c r="G187" s="227" t="s">
        <v>378</v>
      </c>
      <c r="H187" s="227">
        <v>1</v>
      </c>
      <c r="I187" s="226"/>
      <c r="J187" s="856"/>
    </row>
    <row r="188" spans="1:10" s="101" customFormat="1" ht="15.75" thickBot="1" x14ac:dyDescent="0.3">
      <c r="B188" s="112"/>
      <c r="C188" s="103"/>
      <c r="D188" s="1970"/>
      <c r="E188" s="104"/>
      <c r="F188" s="104"/>
      <c r="G188" s="104"/>
      <c r="H188" s="104"/>
      <c r="I188" s="103"/>
      <c r="J188" s="1926"/>
    </row>
    <row r="189" spans="1:10" ht="15.75" thickBot="1" x14ac:dyDescent="0.3">
      <c r="A189" s="101"/>
      <c r="C189" s="1606" t="s">
        <v>4925</v>
      </c>
      <c r="D189" s="102" t="s">
        <v>301</v>
      </c>
    </row>
    <row r="190" spans="1:10" ht="15.75" thickBot="1" x14ac:dyDescent="0.3">
      <c r="B190" s="617" t="s">
        <v>0</v>
      </c>
      <c r="C190" s="811" t="s">
        <v>1</v>
      </c>
      <c r="D190" s="619" t="s">
        <v>840</v>
      </c>
      <c r="E190" s="619" t="s">
        <v>471</v>
      </c>
      <c r="F190" s="619" t="s">
        <v>472</v>
      </c>
      <c r="G190" s="619" t="s">
        <v>2</v>
      </c>
      <c r="H190" s="619" t="s">
        <v>300</v>
      </c>
      <c r="I190" s="618" t="s">
        <v>116</v>
      </c>
      <c r="J190" s="906" t="s">
        <v>117</v>
      </c>
    </row>
    <row r="191" spans="1:10" s="101" customFormat="1" ht="18" outlineLevel="1" x14ac:dyDescent="0.35">
      <c r="B191" s="1607" t="s">
        <v>4926</v>
      </c>
      <c r="C191" s="1608" t="s">
        <v>4927</v>
      </c>
      <c r="D191" s="1609">
        <v>2</v>
      </c>
      <c r="E191" s="1610">
        <v>0</v>
      </c>
      <c r="F191" s="1610" t="s">
        <v>1252</v>
      </c>
      <c r="G191" s="1610" t="s">
        <v>847</v>
      </c>
      <c r="H191" s="1610">
        <v>2</v>
      </c>
      <c r="I191" s="1611"/>
      <c r="J191" s="1612"/>
    </row>
    <row r="192" spans="1:10" s="101" customFormat="1" ht="18" outlineLevel="1" x14ac:dyDescent="0.35">
      <c r="B192" s="1613" t="s">
        <v>4928</v>
      </c>
      <c r="C192" s="1614" t="s">
        <v>4929</v>
      </c>
      <c r="D192" s="1615">
        <v>0.1</v>
      </c>
      <c r="E192" s="1616">
        <v>0</v>
      </c>
      <c r="F192" s="1616" t="s">
        <v>1252</v>
      </c>
      <c r="G192" s="1616" t="s">
        <v>847</v>
      </c>
      <c r="H192" s="1616">
        <v>2</v>
      </c>
      <c r="I192" s="1617"/>
      <c r="J192" s="1618"/>
    </row>
    <row r="193" spans="2:18" s="101" customFormat="1" ht="18" outlineLevel="1" x14ac:dyDescent="0.35">
      <c r="B193" s="1613" t="s">
        <v>4930</v>
      </c>
      <c r="C193" s="1614" t="s">
        <v>4931</v>
      </c>
      <c r="D193" s="1615">
        <v>10</v>
      </c>
      <c r="E193" s="1616">
        <v>0</v>
      </c>
      <c r="F193" s="1616" t="s">
        <v>1252</v>
      </c>
      <c r="G193" s="1616" t="s">
        <v>1602</v>
      </c>
      <c r="H193" s="1616">
        <v>2</v>
      </c>
      <c r="I193" s="1617"/>
      <c r="J193" s="1618"/>
    </row>
    <row r="194" spans="2:18" s="101" customFormat="1" ht="18" outlineLevel="1" x14ac:dyDescent="0.35">
      <c r="B194" s="1613" t="s">
        <v>4932</v>
      </c>
      <c r="C194" s="1614" t="s">
        <v>4933</v>
      </c>
      <c r="D194" s="1615">
        <v>0.5</v>
      </c>
      <c r="E194" s="1616">
        <v>0</v>
      </c>
      <c r="F194" s="1616" t="s">
        <v>1252</v>
      </c>
      <c r="G194" s="1616" t="s">
        <v>850</v>
      </c>
      <c r="H194" s="1616">
        <v>2</v>
      </c>
      <c r="I194" s="1617"/>
      <c r="J194" s="1618"/>
    </row>
    <row r="195" spans="2:18" s="101" customFormat="1" ht="18.75" outlineLevel="1" x14ac:dyDescent="0.35">
      <c r="B195" s="1613" t="s">
        <v>4934</v>
      </c>
      <c r="C195" s="1614" t="s">
        <v>4935</v>
      </c>
      <c r="D195" s="1615">
        <v>0.05</v>
      </c>
      <c r="E195" s="1616">
        <v>0</v>
      </c>
      <c r="F195" s="1616" t="s">
        <v>1252</v>
      </c>
      <c r="G195" s="1616" t="s">
        <v>849</v>
      </c>
      <c r="H195" s="1616">
        <v>2</v>
      </c>
      <c r="I195" s="1617"/>
      <c r="J195" s="1618"/>
    </row>
    <row r="196" spans="2:18" s="101" customFormat="1" ht="18" outlineLevel="1" x14ac:dyDescent="0.35">
      <c r="B196" s="1613" t="s">
        <v>4936</v>
      </c>
      <c r="C196" s="1614" t="s">
        <v>4937</v>
      </c>
      <c r="D196" s="1615">
        <v>0.7</v>
      </c>
      <c r="E196" s="1616">
        <v>0</v>
      </c>
      <c r="F196" s="1616" t="s">
        <v>1252</v>
      </c>
      <c r="G196" s="1616" t="s">
        <v>884</v>
      </c>
      <c r="H196" s="1616">
        <v>1</v>
      </c>
      <c r="I196" s="1617"/>
      <c r="J196" s="1618"/>
    </row>
    <row r="197" spans="2:18" s="101" customFormat="1" ht="18.75" outlineLevel="1" thickBot="1" x14ac:dyDescent="0.4">
      <c r="B197" s="1619" t="s">
        <v>4938</v>
      </c>
      <c r="C197" s="1620" t="s">
        <v>4939</v>
      </c>
      <c r="D197" s="1621">
        <v>0.5</v>
      </c>
      <c r="E197" s="1622">
        <v>0</v>
      </c>
      <c r="F197" s="1622" t="s">
        <v>1252</v>
      </c>
      <c r="G197" s="1622" t="s">
        <v>850</v>
      </c>
      <c r="H197" s="1622">
        <v>2</v>
      </c>
      <c r="I197" s="1623"/>
      <c r="J197" s="1624"/>
    </row>
    <row r="198" spans="2:18" s="101" customFormat="1" ht="15.75" thickBot="1" x14ac:dyDescent="0.3">
      <c r="B198" s="112"/>
      <c r="C198" s="720"/>
      <c r="D198" s="1971"/>
      <c r="E198" s="104"/>
      <c r="F198" s="104"/>
      <c r="G198" s="104"/>
      <c r="H198" s="104"/>
      <c r="I198" s="103"/>
      <c r="J198" s="1926"/>
    </row>
    <row r="199" spans="2:18" s="101" customFormat="1" ht="15.75" thickBot="1" x14ac:dyDescent="0.3">
      <c r="B199" s="112"/>
      <c r="C199" s="755" t="s">
        <v>1361</v>
      </c>
      <c r="D199" s="102" t="s">
        <v>301</v>
      </c>
      <c r="E199" s="102"/>
      <c r="F199" s="102"/>
      <c r="G199" s="102"/>
      <c r="H199" s="102"/>
      <c r="I199" s="112"/>
      <c r="J199" s="1926"/>
    </row>
    <row r="200" spans="2:18" ht="15.75" thickBot="1" x14ac:dyDescent="0.3">
      <c r="B200" s="617" t="s">
        <v>0</v>
      </c>
      <c r="C200" s="811" t="s">
        <v>1</v>
      </c>
      <c r="D200" s="619" t="s">
        <v>840</v>
      </c>
      <c r="E200" s="619" t="s">
        <v>471</v>
      </c>
      <c r="F200" s="619" t="s">
        <v>472</v>
      </c>
      <c r="G200" s="619" t="s">
        <v>2</v>
      </c>
      <c r="H200" s="619" t="s">
        <v>300</v>
      </c>
      <c r="I200" s="618" t="s">
        <v>116</v>
      </c>
      <c r="J200" s="906" t="s">
        <v>117</v>
      </c>
    </row>
    <row r="201" spans="2:18" s="101" customFormat="1" ht="18" outlineLevel="1" x14ac:dyDescent="0.25">
      <c r="B201" s="693" t="s">
        <v>1701</v>
      </c>
      <c r="C201" s="756" t="s">
        <v>2500</v>
      </c>
      <c r="D201" s="416">
        <v>0.1</v>
      </c>
      <c r="E201" s="279">
        <v>0</v>
      </c>
      <c r="F201" s="165" t="s">
        <v>1252</v>
      </c>
      <c r="G201" s="165" t="s">
        <v>1312</v>
      </c>
      <c r="H201" s="165">
        <v>2</v>
      </c>
      <c r="I201" s="857"/>
      <c r="J201" s="187"/>
    </row>
    <row r="202" spans="2:18" s="101" customFormat="1" ht="18" outlineLevel="1" x14ac:dyDescent="0.25">
      <c r="B202" s="694" t="s">
        <v>1702</v>
      </c>
      <c r="C202" s="757" t="s">
        <v>2501</v>
      </c>
      <c r="D202" s="366">
        <v>0.1</v>
      </c>
      <c r="E202" s="280">
        <v>0</v>
      </c>
      <c r="F202" s="158" t="s">
        <v>1252</v>
      </c>
      <c r="G202" s="158" t="s">
        <v>1312</v>
      </c>
      <c r="H202" s="158">
        <v>2</v>
      </c>
      <c r="I202" s="858"/>
      <c r="J202" s="188"/>
    </row>
    <row r="203" spans="2:18" s="101" customFormat="1" ht="18" outlineLevel="1" x14ac:dyDescent="0.25">
      <c r="B203" s="694" t="s">
        <v>1703</v>
      </c>
      <c r="C203" s="757" t="s">
        <v>2502</v>
      </c>
      <c r="D203" s="366">
        <v>10</v>
      </c>
      <c r="E203" s="280">
        <v>0</v>
      </c>
      <c r="F203" s="158" t="s">
        <v>1252</v>
      </c>
      <c r="G203" s="158" t="s">
        <v>1312</v>
      </c>
      <c r="H203" s="158">
        <v>2</v>
      </c>
      <c r="I203" s="859"/>
      <c r="J203" s="188"/>
    </row>
    <row r="204" spans="2:18" s="101" customFormat="1" ht="18" outlineLevel="1" x14ac:dyDescent="0.25">
      <c r="B204" s="694" t="s">
        <v>1704</v>
      </c>
      <c r="C204" s="757" t="s">
        <v>2503</v>
      </c>
      <c r="D204" s="366">
        <v>10</v>
      </c>
      <c r="E204" s="280">
        <v>0</v>
      </c>
      <c r="F204" s="158" t="s">
        <v>1252</v>
      </c>
      <c r="G204" s="158" t="s">
        <v>1312</v>
      </c>
      <c r="H204" s="158">
        <v>2</v>
      </c>
      <c r="I204" s="859"/>
      <c r="J204" s="188"/>
    </row>
    <row r="205" spans="2:18" s="115" customFormat="1" ht="18" outlineLevel="1" x14ac:dyDescent="0.25">
      <c r="B205" s="694" t="s">
        <v>1705</v>
      </c>
      <c r="C205" s="757" t="s">
        <v>2504</v>
      </c>
      <c r="D205" s="366">
        <v>5</v>
      </c>
      <c r="E205" s="280">
        <v>0</v>
      </c>
      <c r="F205" s="158" t="s">
        <v>1252</v>
      </c>
      <c r="G205" s="158" t="s">
        <v>1312</v>
      </c>
      <c r="H205" s="158">
        <v>2</v>
      </c>
      <c r="I205" s="859"/>
      <c r="J205" s="188"/>
      <c r="K205" s="101"/>
      <c r="L205" s="101"/>
      <c r="M205" s="101"/>
      <c r="N205" s="101"/>
      <c r="O205" s="101"/>
      <c r="P205" s="101"/>
      <c r="Q205" s="101"/>
      <c r="R205" s="101"/>
    </row>
    <row r="206" spans="2:18" s="115" customFormat="1" ht="18" outlineLevel="1" x14ac:dyDescent="0.25">
      <c r="B206" s="694" t="s">
        <v>1706</v>
      </c>
      <c r="C206" s="757" t="s">
        <v>2505</v>
      </c>
      <c r="D206" s="366">
        <v>5</v>
      </c>
      <c r="E206" s="280">
        <v>0</v>
      </c>
      <c r="F206" s="158" t="s">
        <v>1252</v>
      </c>
      <c r="G206" s="158" t="s">
        <v>1312</v>
      </c>
      <c r="H206" s="158">
        <v>2</v>
      </c>
      <c r="I206" s="859"/>
      <c r="J206" s="188"/>
      <c r="K206" s="101"/>
      <c r="L206" s="101"/>
      <c r="M206" s="101"/>
      <c r="N206" s="101"/>
      <c r="O206" s="101"/>
      <c r="P206" s="101"/>
      <c r="Q206" s="101"/>
      <c r="R206" s="101"/>
    </row>
    <row r="207" spans="2:18" s="115" customFormat="1" ht="18" outlineLevel="1" x14ac:dyDescent="0.25">
      <c r="B207" s="695" t="s">
        <v>4523</v>
      </c>
      <c r="C207" s="758" t="s">
        <v>4304</v>
      </c>
      <c r="D207" s="641">
        <v>500</v>
      </c>
      <c r="E207" s="642">
        <v>0</v>
      </c>
      <c r="F207" s="641" t="s">
        <v>1252</v>
      </c>
      <c r="G207" s="641" t="s">
        <v>1312</v>
      </c>
      <c r="H207" s="641">
        <v>2</v>
      </c>
      <c r="I207" s="860"/>
      <c r="J207" s="861"/>
      <c r="K207" s="101"/>
      <c r="L207" s="101"/>
      <c r="M207" s="101"/>
      <c r="N207" s="101"/>
      <c r="O207" s="101"/>
      <c r="P207" s="101"/>
      <c r="Q207" s="101"/>
      <c r="R207" s="101"/>
    </row>
    <row r="208" spans="2:18" s="115" customFormat="1" ht="18" outlineLevel="1" x14ac:dyDescent="0.25">
      <c r="B208" s="695" t="s">
        <v>4524</v>
      </c>
      <c r="C208" s="758" t="s">
        <v>4525</v>
      </c>
      <c r="D208" s="641">
        <v>500</v>
      </c>
      <c r="E208" s="642">
        <v>0</v>
      </c>
      <c r="F208" s="641" t="s">
        <v>1252</v>
      </c>
      <c r="G208" s="641" t="s">
        <v>1312</v>
      </c>
      <c r="H208" s="641">
        <v>2</v>
      </c>
      <c r="I208" s="860"/>
      <c r="J208" s="861"/>
      <c r="K208" s="101"/>
      <c r="L208" s="101"/>
      <c r="M208" s="101"/>
      <c r="N208" s="101"/>
      <c r="O208" s="101"/>
      <c r="P208" s="101"/>
      <c r="Q208" s="101"/>
      <c r="R208" s="101"/>
    </row>
    <row r="209" spans="2:10" s="101" customFormat="1" ht="18" outlineLevel="1" x14ac:dyDescent="0.25">
      <c r="B209" s="694" t="s">
        <v>1707</v>
      </c>
      <c r="C209" s="757" t="s">
        <v>2506</v>
      </c>
      <c r="D209" s="366">
        <v>0.01</v>
      </c>
      <c r="E209" s="280">
        <v>0</v>
      </c>
      <c r="F209" s="158" t="s">
        <v>1252</v>
      </c>
      <c r="G209" s="158" t="s">
        <v>1312</v>
      </c>
      <c r="H209" s="158">
        <v>2</v>
      </c>
      <c r="I209" s="858"/>
      <c r="J209" s="188"/>
    </row>
    <row r="210" spans="2:10" s="101" customFormat="1" ht="18" outlineLevel="1" x14ac:dyDescent="0.25">
      <c r="B210" s="694" t="s">
        <v>1708</v>
      </c>
      <c r="C210" s="757" t="s">
        <v>2507</v>
      </c>
      <c r="D210" s="366">
        <v>0.01</v>
      </c>
      <c r="E210" s="280">
        <v>0</v>
      </c>
      <c r="F210" s="158" t="s">
        <v>1252</v>
      </c>
      <c r="G210" s="158" t="s">
        <v>1312</v>
      </c>
      <c r="H210" s="158">
        <v>3</v>
      </c>
      <c r="I210" s="858"/>
      <c r="J210" s="188"/>
    </row>
    <row r="211" spans="2:10" s="101" customFormat="1" ht="18" outlineLevel="1" x14ac:dyDescent="0.25">
      <c r="B211" s="696" t="s">
        <v>2826</v>
      </c>
      <c r="C211" s="759" t="s">
        <v>2508</v>
      </c>
      <c r="D211" s="189">
        <v>0.01</v>
      </c>
      <c r="E211" s="189">
        <v>0</v>
      </c>
      <c r="F211" s="189" t="s">
        <v>1252</v>
      </c>
      <c r="G211" s="166" t="s">
        <v>1742</v>
      </c>
      <c r="H211" s="189">
        <v>3</v>
      </c>
      <c r="I211" s="862"/>
      <c r="J211" s="190"/>
    </row>
    <row r="212" spans="2:10" s="101" customFormat="1" ht="18" outlineLevel="1" x14ac:dyDescent="0.25">
      <c r="B212" s="696" t="s">
        <v>2827</v>
      </c>
      <c r="C212" s="759" t="s">
        <v>2509</v>
      </c>
      <c r="D212" s="189">
        <v>0.01</v>
      </c>
      <c r="E212" s="189">
        <v>0</v>
      </c>
      <c r="F212" s="189" t="s">
        <v>1252</v>
      </c>
      <c r="G212" s="166" t="s">
        <v>1742</v>
      </c>
      <c r="H212" s="189">
        <v>3</v>
      </c>
      <c r="I212" s="862"/>
      <c r="J212" s="190"/>
    </row>
    <row r="213" spans="2:10" s="101" customFormat="1" ht="18" outlineLevel="1" x14ac:dyDescent="0.25">
      <c r="B213" s="697" t="s">
        <v>4563</v>
      </c>
      <c r="C213" s="760" t="s">
        <v>4564</v>
      </c>
      <c r="D213" s="654">
        <v>0.01</v>
      </c>
      <c r="E213" s="654">
        <v>0</v>
      </c>
      <c r="F213" s="654" t="s">
        <v>1252</v>
      </c>
      <c r="G213" s="655" t="s">
        <v>1742</v>
      </c>
      <c r="H213" s="654">
        <v>3</v>
      </c>
      <c r="I213" s="653"/>
      <c r="J213" s="656"/>
    </row>
    <row r="214" spans="2:10" s="101" customFormat="1" ht="18" outlineLevel="1" x14ac:dyDescent="0.25">
      <c r="B214" s="696" t="s">
        <v>2828</v>
      </c>
      <c r="C214" s="759" t="s">
        <v>2510</v>
      </c>
      <c r="D214" s="189">
        <v>0.01</v>
      </c>
      <c r="E214" s="189">
        <v>0</v>
      </c>
      <c r="F214" s="189" t="s">
        <v>1252</v>
      </c>
      <c r="G214" s="166" t="s">
        <v>1742</v>
      </c>
      <c r="H214" s="189">
        <v>3</v>
      </c>
      <c r="I214" s="862"/>
      <c r="J214" s="190"/>
    </row>
    <row r="215" spans="2:10" s="101" customFormat="1" ht="18.75" outlineLevel="1" thickBot="1" x14ac:dyDescent="0.3">
      <c r="B215" s="698" t="s">
        <v>2829</v>
      </c>
      <c r="C215" s="761" t="s">
        <v>2511</v>
      </c>
      <c r="D215" s="192">
        <v>0.01</v>
      </c>
      <c r="E215" s="192">
        <v>0</v>
      </c>
      <c r="F215" s="192" t="s">
        <v>1252</v>
      </c>
      <c r="G215" s="167" t="s">
        <v>1742</v>
      </c>
      <c r="H215" s="192">
        <v>3</v>
      </c>
      <c r="I215" s="191"/>
      <c r="J215" s="193"/>
    </row>
    <row r="216" spans="2:10" s="101" customFormat="1" ht="15.75" thickBot="1" x14ac:dyDescent="0.3">
      <c r="B216" s="112"/>
      <c r="C216" s="720"/>
      <c r="D216" s="1971"/>
      <c r="E216" s="104"/>
      <c r="F216" s="104"/>
      <c r="G216" s="104"/>
      <c r="H216" s="104"/>
      <c r="I216" s="103"/>
      <c r="J216" s="1926"/>
    </row>
    <row r="217" spans="2:10" s="101" customFormat="1" ht="15.75" thickBot="1" x14ac:dyDescent="0.3">
      <c r="B217" s="112"/>
      <c r="C217" s="755" t="s">
        <v>1973</v>
      </c>
      <c r="D217" s="102" t="s">
        <v>301</v>
      </c>
      <c r="E217" s="102"/>
      <c r="F217" s="102"/>
      <c r="G217" s="102"/>
      <c r="H217" s="102"/>
      <c r="I217" s="112"/>
      <c r="J217" s="1926"/>
    </row>
    <row r="218" spans="2:10" ht="15.75" thickBot="1" x14ac:dyDescent="0.3">
      <c r="B218" s="617" t="s">
        <v>0</v>
      </c>
      <c r="C218" s="811" t="s">
        <v>1</v>
      </c>
      <c r="D218" s="619" t="s">
        <v>840</v>
      </c>
      <c r="E218" s="619" t="s">
        <v>471</v>
      </c>
      <c r="F218" s="619" t="s">
        <v>472</v>
      </c>
      <c r="G218" s="619" t="s">
        <v>2</v>
      </c>
      <c r="H218" s="619" t="s">
        <v>300</v>
      </c>
      <c r="I218" s="618" t="s">
        <v>116</v>
      </c>
      <c r="J218" s="906" t="s">
        <v>117</v>
      </c>
    </row>
    <row r="219" spans="2:10" s="101" customFormat="1" ht="18" outlineLevel="1" x14ac:dyDescent="0.25">
      <c r="B219" s="393" t="s">
        <v>1709</v>
      </c>
      <c r="C219" s="762" t="s">
        <v>2513</v>
      </c>
      <c r="D219" s="394">
        <v>250</v>
      </c>
      <c r="E219" s="394">
        <v>0</v>
      </c>
      <c r="F219" s="394" t="s">
        <v>1252</v>
      </c>
      <c r="G219" s="395" t="s">
        <v>847</v>
      </c>
      <c r="H219" s="394">
        <v>0</v>
      </c>
      <c r="I219" s="863"/>
      <c r="J219" s="396"/>
    </row>
    <row r="220" spans="2:10" s="101" customFormat="1" ht="18" outlineLevel="1" x14ac:dyDescent="0.25">
      <c r="B220" s="397" t="s">
        <v>1710</v>
      </c>
      <c r="C220" s="763" t="s">
        <v>2514</v>
      </c>
      <c r="D220" s="398">
        <v>1</v>
      </c>
      <c r="E220" s="360">
        <v>0</v>
      </c>
      <c r="F220" s="359" t="s">
        <v>1252</v>
      </c>
      <c r="G220" s="358" t="s">
        <v>847</v>
      </c>
      <c r="H220" s="359">
        <v>2</v>
      </c>
      <c r="I220" s="864"/>
      <c r="J220" s="399"/>
    </row>
    <row r="221" spans="2:10" s="101" customFormat="1" ht="18" outlineLevel="1" x14ac:dyDescent="0.25">
      <c r="B221" s="397" t="s">
        <v>5064</v>
      </c>
      <c r="C221" s="764" t="s">
        <v>2515</v>
      </c>
      <c r="D221" s="359">
        <v>150</v>
      </c>
      <c r="E221" s="360">
        <v>0</v>
      </c>
      <c r="F221" s="360" t="s">
        <v>1252</v>
      </c>
      <c r="G221" s="358" t="s">
        <v>847</v>
      </c>
      <c r="H221" s="360">
        <v>0</v>
      </c>
      <c r="I221" s="864"/>
      <c r="J221" s="399"/>
    </row>
    <row r="222" spans="2:10" s="101" customFormat="1" ht="18" outlineLevel="1" x14ac:dyDescent="0.25">
      <c r="B222" s="397" t="s">
        <v>5065</v>
      </c>
      <c r="C222" s="763" t="s">
        <v>2516</v>
      </c>
      <c r="D222" s="398">
        <v>1</v>
      </c>
      <c r="E222" s="360">
        <v>0</v>
      </c>
      <c r="F222" s="360" t="s">
        <v>1252</v>
      </c>
      <c r="G222" s="358" t="s">
        <v>847</v>
      </c>
      <c r="H222" s="360">
        <v>2</v>
      </c>
      <c r="I222" s="864"/>
      <c r="J222" s="399"/>
    </row>
    <row r="223" spans="2:10" s="101" customFormat="1" ht="18" outlineLevel="1" x14ac:dyDescent="0.25">
      <c r="B223" s="397" t="s">
        <v>3311</v>
      </c>
      <c r="C223" s="764" t="s">
        <v>3312</v>
      </c>
      <c r="D223" s="359">
        <v>100</v>
      </c>
      <c r="E223" s="360">
        <v>0</v>
      </c>
      <c r="F223" s="360" t="s">
        <v>1252</v>
      </c>
      <c r="G223" s="358" t="s">
        <v>847</v>
      </c>
      <c r="H223" s="360">
        <v>0</v>
      </c>
      <c r="I223" s="864"/>
      <c r="J223" s="399"/>
    </row>
    <row r="224" spans="2:10" s="101" customFormat="1" ht="18" outlineLevel="1" x14ac:dyDescent="0.25">
      <c r="B224" s="397" t="s">
        <v>3313</v>
      </c>
      <c r="C224" s="764" t="s">
        <v>3314</v>
      </c>
      <c r="D224" s="359">
        <v>10</v>
      </c>
      <c r="E224" s="360">
        <v>0</v>
      </c>
      <c r="F224" s="360" t="s">
        <v>1252</v>
      </c>
      <c r="G224" s="358" t="s">
        <v>847</v>
      </c>
      <c r="H224" s="360">
        <v>0</v>
      </c>
      <c r="I224" s="864"/>
      <c r="J224" s="399"/>
    </row>
    <row r="225" spans="2:10" s="101" customFormat="1" ht="18" outlineLevel="1" x14ac:dyDescent="0.25">
      <c r="B225" s="397" t="s">
        <v>3315</v>
      </c>
      <c r="C225" s="764" t="s">
        <v>3316</v>
      </c>
      <c r="D225" s="359">
        <v>100</v>
      </c>
      <c r="E225" s="360">
        <v>0</v>
      </c>
      <c r="F225" s="360" t="s">
        <v>1252</v>
      </c>
      <c r="G225" s="358" t="s">
        <v>847</v>
      </c>
      <c r="H225" s="360">
        <v>0</v>
      </c>
      <c r="I225" s="864"/>
      <c r="J225" s="399"/>
    </row>
    <row r="226" spans="2:10" s="101" customFormat="1" ht="18" outlineLevel="1" x14ac:dyDescent="0.25">
      <c r="B226" s="400" t="s">
        <v>1711</v>
      </c>
      <c r="C226" s="765" t="s">
        <v>2517</v>
      </c>
      <c r="D226" s="357">
        <v>2</v>
      </c>
      <c r="E226" s="358">
        <v>0</v>
      </c>
      <c r="F226" s="358" t="s">
        <v>1252</v>
      </c>
      <c r="G226" s="358" t="s">
        <v>847</v>
      </c>
      <c r="H226" s="358">
        <v>1</v>
      </c>
      <c r="I226" s="865"/>
      <c r="J226" s="401"/>
    </row>
    <row r="227" spans="2:10" s="101" customFormat="1" ht="18" outlineLevel="1" x14ac:dyDescent="0.25">
      <c r="B227" s="397" t="s">
        <v>3034</v>
      </c>
      <c r="C227" s="764" t="s">
        <v>3035</v>
      </c>
      <c r="D227" s="359">
        <v>-100</v>
      </c>
      <c r="E227" s="360" t="s">
        <v>2176</v>
      </c>
      <c r="F227" s="360" t="s">
        <v>1252</v>
      </c>
      <c r="G227" s="358" t="s">
        <v>2136</v>
      </c>
      <c r="H227" s="360">
        <v>0</v>
      </c>
      <c r="I227" s="864"/>
      <c r="J227" s="399"/>
    </row>
    <row r="228" spans="2:10" s="101" customFormat="1" ht="18" outlineLevel="1" x14ac:dyDescent="0.25">
      <c r="B228" s="400" t="s">
        <v>3036</v>
      </c>
      <c r="C228" s="765" t="s">
        <v>3037</v>
      </c>
      <c r="D228" s="357">
        <v>0.1</v>
      </c>
      <c r="E228" s="358">
        <v>0</v>
      </c>
      <c r="F228" s="358" t="s">
        <v>1252</v>
      </c>
      <c r="G228" s="358" t="s">
        <v>1981</v>
      </c>
      <c r="H228" s="358">
        <v>2</v>
      </c>
      <c r="I228" s="865"/>
      <c r="J228" s="401"/>
    </row>
    <row r="229" spans="2:10" s="101" customFormat="1" ht="18" outlineLevel="1" x14ac:dyDescent="0.25">
      <c r="B229" s="402" t="s">
        <v>2512</v>
      </c>
      <c r="C229" s="765" t="s">
        <v>2518</v>
      </c>
      <c r="D229" s="357">
        <v>50</v>
      </c>
      <c r="E229" s="358">
        <v>0</v>
      </c>
      <c r="F229" s="358" t="s">
        <v>1252</v>
      </c>
      <c r="G229" s="358" t="s">
        <v>847</v>
      </c>
      <c r="H229" s="358">
        <v>1</v>
      </c>
      <c r="I229" s="865"/>
      <c r="J229" s="403"/>
    </row>
    <row r="230" spans="2:10" s="101" customFormat="1" ht="18" outlineLevel="1" x14ac:dyDescent="0.25">
      <c r="B230" s="397" t="s">
        <v>4681</v>
      </c>
      <c r="C230" s="766" t="s">
        <v>2519</v>
      </c>
      <c r="D230" s="404">
        <v>0.01</v>
      </c>
      <c r="E230" s="358">
        <v>0</v>
      </c>
      <c r="F230" s="360" t="s">
        <v>1252</v>
      </c>
      <c r="G230" s="360" t="s">
        <v>886</v>
      </c>
      <c r="H230" s="360">
        <v>3</v>
      </c>
      <c r="I230" s="864"/>
      <c r="J230" s="399"/>
    </row>
    <row r="231" spans="2:10" s="101" customFormat="1" ht="18" outlineLevel="1" x14ac:dyDescent="0.25">
      <c r="B231" s="1330" t="s">
        <v>4677</v>
      </c>
      <c r="C231" s="1335" t="s">
        <v>4678</v>
      </c>
      <c r="D231" s="1392">
        <v>1</v>
      </c>
      <c r="E231" s="1331">
        <v>0</v>
      </c>
      <c r="F231" s="1332">
        <v>2</v>
      </c>
      <c r="G231" s="1332" t="s">
        <v>283</v>
      </c>
      <c r="H231" s="1332">
        <v>2</v>
      </c>
      <c r="I231" s="1333"/>
      <c r="J231" s="1334" t="s">
        <v>4666</v>
      </c>
    </row>
    <row r="232" spans="2:10" s="101" customFormat="1" ht="18" outlineLevel="1" x14ac:dyDescent="0.25">
      <c r="B232" s="397" t="s">
        <v>5062</v>
      </c>
      <c r="C232" s="766" t="s">
        <v>3317</v>
      </c>
      <c r="D232" s="404">
        <v>0.1</v>
      </c>
      <c r="E232" s="358">
        <v>0</v>
      </c>
      <c r="F232" s="360" t="s">
        <v>1252</v>
      </c>
      <c r="G232" s="360" t="s">
        <v>886</v>
      </c>
      <c r="H232" s="360">
        <v>3</v>
      </c>
      <c r="I232" s="864"/>
      <c r="J232" s="399"/>
    </row>
    <row r="233" spans="2:10" s="101" customFormat="1" ht="18.75" outlineLevel="1" thickBot="1" x14ac:dyDescent="0.3">
      <c r="B233" s="405" t="s">
        <v>5063</v>
      </c>
      <c r="C233" s="767" t="s">
        <v>2520</v>
      </c>
      <c r="D233" s="406">
        <v>0.1</v>
      </c>
      <c r="E233" s="407">
        <v>0</v>
      </c>
      <c r="F233" s="408" t="s">
        <v>1252</v>
      </c>
      <c r="G233" s="408" t="s">
        <v>886</v>
      </c>
      <c r="H233" s="408">
        <v>2</v>
      </c>
      <c r="I233" s="866"/>
      <c r="J233" s="409"/>
    </row>
    <row r="234" spans="2:10" s="101" customFormat="1" ht="15.75" thickBot="1" x14ac:dyDescent="0.3">
      <c r="B234" s="112"/>
      <c r="C234" s="720"/>
      <c r="D234" s="1971"/>
      <c r="E234" s="104"/>
      <c r="F234" s="104"/>
      <c r="G234" s="104"/>
      <c r="H234" s="104"/>
      <c r="I234" s="103"/>
      <c r="J234" s="1926"/>
    </row>
    <row r="235" spans="2:10" s="101" customFormat="1" ht="15.75" thickBot="1" x14ac:dyDescent="0.3">
      <c r="B235" s="112"/>
      <c r="C235" s="768" t="s">
        <v>4542</v>
      </c>
      <c r="D235" s="102" t="s">
        <v>301</v>
      </c>
      <c r="E235" s="102"/>
      <c r="F235" s="102"/>
      <c r="G235" s="102"/>
      <c r="H235" s="102"/>
      <c r="I235" s="112"/>
      <c r="J235" s="1926"/>
    </row>
    <row r="236" spans="2:10" ht="15.75" thickBot="1" x14ac:dyDescent="0.3">
      <c r="B236" s="617" t="s">
        <v>0</v>
      </c>
      <c r="C236" s="811" t="s">
        <v>1</v>
      </c>
      <c r="D236" s="619" t="s">
        <v>840</v>
      </c>
      <c r="E236" s="619" t="s">
        <v>471</v>
      </c>
      <c r="F236" s="619" t="s">
        <v>472</v>
      </c>
      <c r="G236" s="619" t="s">
        <v>2</v>
      </c>
      <c r="H236" s="619" t="s">
        <v>300</v>
      </c>
      <c r="I236" s="618" t="s">
        <v>116</v>
      </c>
      <c r="J236" s="906" t="s">
        <v>117</v>
      </c>
    </row>
    <row r="237" spans="2:10" s="101" customFormat="1" ht="18" outlineLevel="1" x14ac:dyDescent="0.25">
      <c r="B237" s="643" t="s">
        <v>4543</v>
      </c>
      <c r="C237" s="769" t="s">
        <v>4544</v>
      </c>
      <c r="D237" s="644">
        <v>75</v>
      </c>
      <c r="E237" s="644">
        <v>0</v>
      </c>
      <c r="F237" s="644" t="s">
        <v>1252</v>
      </c>
      <c r="G237" s="645" t="s">
        <v>847</v>
      </c>
      <c r="H237" s="644">
        <v>0</v>
      </c>
      <c r="I237" s="867"/>
      <c r="J237" s="646"/>
    </row>
    <row r="238" spans="2:10" s="101" customFormat="1" ht="18" outlineLevel="1" x14ac:dyDescent="0.25">
      <c r="B238" s="410" t="s">
        <v>4545</v>
      </c>
      <c r="C238" s="770" t="s">
        <v>4546</v>
      </c>
      <c r="D238" s="622">
        <v>1</v>
      </c>
      <c r="E238" s="604">
        <v>0</v>
      </c>
      <c r="F238" s="623" t="s">
        <v>1252</v>
      </c>
      <c r="G238" s="647" t="s">
        <v>847</v>
      </c>
      <c r="H238" s="623">
        <v>2</v>
      </c>
      <c r="I238" s="603"/>
      <c r="J238" s="631"/>
    </row>
    <row r="239" spans="2:10" s="101" customFormat="1" ht="18" outlineLevel="1" x14ac:dyDescent="0.25">
      <c r="B239" s="410" t="s">
        <v>4547</v>
      </c>
      <c r="C239" s="771" t="s">
        <v>4548</v>
      </c>
      <c r="D239" s="623">
        <v>175</v>
      </c>
      <c r="E239" s="604">
        <v>0</v>
      </c>
      <c r="F239" s="604" t="s">
        <v>1252</v>
      </c>
      <c r="G239" s="647" t="s">
        <v>847</v>
      </c>
      <c r="H239" s="604">
        <v>0</v>
      </c>
      <c r="I239" s="603"/>
      <c r="J239" s="631"/>
    </row>
    <row r="240" spans="2:10" s="101" customFormat="1" ht="18" outlineLevel="1" x14ac:dyDescent="0.25">
      <c r="B240" s="410" t="s">
        <v>4549</v>
      </c>
      <c r="C240" s="770" t="s">
        <v>4550</v>
      </c>
      <c r="D240" s="622">
        <v>1</v>
      </c>
      <c r="E240" s="604">
        <v>0</v>
      </c>
      <c r="F240" s="604" t="s">
        <v>1252</v>
      </c>
      <c r="G240" s="647" t="s">
        <v>847</v>
      </c>
      <c r="H240" s="604">
        <v>2</v>
      </c>
      <c r="I240" s="603"/>
      <c r="J240" s="631"/>
    </row>
    <row r="241" spans="2:10" s="101" customFormat="1" ht="18" outlineLevel="1" x14ac:dyDescent="0.25">
      <c r="B241" s="410" t="s">
        <v>4551</v>
      </c>
      <c r="C241" s="771" t="s">
        <v>4552</v>
      </c>
      <c r="D241" s="623">
        <v>100</v>
      </c>
      <c r="E241" s="604">
        <v>0</v>
      </c>
      <c r="F241" s="604" t="s">
        <v>1252</v>
      </c>
      <c r="G241" s="647" t="s">
        <v>847</v>
      </c>
      <c r="H241" s="604">
        <v>0</v>
      </c>
      <c r="I241" s="603"/>
      <c r="J241" s="631"/>
    </row>
    <row r="242" spans="2:10" s="101" customFormat="1" ht="18" outlineLevel="1" x14ac:dyDescent="0.25">
      <c r="B242" s="410" t="s">
        <v>4553</v>
      </c>
      <c r="C242" s="771" t="s">
        <v>4554</v>
      </c>
      <c r="D242" s="623">
        <v>10</v>
      </c>
      <c r="E242" s="604">
        <v>0</v>
      </c>
      <c r="F242" s="604" t="s">
        <v>1252</v>
      </c>
      <c r="G242" s="647" t="s">
        <v>847</v>
      </c>
      <c r="H242" s="604">
        <v>0</v>
      </c>
      <c r="I242" s="603"/>
      <c r="J242" s="631"/>
    </row>
    <row r="243" spans="2:10" s="101" customFormat="1" ht="18" outlineLevel="1" x14ac:dyDescent="0.25">
      <c r="B243" s="410" t="s">
        <v>4555</v>
      </c>
      <c r="C243" s="771" t="s">
        <v>4556</v>
      </c>
      <c r="D243" s="623">
        <v>100</v>
      </c>
      <c r="E243" s="604">
        <v>0</v>
      </c>
      <c r="F243" s="604" t="s">
        <v>1252</v>
      </c>
      <c r="G243" s="647" t="s">
        <v>847</v>
      </c>
      <c r="H243" s="604">
        <v>0</v>
      </c>
      <c r="I243" s="603"/>
      <c r="J243" s="631"/>
    </row>
    <row r="244" spans="2:10" s="101" customFormat="1" ht="18" outlineLevel="1" x14ac:dyDescent="0.25">
      <c r="B244" s="410" t="s">
        <v>4557</v>
      </c>
      <c r="C244" s="770" t="s">
        <v>4558</v>
      </c>
      <c r="D244" s="622">
        <v>0.1</v>
      </c>
      <c r="E244" s="647">
        <v>0</v>
      </c>
      <c r="F244" s="604" t="s">
        <v>1252</v>
      </c>
      <c r="G244" s="604" t="s">
        <v>886</v>
      </c>
      <c r="H244" s="604">
        <v>2</v>
      </c>
      <c r="I244" s="603"/>
      <c r="J244" s="631"/>
    </row>
    <row r="245" spans="2:10" s="101" customFormat="1" ht="18" outlineLevel="1" x14ac:dyDescent="0.25">
      <c r="B245" s="410" t="s">
        <v>4559</v>
      </c>
      <c r="C245" s="772" t="s">
        <v>4560</v>
      </c>
      <c r="D245" s="649">
        <v>1E-3</v>
      </c>
      <c r="E245" s="647">
        <v>0</v>
      </c>
      <c r="F245" s="604" t="s">
        <v>1252</v>
      </c>
      <c r="G245" s="604" t="s">
        <v>886</v>
      </c>
      <c r="H245" s="604">
        <v>3</v>
      </c>
      <c r="I245" s="603"/>
      <c r="J245" s="631"/>
    </row>
    <row r="246" spans="2:10" s="101" customFormat="1" ht="18" outlineLevel="1" x14ac:dyDescent="0.25">
      <c r="B246" s="1336" t="s">
        <v>4679</v>
      </c>
      <c r="C246" s="1337" t="s">
        <v>4680</v>
      </c>
      <c r="D246" s="916">
        <v>2</v>
      </c>
      <c r="E246" s="1338">
        <v>0</v>
      </c>
      <c r="F246" s="1339">
        <v>2</v>
      </c>
      <c r="G246" s="1339" t="s">
        <v>283</v>
      </c>
      <c r="H246" s="1339">
        <v>2</v>
      </c>
      <c r="I246" s="1340"/>
      <c r="J246" s="1341" t="s">
        <v>4666</v>
      </c>
    </row>
    <row r="247" spans="2:10" s="101" customFormat="1" ht="18.75" outlineLevel="1" thickBot="1" x14ac:dyDescent="0.3">
      <c r="B247" s="609" t="s">
        <v>4561</v>
      </c>
      <c r="C247" s="773" t="s">
        <v>4562</v>
      </c>
      <c r="D247" s="650">
        <v>0.1</v>
      </c>
      <c r="E247" s="651">
        <v>0</v>
      </c>
      <c r="F247" s="611" t="s">
        <v>1252</v>
      </c>
      <c r="G247" s="611" t="s">
        <v>886</v>
      </c>
      <c r="H247" s="611">
        <v>3</v>
      </c>
      <c r="I247" s="610"/>
      <c r="J247" s="652"/>
    </row>
    <row r="248" spans="2:10" s="101" customFormat="1" ht="15.75" thickBot="1" x14ac:dyDescent="0.3">
      <c r="B248" s="112"/>
      <c r="C248" s="315"/>
      <c r="D248" s="102"/>
      <c r="E248" s="102"/>
      <c r="F248" s="102"/>
      <c r="G248" s="102"/>
      <c r="H248" s="102"/>
      <c r="I248" s="112"/>
      <c r="J248" s="1926"/>
    </row>
    <row r="249" spans="2:10" s="101" customFormat="1" ht="15.75" thickBot="1" x14ac:dyDescent="0.3">
      <c r="B249" s="112"/>
      <c r="C249" s="755" t="s">
        <v>303</v>
      </c>
      <c r="D249" s="102" t="s">
        <v>301</v>
      </c>
      <c r="E249" s="102"/>
      <c r="F249" s="102"/>
      <c r="G249" s="102"/>
      <c r="H249" s="102"/>
      <c r="I249" s="112"/>
      <c r="J249" s="1926"/>
    </row>
    <row r="250" spans="2:10" ht="15.75" thickBot="1" x14ac:dyDescent="0.3">
      <c r="B250" s="617" t="s">
        <v>0</v>
      </c>
      <c r="C250" s="811" t="s">
        <v>1</v>
      </c>
      <c r="D250" s="619" t="s">
        <v>840</v>
      </c>
      <c r="E250" s="619" t="s">
        <v>471</v>
      </c>
      <c r="F250" s="619" t="s">
        <v>472</v>
      </c>
      <c r="G250" s="619" t="s">
        <v>2</v>
      </c>
      <c r="H250" s="619" t="s">
        <v>300</v>
      </c>
      <c r="I250" s="618" t="s">
        <v>116</v>
      </c>
      <c r="J250" s="906" t="s">
        <v>117</v>
      </c>
    </row>
    <row r="251" spans="2:10" s="101" customFormat="1" ht="18" outlineLevel="1" x14ac:dyDescent="0.25">
      <c r="B251" s="1928" t="s">
        <v>1922</v>
      </c>
      <c r="C251" s="1948" t="s">
        <v>2521</v>
      </c>
      <c r="D251" s="1972">
        <v>5.0000000000000001E-3</v>
      </c>
      <c r="E251" s="1996">
        <v>0</v>
      </c>
      <c r="F251" s="1996" t="s">
        <v>1252</v>
      </c>
      <c r="G251" s="1996" t="s">
        <v>884</v>
      </c>
      <c r="H251" s="1996">
        <v>3</v>
      </c>
      <c r="I251" s="2010"/>
      <c r="J251" s="2026"/>
    </row>
    <row r="252" spans="2:10" s="101" customFormat="1" ht="18" outlineLevel="1" x14ac:dyDescent="0.25">
      <c r="B252" s="1929" t="s">
        <v>1923</v>
      </c>
      <c r="C252" s="1949" t="s">
        <v>2522</v>
      </c>
      <c r="D252" s="1973">
        <v>2E-3</v>
      </c>
      <c r="E252" s="1997">
        <v>0</v>
      </c>
      <c r="F252" s="1997" t="s">
        <v>1252</v>
      </c>
      <c r="G252" s="1997" t="s">
        <v>886</v>
      </c>
      <c r="H252" s="1997">
        <v>3</v>
      </c>
      <c r="I252" s="2011"/>
      <c r="J252" s="2027"/>
    </row>
    <row r="253" spans="2:10" s="101" customFormat="1" ht="18" outlineLevel="1" x14ac:dyDescent="0.25">
      <c r="B253" s="1930" t="s">
        <v>1924</v>
      </c>
      <c r="C253" s="1950" t="s">
        <v>2523</v>
      </c>
      <c r="D253" s="1974">
        <v>1.2</v>
      </c>
      <c r="E253" s="1997">
        <v>0</v>
      </c>
      <c r="F253" s="2002" t="s">
        <v>1252</v>
      </c>
      <c r="G253" s="2002" t="s">
        <v>1602</v>
      </c>
      <c r="H253" s="2002">
        <v>1</v>
      </c>
      <c r="I253" s="2012"/>
      <c r="J253" s="2028"/>
    </row>
    <row r="254" spans="2:10" s="101" customFormat="1" ht="18" outlineLevel="1" x14ac:dyDescent="0.25">
      <c r="B254" s="1929" t="s">
        <v>1925</v>
      </c>
      <c r="C254" s="1951" t="s">
        <v>2524</v>
      </c>
      <c r="D254" s="90">
        <v>0.1</v>
      </c>
      <c r="E254" s="1997">
        <v>0</v>
      </c>
      <c r="F254" s="90" t="s">
        <v>1252</v>
      </c>
      <c r="G254" s="90" t="s">
        <v>2894</v>
      </c>
      <c r="H254" s="90">
        <v>1</v>
      </c>
      <c r="I254" s="80"/>
      <c r="J254" s="2029"/>
    </row>
    <row r="255" spans="2:10" s="101" customFormat="1" ht="18" outlineLevel="1" x14ac:dyDescent="0.25">
      <c r="B255" s="1929" t="s">
        <v>1926</v>
      </c>
      <c r="C255" s="1951" t="s">
        <v>2525</v>
      </c>
      <c r="D255" s="90">
        <v>0.1</v>
      </c>
      <c r="E255" s="1997">
        <v>0</v>
      </c>
      <c r="F255" s="90" t="s">
        <v>1252</v>
      </c>
      <c r="G255" s="90" t="s">
        <v>2895</v>
      </c>
      <c r="H255" s="90">
        <v>1</v>
      </c>
      <c r="I255" s="80"/>
      <c r="J255" s="2029"/>
    </row>
    <row r="256" spans="2:10" s="101" customFormat="1" ht="18" outlineLevel="1" x14ac:dyDescent="0.25">
      <c r="B256" s="1929" t="s">
        <v>3541</v>
      </c>
      <c r="C256" s="1951" t="s">
        <v>3542</v>
      </c>
      <c r="D256" s="90">
        <v>1E-4</v>
      </c>
      <c r="E256" s="1997">
        <v>0</v>
      </c>
      <c r="F256" s="90" t="s">
        <v>1252</v>
      </c>
      <c r="G256" s="90" t="s">
        <v>1606</v>
      </c>
      <c r="H256" s="90">
        <v>4</v>
      </c>
      <c r="I256" s="80"/>
      <c r="J256" s="2029"/>
    </row>
    <row r="257" spans="1:16" s="101" customFormat="1" ht="18" outlineLevel="1" x14ac:dyDescent="0.25">
      <c r="B257" s="1929" t="s">
        <v>3543</v>
      </c>
      <c r="C257" s="1951" t="s">
        <v>3544</v>
      </c>
      <c r="D257" s="90">
        <v>1E-4</v>
      </c>
      <c r="E257" s="1997">
        <v>0</v>
      </c>
      <c r="F257" s="90" t="s">
        <v>1252</v>
      </c>
      <c r="G257" s="90" t="s">
        <v>1608</v>
      </c>
      <c r="H257" s="90">
        <v>4</v>
      </c>
      <c r="I257" s="80"/>
      <c r="J257" s="2029"/>
    </row>
    <row r="258" spans="1:16" s="101" customFormat="1" ht="18" outlineLevel="1" x14ac:dyDescent="0.25">
      <c r="B258" s="1929" t="s">
        <v>1714</v>
      </c>
      <c r="C258" s="1952" t="s">
        <v>2526</v>
      </c>
      <c r="D258" s="1975">
        <v>0.5</v>
      </c>
      <c r="E258" s="1997">
        <v>0</v>
      </c>
      <c r="F258" s="1997" t="s">
        <v>1252</v>
      </c>
      <c r="G258" s="2004" t="s">
        <v>1981</v>
      </c>
      <c r="H258" s="1997">
        <v>2</v>
      </c>
      <c r="I258" s="2011"/>
      <c r="J258" s="2027"/>
    </row>
    <row r="259" spans="1:16" s="101" customFormat="1" ht="18" outlineLevel="1" x14ac:dyDescent="0.25">
      <c r="B259" s="1929" t="s">
        <v>1715</v>
      </c>
      <c r="C259" s="1952" t="s">
        <v>2527</v>
      </c>
      <c r="D259" s="1975">
        <v>0.25</v>
      </c>
      <c r="E259" s="1997">
        <v>0</v>
      </c>
      <c r="F259" s="1997" t="s">
        <v>1252</v>
      </c>
      <c r="G259" s="2004" t="s">
        <v>1981</v>
      </c>
      <c r="H259" s="1997">
        <v>2</v>
      </c>
      <c r="I259" s="2011"/>
      <c r="J259" s="2027"/>
    </row>
    <row r="260" spans="1:16" s="101" customFormat="1" ht="18" outlineLevel="1" x14ac:dyDescent="0.25">
      <c r="B260" s="1929" t="s">
        <v>1944</v>
      </c>
      <c r="C260" s="1952" t="s">
        <v>2530</v>
      </c>
      <c r="D260" s="1975">
        <v>5</v>
      </c>
      <c r="E260" s="1997">
        <v>0</v>
      </c>
      <c r="F260" s="1997" t="s">
        <v>1252</v>
      </c>
      <c r="G260" s="2004" t="s">
        <v>1981</v>
      </c>
      <c r="H260" s="1997">
        <v>1</v>
      </c>
      <c r="I260" s="2011"/>
      <c r="J260" s="2027"/>
    </row>
    <row r="261" spans="1:16" s="101" customFormat="1" ht="18" outlineLevel="1" x14ac:dyDescent="0.25">
      <c r="B261" s="1929" t="s">
        <v>1945</v>
      </c>
      <c r="C261" s="1952" t="s">
        <v>2531</v>
      </c>
      <c r="D261" s="1975">
        <v>10</v>
      </c>
      <c r="E261" s="1997">
        <v>0</v>
      </c>
      <c r="F261" s="1997" t="s">
        <v>1252</v>
      </c>
      <c r="G261" s="2004" t="s">
        <v>1981</v>
      </c>
      <c r="H261" s="1997">
        <v>1</v>
      </c>
      <c r="I261" s="2011"/>
      <c r="J261" s="2027"/>
    </row>
    <row r="262" spans="1:16" s="101" customFormat="1" ht="18" outlineLevel="1" x14ac:dyDescent="0.25">
      <c r="B262" s="1929" t="s">
        <v>2098</v>
      </c>
      <c r="C262" s="1952" t="s">
        <v>2532</v>
      </c>
      <c r="D262" s="1975">
        <v>10</v>
      </c>
      <c r="E262" s="1997">
        <v>0</v>
      </c>
      <c r="F262" s="1997" t="s">
        <v>1252</v>
      </c>
      <c r="G262" s="2004" t="s">
        <v>1981</v>
      </c>
      <c r="H262" s="1997">
        <v>1</v>
      </c>
      <c r="I262" s="2011"/>
      <c r="J262" s="2027"/>
    </row>
    <row r="263" spans="1:16" s="101" customFormat="1" ht="18" outlineLevel="1" x14ac:dyDescent="0.25">
      <c r="B263" s="1929" t="s">
        <v>1163</v>
      </c>
      <c r="C263" s="1951" t="s">
        <v>2533</v>
      </c>
      <c r="D263" s="90">
        <v>3</v>
      </c>
      <c r="E263" s="90">
        <v>0</v>
      </c>
      <c r="F263" s="90" t="s">
        <v>1252</v>
      </c>
      <c r="G263" s="90" t="s">
        <v>378</v>
      </c>
      <c r="H263" s="90">
        <v>1</v>
      </c>
      <c r="I263" s="80"/>
      <c r="J263" s="2029"/>
    </row>
    <row r="264" spans="1:16" s="101" customFormat="1" ht="18.75" outlineLevel="1" thickBot="1" x14ac:dyDescent="0.3">
      <c r="B264" s="1931" t="s">
        <v>1164</v>
      </c>
      <c r="C264" s="1953" t="s">
        <v>2534</v>
      </c>
      <c r="D264" s="95">
        <v>11</v>
      </c>
      <c r="E264" s="95">
        <v>0</v>
      </c>
      <c r="F264" s="95" t="s">
        <v>1252</v>
      </c>
      <c r="G264" s="95" t="s">
        <v>378</v>
      </c>
      <c r="H264" s="95">
        <v>1</v>
      </c>
      <c r="I264" s="2013"/>
      <c r="J264" s="2030"/>
    </row>
    <row r="265" spans="1:16" s="101" customFormat="1" ht="15.75" thickBot="1" x14ac:dyDescent="0.3">
      <c r="B265" s="112"/>
      <c r="C265" s="720"/>
      <c r="D265" s="1971"/>
      <c r="E265" s="104"/>
      <c r="F265" s="104"/>
      <c r="G265" s="104"/>
      <c r="H265" s="104"/>
      <c r="I265" s="103"/>
      <c r="J265" s="1926"/>
    </row>
    <row r="266" spans="1:16" s="101" customFormat="1" ht="15.75" thickBot="1" x14ac:dyDescent="0.3">
      <c r="B266" s="112"/>
      <c r="C266" s="755" t="s">
        <v>302</v>
      </c>
      <c r="D266" s="102" t="s">
        <v>301</v>
      </c>
      <c r="E266" s="102"/>
      <c r="F266" s="102"/>
      <c r="G266" s="102"/>
      <c r="H266" s="102"/>
      <c r="I266" s="112"/>
      <c r="J266" s="1926"/>
    </row>
    <row r="267" spans="1:16" s="101" customFormat="1" ht="15.75" thickBot="1" x14ac:dyDescent="0.3">
      <c r="B267" s="689" t="s">
        <v>0</v>
      </c>
      <c r="C267" s="751" t="s">
        <v>1</v>
      </c>
      <c r="D267" s="113" t="s">
        <v>840</v>
      </c>
      <c r="E267" s="113" t="s">
        <v>471</v>
      </c>
      <c r="F267" s="113" t="s">
        <v>472</v>
      </c>
      <c r="G267" s="113" t="s">
        <v>2</v>
      </c>
      <c r="H267" s="113" t="s">
        <v>300</v>
      </c>
      <c r="I267" s="850" t="s">
        <v>116</v>
      </c>
      <c r="J267" s="851" t="s">
        <v>117</v>
      </c>
    </row>
    <row r="268" spans="1:16" s="101" customFormat="1" ht="18" outlineLevel="1" x14ac:dyDescent="0.25">
      <c r="B268" s="2408" t="s">
        <v>5357</v>
      </c>
      <c r="C268" s="2409" t="s">
        <v>5358</v>
      </c>
      <c r="D268" s="2386">
        <v>3</v>
      </c>
      <c r="E268" s="294">
        <v>0</v>
      </c>
      <c r="F268" s="294" t="s">
        <v>1252</v>
      </c>
      <c r="G268" s="294" t="s">
        <v>847</v>
      </c>
      <c r="H268" s="294">
        <v>1</v>
      </c>
      <c r="I268" s="868" t="s">
        <v>1985</v>
      </c>
      <c r="J268" s="869"/>
    </row>
    <row r="269" spans="1:16" s="2407" customFormat="1" ht="18" outlineLevel="1" x14ac:dyDescent="0.25">
      <c r="A269" s="101"/>
      <c r="B269" s="2385" t="s">
        <v>5354</v>
      </c>
      <c r="C269" s="2390" t="s">
        <v>5355</v>
      </c>
      <c r="D269" s="2386">
        <v>1</v>
      </c>
      <c r="E269" s="2387">
        <v>0</v>
      </c>
      <c r="F269" s="2387" t="s">
        <v>1252</v>
      </c>
      <c r="G269" s="2387" t="s">
        <v>847</v>
      </c>
      <c r="H269" s="2387">
        <v>1</v>
      </c>
      <c r="I269" s="2388" t="s">
        <v>5356</v>
      </c>
      <c r="J269" s="2389"/>
      <c r="K269" s="101"/>
      <c r="L269" s="101"/>
      <c r="M269" s="101"/>
      <c r="N269" s="101"/>
      <c r="O269" s="101"/>
      <c r="P269" s="101"/>
    </row>
    <row r="270" spans="1:16" s="101" customFormat="1" ht="18" outlineLevel="1" x14ac:dyDescent="0.25">
      <c r="B270" s="699" t="s">
        <v>1712</v>
      </c>
      <c r="C270" s="774" t="s">
        <v>2528</v>
      </c>
      <c r="D270" s="2386">
        <v>0.5</v>
      </c>
      <c r="E270" s="269">
        <v>0</v>
      </c>
      <c r="F270" s="269" t="s">
        <v>1252</v>
      </c>
      <c r="G270" s="269" t="s">
        <v>1981</v>
      </c>
      <c r="H270" s="269">
        <v>2</v>
      </c>
      <c r="I270" s="870"/>
      <c r="J270" s="871"/>
    </row>
    <row r="271" spans="1:16" s="101" customFormat="1" ht="18" outlineLevel="1" x14ac:dyDescent="0.25">
      <c r="B271" s="700" t="s">
        <v>1713</v>
      </c>
      <c r="C271" s="775" t="s">
        <v>2529</v>
      </c>
      <c r="D271" s="2386">
        <v>0.2</v>
      </c>
      <c r="E271" s="105">
        <v>0</v>
      </c>
      <c r="F271" s="105" t="s">
        <v>1252</v>
      </c>
      <c r="G271" s="105" t="s">
        <v>1981</v>
      </c>
      <c r="H271" s="105">
        <v>2</v>
      </c>
      <c r="I271" s="106"/>
      <c r="J271" s="872"/>
    </row>
    <row r="272" spans="1:16" s="101" customFormat="1" ht="18" outlineLevel="1" x14ac:dyDescent="0.25">
      <c r="B272" s="2385" t="s">
        <v>853</v>
      </c>
      <c r="C272" s="2390" t="s">
        <v>2536</v>
      </c>
      <c r="D272" s="2386">
        <v>0.5</v>
      </c>
      <c r="E272" s="2387">
        <v>0</v>
      </c>
      <c r="F272" s="2387" t="s">
        <v>1252</v>
      </c>
      <c r="G272" s="2387" t="s">
        <v>847</v>
      </c>
      <c r="H272" s="2387">
        <v>1</v>
      </c>
      <c r="I272" s="2388"/>
      <c r="J272" s="2389"/>
    </row>
    <row r="273" spans="2:10" s="101" customFormat="1" ht="18" outlineLevel="1" x14ac:dyDescent="0.25">
      <c r="B273" s="2385" t="s">
        <v>5306</v>
      </c>
      <c r="C273" s="2390" t="s">
        <v>5307</v>
      </c>
      <c r="D273" s="2386">
        <v>1000</v>
      </c>
      <c r="E273" s="2387">
        <v>0</v>
      </c>
      <c r="F273" s="2387" t="s">
        <v>1252</v>
      </c>
      <c r="G273" s="2387" t="s">
        <v>847</v>
      </c>
      <c r="H273" s="2387">
        <v>1</v>
      </c>
      <c r="I273" s="2388"/>
      <c r="J273" s="2389"/>
    </row>
    <row r="274" spans="2:10" s="101" customFormat="1" ht="18" outlineLevel="1" x14ac:dyDescent="0.25">
      <c r="B274" s="2385" t="s">
        <v>5308</v>
      </c>
      <c r="C274" s="2390" t="s">
        <v>5309</v>
      </c>
      <c r="D274" s="2386">
        <v>1000</v>
      </c>
      <c r="E274" s="2387">
        <v>0</v>
      </c>
      <c r="F274" s="2387" t="s">
        <v>1252</v>
      </c>
      <c r="G274" s="2387" t="s">
        <v>847</v>
      </c>
      <c r="H274" s="2387">
        <v>1</v>
      </c>
      <c r="I274" s="2388"/>
      <c r="J274" s="2389"/>
    </row>
    <row r="275" spans="2:10" s="101" customFormat="1" ht="18" outlineLevel="1" x14ac:dyDescent="0.25">
      <c r="B275" s="2385" t="s">
        <v>5310</v>
      </c>
      <c r="C275" s="2390" t="s">
        <v>5311</v>
      </c>
      <c r="D275" s="2386">
        <v>5</v>
      </c>
      <c r="E275" s="2387">
        <v>0</v>
      </c>
      <c r="F275" s="2387" t="s">
        <v>1252</v>
      </c>
      <c r="G275" s="2387" t="s">
        <v>378</v>
      </c>
      <c r="H275" s="2387">
        <v>1</v>
      </c>
      <c r="I275" s="2388"/>
      <c r="J275" s="2389"/>
    </row>
    <row r="276" spans="2:10" s="101" customFormat="1" ht="18" outlineLevel="1" x14ac:dyDescent="0.25">
      <c r="B276" s="2385" t="s">
        <v>5312</v>
      </c>
      <c r="C276" s="2390" t="s">
        <v>5313</v>
      </c>
      <c r="D276" s="2386">
        <v>9</v>
      </c>
      <c r="E276" s="2387">
        <v>0</v>
      </c>
      <c r="F276" s="2387" t="s">
        <v>1252</v>
      </c>
      <c r="G276" s="2387" t="s">
        <v>378</v>
      </c>
      <c r="H276" s="2387">
        <v>1</v>
      </c>
      <c r="I276" s="2388"/>
      <c r="J276" s="2389"/>
    </row>
    <row r="277" spans="2:10" s="101" customFormat="1" ht="18" outlineLevel="1" x14ac:dyDescent="0.25">
      <c r="B277" s="2385" t="s">
        <v>5314</v>
      </c>
      <c r="C277" s="2390" t="s">
        <v>5315</v>
      </c>
      <c r="D277" s="2386">
        <v>5</v>
      </c>
      <c r="E277" s="2387">
        <v>0</v>
      </c>
      <c r="F277" s="2387" t="s">
        <v>1252</v>
      </c>
      <c r="G277" s="2387" t="s">
        <v>378</v>
      </c>
      <c r="H277" s="2387">
        <v>1</v>
      </c>
      <c r="I277" s="2388"/>
      <c r="J277" s="2389"/>
    </row>
    <row r="278" spans="2:10" s="101" customFormat="1" ht="18" outlineLevel="1" x14ac:dyDescent="0.25">
      <c r="B278" s="2385" t="s">
        <v>5316</v>
      </c>
      <c r="C278" s="2390" t="s">
        <v>5317</v>
      </c>
      <c r="D278" s="2386">
        <v>9</v>
      </c>
      <c r="E278" s="2387">
        <v>0</v>
      </c>
      <c r="F278" s="2387" t="s">
        <v>1252</v>
      </c>
      <c r="G278" s="2387" t="s">
        <v>378</v>
      </c>
      <c r="H278" s="2387">
        <v>1</v>
      </c>
      <c r="I278" s="2388"/>
      <c r="J278" s="2389"/>
    </row>
    <row r="279" spans="2:10" s="101" customFormat="1" ht="18" outlineLevel="1" x14ac:dyDescent="0.25">
      <c r="B279" s="700" t="s">
        <v>1927</v>
      </c>
      <c r="C279" s="776" t="s">
        <v>2537</v>
      </c>
      <c r="D279" s="109">
        <v>0.05</v>
      </c>
      <c r="E279" s="105">
        <v>0</v>
      </c>
      <c r="F279" s="105" t="s">
        <v>1252</v>
      </c>
      <c r="G279" s="105" t="s">
        <v>2167</v>
      </c>
      <c r="H279" s="105">
        <v>2</v>
      </c>
      <c r="I279" s="106"/>
      <c r="J279" s="872"/>
    </row>
    <row r="280" spans="2:10" s="101" customFormat="1" ht="18" outlineLevel="1" x14ac:dyDescent="0.25">
      <c r="B280" s="1515" t="s">
        <v>5144</v>
      </c>
      <c r="C280" s="1804" t="s">
        <v>5145</v>
      </c>
      <c r="D280" s="1803">
        <v>500</v>
      </c>
      <c r="E280" s="1338">
        <v>0</v>
      </c>
      <c r="F280" s="1338" t="s">
        <v>1252</v>
      </c>
      <c r="G280" s="1338" t="s">
        <v>848</v>
      </c>
      <c r="H280" s="1338">
        <v>0</v>
      </c>
      <c r="I280" s="1517"/>
      <c r="J280" s="1518"/>
    </row>
    <row r="281" spans="2:10" s="101" customFormat="1" ht="18" outlineLevel="1" x14ac:dyDescent="0.25">
      <c r="B281" s="1515" t="s">
        <v>5146</v>
      </c>
      <c r="C281" s="1804" t="s">
        <v>5147</v>
      </c>
      <c r="D281" s="1803">
        <v>0.1</v>
      </c>
      <c r="E281" s="1338">
        <v>0</v>
      </c>
      <c r="F281" s="1338">
        <v>2</v>
      </c>
      <c r="G281" s="1338" t="s">
        <v>283</v>
      </c>
      <c r="H281" s="1338">
        <v>2</v>
      </c>
      <c r="I281" s="1517"/>
      <c r="J281" s="1518" t="s">
        <v>5143</v>
      </c>
    </row>
    <row r="282" spans="2:10" s="101" customFormat="1" ht="18" outlineLevel="1" x14ac:dyDescent="0.25">
      <c r="B282" s="2391" t="s">
        <v>5148</v>
      </c>
      <c r="C282" s="1805" t="s">
        <v>5149</v>
      </c>
      <c r="D282" s="2406">
        <v>5</v>
      </c>
      <c r="E282" s="1338">
        <v>0</v>
      </c>
      <c r="F282" s="1338" t="s">
        <v>1252</v>
      </c>
      <c r="G282" s="1338" t="s">
        <v>848</v>
      </c>
      <c r="H282" s="1338">
        <v>1</v>
      </c>
      <c r="I282" s="1517"/>
      <c r="J282" s="2392"/>
    </row>
    <row r="283" spans="2:10" s="101" customFormat="1" ht="18" outlineLevel="1" x14ac:dyDescent="0.25">
      <c r="B283" s="2391" t="s">
        <v>5150</v>
      </c>
      <c r="C283" s="1805" t="s">
        <v>5149</v>
      </c>
      <c r="D283" s="2406">
        <v>1</v>
      </c>
      <c r="E283" s="1338">
        <v>0</v>
      </c>
      <c r="F283" s="1338" t="s">
        <v>1252</v>
      </c>
      <c r="G283" s="1338" t="s">
        <v>848</v>
      </c>
      <c r="H283" s="1338">
        <v>1</v>
      </c>
      <c r="I283" s="1517"/>
      <c r="J283" s="2392"/>
    </row>
    <row r="284" spans="2:10" s="101" customFormat="1" ht="18" outlineLevel="1" x14ac:dyDescent="0.25">
      <c r="B284" s="2391" t="s">
        <v>5318</v>
      </c>
      <c r="C284" s="1805" t="s">
        <v>5319</v>
      </c>
      <c r="D284" s="2406">
        <v>5</v>
      </c>
      <c r="E284" s="1338">
        <v>0</v>
      </c>
      <c r="F284" s="1338" t="s">
        <v>1252</v>
      </c>
      <c r="G284" s="1338" t="s">
        <v>848</v>
      </c>
      <c r="H284" s="1338">
        <v>1</v>
      </c>
      <c r="I284" s="1517"/>
      <c r="J284" s="2392"/>
    </row>
    <row r="285" spans="2:10" s="101" customFormat="1" ht="18" outlineLevel="1" x14ac:dyDescent="0.25">
      <c r="B285" s="2391" t="s">
        <v>5320</v>
      </c>
      <c r="C285" s="1805" t="s">
        <v>5319</v>
      </c>
      <c r="D285" s="2406">
        <v>1</v>
      </c>
      <c r="E285" s="1338">
        <v>0</v>
      </c>
      <c r="F285" s="1338" t="s">
        <v>1252</v>
      </c>
      <c r="G285" s="1338" t="s">
        <v>848</v>
      </c>
      <c r="H285" s="1338">
        <v>1</v>
      </c>
      <c r="I285" s="1517"/>
      <c r="J285" s="2392"/>
    </row>
    <row r="286" spans="2:10" s="101" customFormat="1" ht="18" outlineLevel="1" x14ac:dyDescent="0.25">
      <c r="B286" s="2391" t="s">
        <v>5321</v>
      </c>
      <c r="C286" s="1805" t="s">
        <v>5322</v>
      </c>
      <c r="D286" s="2406">
        <v>5</v>
      </c>
      <c r="E286" s="1338">
        <v>0</v>
      </c>
      <c r="F286" s="1338" t="s">
        <v>1252</v>
      </c>
      <c r="G286" s="1338" t="s">
        <v>848</v>
      </c>
      <c r="H286" s="1338">
        <v>1</v>
      </c>
      <c r="I286" s="1517"/>
      <c r="J286" s="2392"/>
    </row>
    <row r="287" spans="2:10" s="101" customFormat="1" ht="18" outlineLevel="1" x14ac:dyDescent="0.25">
      <c r="B287" s="2391" t="s">
        <v>5323</v>
      </c>
      <c r="C287" s="1805" t="s">
        <v>5322</v>
      </c>
      <c r="D287" s="2406">
        <v>1</v>
      </c>
      <c r="E287" s="1338">
        <v>0</v>
      </c>
      <c r="F287" s="1338" t="s">
        <v>1252</v>
      </c>
      <c r="G287" s="1338" t="s">
        <v>848</v>
      </c>
      <c r="H287" s="1338">
        <v>1</v>
      </c>
      <c r="I287" s="1517"/>
      <c r="J287" s="2392"/>
    </row>
    <row r="288" spans="2:10" s="101" customFormat="1" ht="18" outlineLevel="1" x14ac:dyDescent="0.25">
      <c r="B288" s="1515" t="s">
        <v>5151</v>
      </c>
      <c r="C288" s="1805" t="s">
        <v>5152</v>
      </c>
      <c r="D288" s="2406">
        <v>500</v>
      </c>
      <c r="E288" s="1338">
        <v>0</v>
      </c>
      <c r="F288" s="1338" t="s">
        <v>1252</v>
      </c>
      <c r="G288" s="1338" t="s">
        <v>848</v>
      </c>
      <c r="H288" s="1338">
        <v>1</v>
      </c>
      <c r="I288" s="1517"/>
      <c r="J288" s="1518" t="s">
        <v>5153</v>
      </c>
    </row>
    <row r="289" spans="1:18" s="2407" customFormat="1" ht="30" outlineLevel="1" x14ac:dyDescent="0.25">
      <c r="A289" s="101"/>
      <c r="B289" s="1515" t="s">
        <v>5359</v>
      </c>
      <c r="C289" s="1805" t="s">
        <v>5360</v>
      </c>
      <c r="D289" s="2406">
        <v>500</v>
      </c>
      <c r="E289" s="1338">
        <v>0</v>
      </c>
      <c r="F289" s="1338" t="s">
        <v>1252</v>
      </c>
      <c r="G289" s="1338" t="s">
        <v>848</v>
      </c>
      <c r="H289" s="1338">
        <v>4</v>
      </c>
      <c r="I289" s="1517"/>
      <c r="J289" s="1518" t="s">
        <v>5153</v>
      </c>
      <c r="K289" s="101"/>
      <c r="L289" s="101"/>
      <c r="M289" s="101"/>
      <c r="N289" s="101"/>
      <c r="O289" s="101"/>
      <c r="P289" s="101"/>
    </row>
    <row r="290" spans="1:18" s="101" customFormat="1" ht="18" outlineLevel="1" x14ac:dyDescent="0.25">
      <c r="B290" s="1515" t="s">
        <v>5154</v>
      </c>
      <c r="C290" s="1805" t="s">
        <v>5155</v>
      </c>
      <c r="D290" s="2406">
        <v>500</v>
      </c>
      <c r="E290" s="1338">
        <v>0</v>
      </c>
      <c r="F290" s="1338" t="s">
        <v>1252</v>
      </c>
      <c r="G290" s="1338" t="s">
        <v>848</v>
      </c>
      <c r="H290" s="1338">
        <v>1</v>
      </c>
      <c r="I290" s="1517"/>
      <c r="J290" s="1518"/>
    </row>
    <row r="291" spans="1:18" s="101" customFormat="1" ht="18" outlineLevel="1" x14ac:dyDescent="0.25">
      <c r="B291" s="700" t="s">
        <v>854</v>
      </c>
      <c r="C291" s="776" t="s">
        <v>2538</v>
      </c>
      <c r="D291" s="109">
        <v>0.05</v>
      </c>
      <c r="E291" s="105">
        <v>0</v>
      </c>
      <c r="F291" s="105" t="s">
        <v>1252</v>
      </c>
      <c r="G291" s="105" t="s">
        <v>847</v>
      </c>
      <c r="H291" s="105">
        <v>2</v>
      </c>
      <c r="I291" s="106"/>
      <c r="J291" s="872"/>
    </row>
    <row r="292" spans="1:18" s="101" customFormat="1" ht="18" outlineLevel="1" x14ac:dyDescent="0.25">
      <c r="B292" s="700" t="s">
        <v>1733</v>
      </c>
      <c r="C292" s="776" t="s">
        <v>2539</v>
      </c>
      <c r="D292" s="109">
        <v>0.5</v>
      </c>
      <c r="E292" s="105">
        <v>0</v>
      </c>
      <c r="F292" s="105" t="s">
        <v>1252</v>
      </c>
      <c r="G292" s="105" t="s">
        <v>847</v>
      </c>
      <c r="H292" s="105">
        <v>2</v>
      </c>
      <c r="I292" s="106"/>
      <c r="J292" s="872"/>
    </row>
    <row r="293" spans="1:18" s="101" customFormat="1" ht="18" outlineLevel="1" x14ac:dyDescent="0.25">
      <c r="B293" s="700" t="s">
        <v>1734</v>
      </c>
      <c r="C293" s="777" t="s">
        <v>2540</v>
      </c>
      <c r="D293" s="108">
        <v>7.0000000000000001E-3</v>
      </c>
      <c r="E293" s="105">
        <v>0</v>
      </c>
      <c r="F293" s="105" t="s">
        <v>1252</v>
      </c>
      <c r="G293" s="105" t="s">
        <v>847</v>
      </c>
      <c r="H293" s="105">
        <v>3</v>
      </c>
      <c r="I293" s="106"/>
      <c r="J293" s="872"/>
    </row>
    <row r="294" spans="1:18" s="101" customFormat="1" ht="18" outlineLevel="1" x14ac:dyDescent="0.25">
      <c r="B294" s="1515" t="s">
        <v>4891</v>
      </c>
      <c r="C294" s="1516" t="s">
        <v>4892</v>
      </c>
      <c r="D294" s="1519">
        <v>9.9999999999999995E-7</v>
      </c>
      <c r="E294" s="1338">
        <v>0</v>
      </c>
      <c r="F294" s="1338" t="s">
        <v>1252</v>
      </c>
      <c r="G294" s="1338" t="s">
        <v>847</v>
      </c>
      <c r="H294" s="1338">
        <v>6</v>
      </c>
      <c r="I294" s="1517"/>
      <c r="J294" s="1518"/>
    </row>
    <row r="295" spans="1:18" s="101" customFormat="1" ht="18" outlineLevel="1" x14ac:dyDescent="0.25">
      <c r="B295" s="1515" t="s">
        <v>4904</v>
      </c>
      <c r="C295" s="1516" t="s">
        <v>4924</v>
      </c>
      <c r="D295" s="1605">
        <v>10</v>
      </c>
      <c r="E295" s="1338">
        <v>0</v>
      </c>
      <c r="F295" s="1338" t="s">
        <v>1252</v>
      </c>
      <c r="G295" s="105" t="s">
        <v>848</v>
      </c>
      <c r="H295" s="1338">
        <v>0</v>
      </c>
      <c r="I295" s="1517"/>
      <c r="J295" s="1518"/>
    </row>
    <row r="296" spans="1:18" s="101" customFormat="1" ht="18" outlineLevel="1" x14ac:dyDescent="0.25">
      <c r="B296" s="700" t="s">
        <v>855</v>
      </c>
      <c r="C296" s="774" t="s">
        <v>2541</v>
      </c>
      <c r="D296" s="107">
        <v>1</v>
      </c>
      <c r="E296" s="105">
        <v>0</v>
      </c>
      <c r="F296" s="105" t="s">
        <v>1252</v>
      </c>
      <c r="G296" s="105" t="s">
        <v>847</v>
      </c>
      <c r="H296" s="105">
        <v>1</v>
      </c>
      <c r="I296" s="106"/>
      <c r="J296" s="872"/>
    </row>
    <row r="297" spans="1:18" s="101" customFormat="1" ht="18" outlineLevel="1" x14ac:dyDescent="0.25">
      <c r="B297" s="700" t="s">
        <v>2535</v>
      </c>
      <c r="C297" s="775" t="s">
        <v>2890</v>
      </c>
      <c r="D297" s="111">
        <v>5.0000000000000001E-4</v>
      </c>
      <c r="E297" s="105">
        <v>0</v>
      </c>
      <c r="F297" s="105" t="s">
        <v>1252</v>
      </c>
      <c r="G297" s="105" t="s">
        <v>850</v>
      </c>
      <c r="H297" s="105">
        <v>4</v>
      </c>
      <c r="I297" s="106"/>
      <c r="J297" s="872"/>
    </row>
    <row r="298" spans="1:18" s="115" customFormat="1" ht="18" outlineLevel="1" x14ac:dyDescent="0.25">
      <c r="B298" s="700" t="s">
        <v>2339</v>
      </c>
      <c r="C298" s="777" t="s">
        <v>2542</v>
      </c>
      <c r="D298" s="108">
        <v>1E-3</v>
      </c>
      <c r="E298" s="105">
        <v>0</v>
      </c>
      <c r="F298" s="105" t="s">
        <v>1252</v>
      </c>
      <c r="G298" s="105" t="s">
        <v>850</v>
      </c>
      <c r="H298" s="105">
        <v>3</v>
      </c>
      <c r="I298" s="106"/>
      <c r="J298" s="872"/>
      <c r="K298" s="101"/>
      <c r="L298" s="101"/>
      <c r="M298" s="101"/>
      <c r="N298" s="101"/>
      <c r="O298" s="101"/>
      <c r="P298" s="101"/>
      <c r="Q298" s="101"/>
      <c r="R298" s="101"/>
    </row>
    <row r="299" spans="1:18" s="101" customFormat="1" ht="18" outlineLevel="1" x14ac:dyDescent="0.25">
      <c r="B299" s="1515" t="s">
        <v>2338</v>
      </c>
      <c r="C299" s="2327" t="s">
        <v>2543</v>
      </c>
      <c r="D299" s="2328">
        <v>1E-3</v>
      </c>
      <c r="E299" s="2329">
        <v>0</v>
      </c>
      <c r="F299" s="2329" t="s">
        <v>1252</v>
      </c>
      <c r="G299" s="2329" t="s">
        <v>850</v>
      </c>
      <c r="H299" s="2329">
        <v>3</v>
      </c>
      <c r="I299" s="2330"/>
      <c r="J299" s="1518"/>
    </row>
    <row r="300" spans="1:18" s="101" customFormat="1" ht="18" outlineLevel="1" x14ac:dyDescent="0.25">
      <c r="B300" s="2317" t="s">
        <v>5271</v>
      </c>
      <c r="C300" s="2318" t="s">
        <v>5272</v>
      </c>
      <c r="D300" s="2319">
        <v>3.36</v>
      </c>
      <c r="E300" s="2320">
        <v>0</v>
      </c>
      <c r="F300" s="2320" t="s">
        <v>1252</v>
      </c>
      <c r="G300" s="2320" t="s">
        <v>444</v>
      </c>
      <c r="H300" s="2320">
        <v>2</v>
      </c>
      <c r="I300" s="2320"/>
      <c r="J300" s="2321" t="s">
        <v>5273</v>
      </c>
    </row>
    <row r="301" spans="1:18" s="101" customFormat="1" ht="18" outlineLevel="1" x14ac:dyDescent="0.25">
      <c r="B301" s="2317" t="s">
        <v>5274</v>
      </c>
      <c r="C301" s="2318" t="s">
        <v>5275</v>
      </c>
      <c r="D301" s="2319">
        <v>3.36</v>
      </c>
      <c r="E301" s="2320">
        <v>0</v>
      </c>
      <c r="F301" s="2320" t="s">
        <v>1252</v>
      </c>
      <c r="G301" s="2320" t="s">
        <v>444</v>
      </c>
      <c r="H301" s="2320">
        <v>2</v>
      </c>
      <c r="I301" s="2320"/>
      <c r="J301" s="2321" t="s">
        <v>5273</v>
      </c>
    </row>
    <row r="302" spans="1:18" s="101" customFormat="1" ht="18" outlineLevel="1" x14ac:dyDescent="0.25">
      <c r="B302" s="2317" t="s">
        <v>5276</v>
      </c>
      <c r="C302" s="2318" t="s">
        <v>5277</v>
      </c>
      <c r="D302" s="2319">
        <v>5000</v>
      </c>
      <c r="E302" s="2320">
        <v>0</v>
      </c>
      <c r="F302" s="2320" t="s">
        <v>1252</v>
      </c>
      <c r="G302" s="2320" t="s">
        <v>5278</v>
      </c>
      <c r="H302" s="2320">
        <v>0</v>
      </c>
      <c r="I302" s="2320"/>
      <c r="J302" s="2321" t="s">
        <v>5279</v>
      </c>
    </row>
    <row r="303" spans="1:18" s="101" customFormat="1" ht="18.75" outlineLevel="1" thickBot="1" x14ac:dyDescent="0.3">
      <c r="B303" s="2322" t="s">
        <v>5280</v>
      </c>
      <c r="C303" s="2323" t="s">
        <v>5281</v>
      </c>
      <c r="D303" s="2324">
        <v>20000</v>
      </c>
      <c r="E303" s="2325">
        <v>0</v>
      </c>
      <c r="F303" s="2325" t="s">
        <v>1252</v>
      </c>
      <c r="G303" s="2325" t="s">
        <v>5278</v>
      </c>
      <c r="H303" s="2325">
        <v>0</v>
      </c>
      <c r="I303" s="2325"/>
      <c r="J303" s="2326" t="s">
        <v>5282</v>
      </c>
    </row>
    <row r="304" spans="1:18" s="101" customFormat="1" ht="15.75" thickBot="1" x14ac:dyDescent="0.3">
      <c r="B304" s="112"/>
      <c r="C304" s="315"/>
      <c r="D304" s="102"/>
      <c r="E304" s="102"/>
      <c r="F304" s="102"/>
      <c r="G304" s="102"/>
      <c r="H304" s="102"/>
      <c r="I304" s="112"/>
      <c r="J304" s="1926"/>
    </row>
    <row r="305" spans="1:10" s="101" customFormat="1" ht="15.75" thickBot="1" x14ac:dyDescent="0.3">
      <c r="B305" s="112"/>
      <c r="C305" s="778" t="s">
        <v>1191</v>
      </c>
      <c r="D305" s="102" t="s">
        <v>301</v>
      </c>
      <c r="E305" s="102"/>
      <c r="F305" s="102"/>
      <c r="G305" s="102"/>
      <c r="H305" s="102"/>
      <c r="I305" s="112"/>
      <c r="J305" s="1926"/>
    </row>
    <row r="306" spans="1:10" s="101" customFormat="1" ht="15.75" thickBot="1" x14ac:dyDescent="0.3">
      <c r="B306" s="216" t="s">
        <v>0</v>
      </c>
      <c r="C306" s="721" t="s">
        <v>1</v>
      </c>
      <c r="D306" s="220" t="s">
        <v>840</v>
      </c>
      <c r="E306" s="220" t="s">
        <v>471</v>
      </c>
      <c r="F306" s="220" t="s">
        <v>472</v>
      </c>
      <c r="G306" s="220" t="s">
        <v>2</v>
      </c>
      <c r="H306" s="220" t="s">
        <v>300</v>
      </c>
      <c r="I306" s="218" t="s">
        <v>116</v>
      </c>
      <c r="J306" s="815" t="s">
        <v>117</v>
      </c>
    </row>
    <row r="307" spans="1:10" s="101" customFormat="1" ht="18.75" outlineLevel="1" thickBot="1" x14ac:dyDescent="0.3">
      <c r="A307" s="101" t="s">
        <v>3921</v>
      </c>
      <c r="B307" s="1932" t="s">
        <v>1192</v>
      </c>
      <c r="C307" s="1954" t="s">
        <v>2546</v>
      </c>
      <c r="D307" s="1976">
        <v>0.4</v>
      </c>
      <c r="E307" s="1976">
        <v>0</v>
      </c>
      <c r="F307" s="1976">
        <v>1</v>
      </c>
      <c r="G307" s="2005" t="s">
        <v>1981</v>
      </c>
      <c r="H307" s="2005">
        <v>2</v>
      </c>
      <c r="I307" s="2014"/>
      <c r="J307" s="2031"/>
    </row>
    <row r="308" spans="1:10" s="101" customFormat="1" ht="15.75" thickBot="1" x14ac:dyDescent="0.3">
      <c r="B308" s="112"/>
      <c r="C308" s="315"/>
      <c r="D308" s="102"/>
      <c r="E308" s="102"/>
      <c r="F308" s="102"/>
      <c r="G308" s="102"/>
      <c r="H308" s="102"/>
      <c r="I308" s="112"/>
      <c r="J308" s="1926"/>
    </row>
    <row r="309" spans="1:10" s="101" customFormat="1" ht="15.75" thickBot="1" x14ac:dyDescent="0.3">
      <c r="B309" s="112"/>
      <c r="C309" s="755" t="s">
        <v>276</v>
      </c>
      <c r="D309" s="102" t="s">
        <v>301</v>
      </c>
      <c r="E309" s="102"/>
      <c r="F309" s="102"/>
      <c r="G309" s="102"/>
      <c r="H309" s="102"/>
      <c r="I309" s="112"/>
      <c r="J309" s="1926"/>
    </row>
    <row r="310" spans="1:10" ht="15.75" thickBot="1" x14ac:dyDescent="0.3">
      <c r="B310" s="617" t="s">
        <v>0</v>
      </c>
      <c r="C310" s="811" t="s">
        <v>1</v>
      </c>
      <c r="D310" s="619" t="s">
        <v>840</v>
      </c>
      <c r="E310" s="619" t="s">
        <v>471</v>
      </c>
      <c r="F310" s="619" t="s">
        <v>472</v>
      </c>
      <c r="G310" s="619" t="s">
        <v>2</v>
      </c>
      <c r="H310" s="619" t="s">
        <v>300</v>
      </c>
      <c r="I310" s="618" t="s">
        <v>116</v>
      </c>
      <c r="J310" s="906" t="s">
        <v>117</v>
      </c>
    </row>
    <row r="311" spans="1:10" s="101" customFormat="1" ht="18" outlineLevel="1" x14ac:dyDescent="0.25">
      <c r="B311" s="701" t="s">
        <v>856</v>
      </c>
      <c r="C311" s="779" t="s">
        <v>1235</v>
      </c>
      <c r="D311" s="183">
        <v>1.04</v>
      </c>
      <c r="E311" s="183">
        <v>0</v>
      </c>
      <c r="F311" s="183" t="s">
        <v>1252</v>
      </c>
      <c r="G311" s="183" t="s">
        <v>1981</v>
      </c>
      <c r="H311" s="184">
        <v>3</v>
      </c>
      <c r="I311" s="182"/>
      <c r="J311" s="873"/>
    </row>
    <row r="312" spans="1:10" s="101" customFormat="1" ht="18" outlineLevel="1" x14ac:dyDescent="0.25">
      <c r="B312" s="132" t="s">
        <v>857</v>
      </c>
      <c r="C312" s="780" t="s">
        <v>1228</v>
      </c>
      <c r="D312" s="169">
        <v>1.04</v>
      </c>
      <c r="E312" s="169">
        <v>0</v>
      </c>
      <c r="F312" s="169" t="s">
        <v>1252</v>
      </c>
      <c r="G312" s="169" t="s">
        <v>1981</v>
      </c>
      <c r="H312" s="170">
        <v>3</v>
      </c>
      <c r="I312" s="171"/>
      <c r="J312" s="874"/>
    </row>
    <row r="313" spans="1:10" s="101" customFormat="1" ht="18" outlineLevel="1" x14ac:dyDescent="0.25">
      <c r="B313" s="132" t="s">
        <v>858</v>
      </c>
      <c r="C313" s="780" t="s">
        <v>1236</v>
      </c>
      <c r="D313" s="169">
        <v>1.03</v>
      </c>
      <c r="E313" s="169">
        <v>0</v>
      </c>
      <c r="F313" s="169" t="s">
        <v>1252</v>
      </c>
      <c r="G313" s="169" t="s">
        <v>1981</v>
      </c>
      <c r="H313" s="170">
        <v>3</v>
      </c>
      <c r="I313" s="171"/>
      <c r="J313" s="874"/>
    </row>
    <row r="314" spans="1:10" s="101" customFormat="1" ht="18" outlineLevel="1" x14ac:dyDescent="0.25">
      <c r="B314" s="132" t="s">
        <v>859</v>
      </c>
      <c r="C314" s="780" t="s">
        <v>1237</v>
      </c>
      <c r="D314" s="169">
        <v>1.06</v>
      </c>
      <c r="E314" s="169">
        <v>0</v>
      </c>
      <c r="F314" s="169" t="s">
        <v>1252</v>
      </c>
      <c r="G314" s="169" t="s">
        <v>1981</v>
      </c>
      <c r="H314" s="170">
        <v>3</v>
      </c>
      <c r="I314" s="171"/>
      <c r="J314" s="874"/>
    </row>
    <row r="315" spans="1:10" s="101" customFormat="1" ht="18" outlineLevel="1" x14ac:dyDescent="0.25">
      <c r="B315" s="132" t="s">
        <v>860</v>
      </c>
      <c r="C315" s="780" t="s">
        <v>1238</v>
      </c>
      <c r="D315" s="169">
        <v>1.03</v>
      </c>
      <c r="E315" s="169">
        <v>0</v>
      </c>
      <c r="F315" s="169" t="s">
        <v>1252</v>
      </c>
      <c r="G315" s="169" t="s">
        <v>1981</v>
      </c>
      <c r="H315" s="170">
        <v>3</v>
      </c>
      <c r="I315" s="171"/>
      <c r="J315" s="874"/>
    </row>
    <row r="316" spans="1:10" s="101" customFormat="1" ht="18" outlineLevel="1" x14ac:dyDescent="0.25">
      <c r="B316" s="592" t="s">
        <v>4565</v>
      </c>
      <c r="C316" s="737" t="s">
        <v>4566</v>
      </c>
      <c r="D316" s="598">
        <v>1.04</v>
      </c>
      <c r="E316" s="598">
        <v>0</v>
      </c>
      <c r="F316" s="598" t="s">
        <v>1252</v>
      </c>
      <c r="G316" s="598" t="s">
        <v>1981</v>
      </c>
      <c r="H316" s="599">
        <v>3</v>
      </c>
      <c r="I316" s="442"/>
      <c r="J316" s="875"/>
    </row>
    <row r="317" spans="1:10" s="101" customFormat="1" ht="18" outlineLevel="1" x14ac:dyDescent="0.25">
      <c r="B317" s="702" t="s">
        <v>1717</v>
      </c>
      <c r="C317" s="781" t="s">
        <v>1239</v>
      </c>
      <c r="D317" s="291">
        <v>1.04</v>
      </c>
      <c r="E317" s="291">
        <v>0</v>
      </c>
      <c r="F317" s="291" t="s">
        <v>1252</v>
      </c>
      <c r="G317" s="291" t="s">
        <v>1981</v>
      </c>
      <c r="H317" s="292">
        <v>3</v>
      </c>
      <c r="I317" s="290"/>
      <c r="J317" s="876"/>
    </row>
    <row r="318" spans="1:10" s="101" customFormat="1" ht="18" outlineLevel="1" x14ac:dyDescent="0.25">
      <c r="B318" s="703" t="s">
        <v>2544</v>
      </c>
      <c r="C318" s="782" t="s">
        <v>2545</v>
      </c>
      <c r="D318" s="347">
        <v>1.04</v>
      </c>
      <c r="E318" s="347">
        <v>0</v>
      </c>
      <c r="F318" s="347" t="s">
        <v>1252</v>
      </c>
      <c r="G318" s="347" t="s">
        <v>1981</v>
      </c>
      <c r="H318" s="348">
        <v>3</v>
      </c>
      <c r="I318" s="341"/>
      <c r="J318" s="877"/>
    </row>
    <row r="319" spans="1:10" s="101" customFormat="1" ht="18" outlineLevel="1" x14ac:dyDescent="0.25">
      <c r="B319" s="592" t="s">
        <v>4567</v>
      </c>
      <c r="C319" s="737" t="s">
        <v>4568</v>
      </c>
      <c r="D319" s="657">
        <v>1.04</v>
      </c>
      <c r="E319" s="598">
        <v>0</v>
      </c>
      <c r="F319" s="598" t="s">
        <v>1252</v>
      </c>
      <c r="G319" s="598" t="s">
        <v>1981</v>
      </c>
      <c r="H319" s="599">
        <v>3</v>
      </c>
      <c r="I319" s="442"/>
      <c r="J319" s="875"/>
    </row>
    <row r="320" spans="1:10" s="101" customFormat="1" ht="18" outlineLevel="1" x14ac:dyDescent="0.25">
      <c r="B320" s="702" t="s">
        <v>861</v>
      </c>
      <c r="C320" s="781" t="s">
        <v>1240</v>
      </c>
      <c r="D320" s="291">
        <v>1.04</v>
      </c>
      <c r="E320" s="291">
        <v>0</v>
      </c>
      <c r="F320" s="291" t="s">
        <v>1252</v>
      </c>
      <c r="G320" s="291" t="s">
        <v>1981</v>
      </c>
      <c r="H320" s="292">
        <v>3</v>
      </c>
      <c r="I320" s="290"/>
      <c r="J320" s="876"/>
    </row>
    <row r="321" spans="2:10" s="101" customFormat="1" ht="18" outlineLevel="1" x14ac:dyDescent="0.25">
      <c r="B321" s="703" t="s">
        <v>4008</v>
      </c>
      <c r="C321" s="782" t="s">
        <v>4009</v>
      </c>
      <c r="D321" s="347">
        <v>1.03</v>
      </c>
      <c r="E321" s="347">
        <v>0</v>
      </c>
      <c r="F321" s="347" t="s">
        <v>1252</v>
      </c>
      <c r="G321" s="347" t="s">
        <v>1981</v>
      </c>
      <c r="H321" s="348">
        <v>3</v>
      </c>
      <c r="I321" s="341"/>
      <c r="J321" s="877"/>
    </row>
    <row r="322" spans="2:10" s="101" customFormat="1" ht="18" outlineLevel="1" x14ac:dyDescent="0.25">
      <c r="B322" s="702" t="s">
        <v>4010</v>
      </c>
      <c r="C322" s="2438" t="s">
        <v>5428</v>
      </c>
      <c r="D322" s="291">
        <v>1.0640000000000001</v>
      </c>
      <c r="E322" s="291">
        <v>0</v>
      </c>
      <c r="F322" s="291" t="s">
        <v>1252</v>
      </c>
      <c r="G322" s="291" t="s">
        <v>1981</v>
      </c>
      <c r="H322" s="292">
        <v>3</v>
      </c>
      <c r="I322" s="290"/>
      <c r="J322" s="876" t="s">
        <v>2119</v>
      </c>
    </row>
    <row r="323" spans="2:10" s="101" customFormat="1" ht="18" outlineLevel="1" x14ac:dyDescent="0.25">
      <c r="B323" s="702" t="s">
        <v>2109</v>
      </c>
      <c r="C323" s="781" t="s">
        <v>1241</v>
      </c>
      <c r="D323" s="411">
        <v>1.03</v>
      </c>
      <c r="E323" s="291">
        <v>0</v>
      </c>
      <c r="F323" s="291" t="s">
        <v>1252</v>
      </c>
      <c r="G323" s="291" t="s">
        <v>1981</v>
      </c>
      <c r="H323" s="292">
        <v>3</v>
      </c>
      <c r="I323" s="290"/>
      <c r="J323" s="876"/>
    </row>
    <row r="324" spans="2:10" s="101" customFormat="1" ht="18" outlineLevel="1" x14ac:dyDescent="0.25">
      <c r="B324" s="2439" t="s">
        <v>5429</v>
      </c>
      <c r="C324" s="2440" t="s">
        <v>1240</v>
      </c>
      <c r="D324" s="2450">
        <v>1.0720000000000001</v>
      </c>
      <c r="E324" s="180">
        <v>0</v>
      </c>
      <c r="F324" s="180" t="s">
        <v>1252</v>
      </c>
      <c r="G324" s="180" t="s">
        <v>1981</v>
      </c>
      <c r="H324" s="181">
        <v>3</v>
      </c>
      <c r="I324" s="179"/>
      <c r="J324" s="878"/>
    </row>
    <row r="325" spans="2:10" s="101" customFormat="1" ht="18" outlineLevel="1" x14ac:dyDescent="0.25">
      <c r="B325" s="678" t="s">
        <v>2240</v>
      </c>
      <c r="C325" s="783" t="s">
        <v>2241</v>
      </c>
      <c r="D325" s="177">
        <v>1.0720000000000001</v>
      </c>
      <c r="E325" s="163">
        <v>0</v>
      </c>
      <c r="F325" s="163" t="s">
        <v>1252</v>
      </c>
      <c r="G325" s="163" t="s">
        <v>1981</v>
      </c>
      <c r="H325" s="178">
        <v>3</v>
      </c>
      <c r="I325" s="162"/>
      <c r="J325" s="879"/>
    </row>
    <row r="326" spans="2:10" s="101" customFormat="1" ht="18" outlineLevel="1" x14ac:dyDescent="0.25">
      <c r="B326" s="678" t="s">
        <v>2242</v>
      </c>
      <c r="C326" s="783" t="s">
        <v>2243</v>
      </c>
      <c r="D326" s="177">
        <v>1.03</v>
      </c>
      <c r="E326" s="163">
        <v>0</v>
      </c>
      <c r="F326" s="163" t="s">
        <v>1252</v>
      </c>
      <c r="G326" s="163" t="s">
        <v>1981</v>
      </c>
      <c r="H326" s="178">
        <v>3</v>
      </c>
      <c r="I326" s="162"/>
      <c r="J326" s="879"/>
    </row>
    <row r="327" spans="2:10" s="101" customFormat="1" ht="18" outlineLevel="1" x14ac:dyDescent="0.25">
      <c r="B327" s="678" t="s">
        <v>2244</v>
      </c>
      <c r="C327" s="783" t="s">
        <v>2245</v>
      </c>
      <c r="D327" s="177">
        <v>1.06</v>
      </c>
      <c r="E327" s="163">
        <v>0</v>
      </c>
      <c r="F327" s="163" t="s">
        <v>1252</v>
      </c>
      <c r="G327" s="163" t="s">
        <v>1981</v>
      </c>
      <c r="H327" s="178">
        <v>3</v>
      </c>
      <c r="I327" s="162"/>
      <c r="J327" s="879"/>
    </row>
    <row r="328" spans="2:10" s="101" customFormat="1" ht="18" outlineLevel="1" x14ac:dyDescent="0.25">
      <c r="B328" s="678" t="s">
        <v>2246</v>
      </c>
      <c r="C328" s="783" t="s">
        <v>2247</v>
      </c>
      <c r="D328" s="177">
        <v>1.03</v>
      </c>
      <c r="E328" s="163">
        <v>0</v>
      </c>
      <c r="F328" s="163" t="s">
        <v>1252</v>
      </c>
      <c r="G328" s="163" t="s">
        <v>1981</v>
      </c>
      <c r="H328" s="178">
        <v>3</v>
      </c>
      <c r="I328" s="162"/>
      <c r="J328" s="879"/>
    </row>
    <row r="329" spans="2:10" s="101" customFormat="1" ht="18" outlineLevel="1" x14ac:dyDescent="0.25">
      <c r="B329" s="684" t="s">
        <v>2248</v>
      </c>
      <c r="C329" s="784" t="s">
        <v>2249</v>
      </c>
      <c r="D329" s="309">
        <v>1.01</v>
      </c>
      <c r="E329" s="306">
        <v>0</v>
      </c>
      <c r="F329" s="306" t="s">
        <v>1252</v>
      </c>
      <c r="G329" s="306" t="s">
        <v>1981</v>
      </c>
      <c r="H329" s="310">
        <v>3</v>
      </c>
      <c r="I329" s="305"/>
      <c r="J329" s="845"/>
    </row>
    <row r="330" spans="2:10" s="101" customFormat="1" ht="18" outlineLevel="1" x14ac:dyDescent="0.25">
      <c r="B330" s="684" t="s">
        <v>2250</v>
      </c>
      <c r="C330" s="784" t="s">
        <v>2251</v>
      </c>
      <c r="D330" s="309">
        <v>1.03</v>
      </c>
      <c r="E330" s="306">
        <v>0</v>
      </c>
      <c r="F330" s="306" t="s">
        <v>1252</v>
      </c>
      <c r="G330" s="306" t="s">
        <v>1981</v>
      </c>
      <c r="H330" s="310">
        <v>3</v>
      </c>
      <c r="I330" s="305"/>
      <c r="J330" s="845"/>
    </row>
    <row r="331" spans="2:10" s="101" customFormat="1" ht="18" outlineLevel="1" x14ac:dyDescent="0.25">
      <c r="B331" s="133" t="s">
        <v>862</v>
      </c>
      <c r="C331" s="785" t="s">
        <v>1242</v>
      </c>
      <c r="D331" s="262">
        <v>1.03</v>
      </c>
      <c r="E331" s="262">
        <v>0</v>
      </c>
      <c r="F331" s="262" t="s">
        <v>1252</v>
      </c>
      <c r="G331" s="262" t="s">
        <v>1981</v>
      </c>
      <c r="H331" s="263">
        <v>3</v>
      </c>
      <c r="I331" s="261"/>
      <c r="J331" s="880"/>
    </row>
    <row r="332" spans="2:10" s="101" customFormat="1" ht="18" outlineLevel="1" x14ac:dyDescent="0.25">
      <c r="B332" s="133" t="s">
        <v>863</v>
      </c>
      <c r="C332" s="785" t="s">
        <v>1243</v>
      </c>
      <c r="D332" s="262">
        <v>1.03</v>
      </c>
      <c r="E332" s="262">
        <v>0</v>
      </c>
      <c r="F332" s="262" t="s">
        <v>1252</v>
      </c>
      <c r="G332" s="262" t="s">
        <v>1981</v>
      </c>
      <c r="H332" s="263">
        <v>3</v>
      </c>
      <c r="I332" s="261"/>
      <c r="J332" s="880"/>
    </row>
    <row r="333" spans="2:10" s="101" customFormat="1" ht="18" outlineLevel="1" x14ac:dyDescent="0.25">
      <c r="B333" s="691" t="s">
        <v>864</v>
      </c>
      <c r="C333" s="786" t="s">
        <v>1244</v>
      </c>
      <c r="D333" s="259">
        <v>1.03</v>
      </c>
      <c r="E333" s="259">
        <v>0</v>
      </c>
      <c r="F333" s="259" t="s">
        <v>1252</v>
      </c>
      <c r="G333" s="259" t="s">
        <v>1981</v>
      </c>
      <c r="H333" s="260">
        <v>3</v>
      </c>
      <c r="I333" s="258"/>
      <c r="J333" s="881"/>
    </row>
    <row r="334" spans="2:10" s="101" customFormat="1" ht="18" outlineLevel="1" x14ac:dyDescent="0.25">
      <c r="B334" s="691" t="s">
        <v>865</v>
      </c>
      <c r="C334" s="786" t="s">
        <v>1245</v>
      </c>
      <c r="D334" s="259">
        <v>1.03</v>
      </c>
      <c r="E334" s="259">
        <v>0</v>
      </c>
      <c r="F334" s="259" t="s">
        <v>1252</v>
      </c>
      <c r="G334" s="259" t="s">
        <v>1981</v>
      </c>
      <c r="H334" s="260">
        <v>3</v>
      </c>
      <c r="I334" s="258"/>
      <c r="J334" s="881"/>
    </row>
    <row r="335" spans="2:10" s="101" customFormat="1" ht="18" outlineLevel="1" x14ac:dyDescent="0.25">
      <c r="B335" s="1625" t="s">
        <v>4940</v>
      </c>
      <c r="C335" s="1614" t="s">
        <v>4941</v>
      </c>
      <c r="D335" s="1626">
        <v>1.04</v>
      </c>
      <c r="E335" s="1626">
        <v>0</v>
      </c>
      <c r="F335" s="1626" t="s">
        <v>1252</v>
      </c>
      <c r="G335" s="1626" t="s">
        <v>1981</v>
      </c>
      <c r="H335" s="1627">
        <v>3</v>
      </c>
      <c r="I335" s="1614"/>
      <c r="J335" s="1628"/>
    </row>
    <row r="336" spans="2:10" s="101" customFormat="1" ht="18" outlineLevel="1" x14ac:dyDescent="0.25">
      <c r="B336" s="1625" t="s">
        <v>4942</v>
      </c>
      <c r="C336" s="1614" t="s">
        <v>4943</v>
      </c>
      <c r="D336" s="1626">
        <v>1.03</v>
      </c>
      <c r="E336" s="1626">
        <v>0</v>
      </c>
      <c r="F336" s="1626" t="s">
        <v>1252</v>
      </c>
      <c r="G336" s="1626" t="s">
        <v>1981</v>
      </c>
      <c r="H336" s="1627">
        <v>3</v>
      </c>
      <c r="I336" s="1614"/>
      <c r="J336" s="1628"/>
    </row>
    <row r="337" spans="2:14" s="101" customFormat="1" ht="18" outlineLevel="1" x14ac:dyDescent="0.25">
      <c r="B337" s="172" t="s">
        <v>866</v>
      </c>
      <c r="C337" s="787" t="s">
        <v>1229</v>
      </c>
      <c r="D337" s="173">
        <v>1.03</v>
      </c>
      <c r="E337" s="173">
        <v>0</v>
      </c>
      <c r="F337" s="173" t="s">
        <v>1252</v>
      </c>
      <c r="G337" s="173" t="s">
        <v>1981</v>
      </c>
      <c r="H337" s="110">
        <v>3</v>
      </c>
      <c r="I337" s="195"/>
      <c r="J337" s="882"/>
    </row>
    <row r="338" spans="2:14" s="101" customFormat="1" ht="18" outlineLevel="1" x14ac:dyDescent="0.25">
      <c r="B338" s="1520" t="s">
        <v>5350</v>
      </c>
      <c r="C338" s="2330" t="s">
        <v>5351</v>
      </c>
      <c r="D338" s="2403">
        <v>1.03</v>
      </c>
      <c r="E338" s="2403">
        <v>0</v>
      </c>
      <c r="F338" s="2403" t="s">
        <v>1252</v>
      </c>
      <c r="G338" s="2403" t="s">
        <v>1981</v>
      </c>
      <c r="H338" s="2404">
        <v>3</v>
      </c>
      <c r="I338" s="2405"/>
      <c r="J338" s="1525"/>
    </row>
    <row r="339" spans="2:14" s="101" customFormat="1" ht="18" outlineLevel="1" x14ac:dyDescent="0.25">
      <c r="B339" s="1520" t="s">
        <v>5352</v>
      </c>
      <c r="C339" s="2330" t="s">
        <v>5353</v>
      </c>
      <c r="D339" s="2403">
        <v>1.03</v>
      </c>
      <c r="E339" s="2403">
        <v>0</v>
      </c>
      <c r="F339" s="2403" t="s">
        <v>1252</v>
      </c>
      <c r="G339" s="2403" t="s">
        <v>1981</v>
      </c>
      <c r="H339" s="2404">
        <v>3</v>
      </c>
      <c r="I339" s="2405"/>
      <c r="J339" s="1525"/>
    </row>
    <row r="340" spans="2:14" s="101" customFormat="1" ht="18" outlineLevel="1" x14ac:dyDescent="0.25">
      <c r="B340" s="172" t="s">
        <v>867</v>
      </c>
      <c r="C340" s="787" t="s">
        <v>1230</v>
      </c>
      <c r="D340" s="173">
        <v>1.03</v>
      </c>
      <c r="E340" s="173">
        <v>0</v>
      </c>
      <c r="F340" s="173" t="s">
        <v>1252</v>
      </c>
      <c r="G340" s="173" t="s">
        <v>1981</v>
      </c>
      <c r="H340" s="110">
        <v>3</v>
      </c>
      <c r="I340" s="195"/>
      <c r="J340" s="882"/>
    </row>
    <row r="341" spans="2:14" s="101" customFormat="1" ht="18" outlineLevel="1" x14ac:dyDescent="0.25">
      <c r="B341" s="172" t="s">
        <v>868</v>
      </c>
      <c r="C341" s="787" t="s">
        <v>1231</v>
      </c>
      <c r="D341" s="173">
        <v>1.03</v>
      </c>
      <c r="E341" s="173">
        <v>0</v>
      </c>
      <c r="F341" s="173" t="s">
        <v>1252</v>
      </c>
      <c r="G341" s="173" t="s">
        <v>1981</v>
      </c>
      <c r="H341" s="110">
        <v>3</v>
      </c>
      <c r="I341" s="195"/>
      <c r="J341" s="882"/>
    </row>
    <row r="342" spans="2:14" s="101" customFormat="1" ht="18" outlineLevel="1" x14ac:dyDescent="0.25">
      <c r="B342" s="172" t="s">
        <v>1732</v>
      </c>
      <c r="C342" s="787" t="s">
        <v>1232</v>
      </c>
      <c r="D342" s="173">
        <v>1.03</v>
      </c>
      <c r="E342" s="173">
        <v>0</v>
      </c>
      <c r="F342" s="173" t="s">
        <v>1252</v>
      </c>
      <c r="G342" s="173" t="s">
        <v>1981</v>
      </c>
      <c r="H342" s="110">
        <v>3</v>
      </c>
      <c r="I342" s="195"/>
      <c r="J342" s="882"/>
    </row>
    <row r="343" spans="2:14" s="101" customFormat="1" ht="18" outlineLevel="1" x14ac:dyDescent="0.25">
      <c r="B343" s="172" t="s">
        <v>1731</v>
      </c>
      <c r="C343" s="787" t="s">
        <v>1233</v>
      </c>
      <c r="D343" s="173">
        <v>1.03</v>
      </c>
      <c r="E343" s="173">
        <v>0</v>
      </c>
      <c r="F343" s="173" t="s">
        <v>1252</v>
      </c>
      <c r="G343" s="173" t="s">
        <v>1981</v>
      </c>
      <c r="H343" s="110">
        <v>3</v>
      </c>
      <c r="I343" s="195"/>
      <c r="J343" s="882"/>
    </row>
    <row r="344" spans="2:14" s="101" customFormat="1" ht="18" outlineLevel="1" x14ac:dyDescent="0.25">
      <c r="B344" s="1526" t="s">
        <v>4893</v>
      </c>
      <c r="C344" s="1521" t="s">
        <v>4894</v>
      </c>
      <c r="D344" s="1522">
        <v>1.03</v>
      </c>
      <c r="E344" s="1522">
        <v>0</v>
      </c>
      <c r="F344" s="1522" t="s">
        <v>1252</v>
      </c>
      <c r="G344" s="1522" t="s">
        <v>1981</v>
      </c>
      <c r="H344" s="1523">
        <v>3</v>
      </c>
      <c r="I344" s="1524"/>
      <c r="J344" s="1525"/>
    </row>
    <row r="345" spans="2:14" s="101" customFormat="1" ht="18" outlineLevel="1" x14ac:dyDescent="0.25">
      <c r="B345" s="172" t="s">
        <v>869</v>
      </c>
      <c r="C345" s="787" t="s">
        <v>1234</v>
      </c>
      <c r="D345" s="173">
        <v>1.03</v>
      </c>
      <c r="E345" s="173">
        <v>0</v>
      </c>
      <c r="F345" s="173" t="s">
        <v>1252</v>
      </c>
      <c r="G345" s="173" t="s">
        <v>1981</v>
      </c>
      <c r="H345" s="110">
        <v>3</v>
      </c>
      <c r="I345" s="195"/>
      <c r="J345" s="882"/>
    </row>
    <row r="346" spans="2:14" s="101" customFormat="1" ht="18" outlineLevel="1" x14ac:dyDescent="0.25">
      <c r="B346" s="174" t="s">
        <v>2798</v>
      </c>
      <c r="C346" s="788" t="s">
        <v>1362</v>
      </c>
      <c r="D346" s="175">
        <v>1.04</v>
      </c>
      <c r="E346" s="175">
        <v>0</v>
      </c>
      <c r="F346" s="175" t="s">
        <v>1252</v>
      </c>
      <c r="G346" s="175" t="s">
        <v>1981</v>
      </c>
      <c r="H346" s="176">
        <v>3</v>
      </c>
      <c r="I346" s="196"/>
      <c r="J346" s="883"/>
    </row>
    <row r="347" spans="2:14" s="101" customFormat="1" ht="18" outlineLevel="1" x14ac:dyDescent="0.25">
      <c r="B347" s="174" t="s">
        <v>1716</v>
      </c>
      <c r="C347" s="788" t="s">
        <v>1363</v>
      </c>
      <c r="D347" s="175">
        <v>1.04</v>
      </c>
      <c r="E347" s="175">
        <v>0</v>
      </c>
      <c r="F347" s="175" t="s">
        <v>1252</v>
      </c>
      <c r="G347" s="175" t="s">
        <v>1981</v>
      </c>
      <c r="H347" s="176">
        <v>3</v>
      </c>
      <c r="I347" s="196"/>
      <c r="J347" s="883"/>
    </row>
    <row r="348" spans="2:14" s="101" customFormat="1" ht="18.75" outlineLevel="1" thickBot="1" x14ac:dyDescent="0.3">
      <c r="B348" s="1933" t="s">
        <v>890</v>
      </c>
      <c r="C348" s="1954" t="s">
        <v>281</v>
      </c>
      <c r="D348" s="1977">
        <v>20</v>
      </c>
      <c r="E348" s="1977">
        <v>1</v>
      </c>
      <c r="F348" s="1977">
        <v>60</v>
      </c>
      <c r="G348" s="1977" t="s">
        <v>889</v>
      </c>
      <c r="H348" s="1976">
        <v>1</v>
      </c>
      <c r="I348" s="2014"/>
      <c r="J348" s="2032"/>
    </row>
    <row r="349" spans="2:14" s="101" customFormat="1" ht="15.75" thickBot="1" x14ac:dyDescent="0.3">
      <c r="B349" s="112"/>
      <c r="C349" s="1947"/>
      <c r="E349" s="104"/>
      <c r="F349" s="104"/>
      <c r="G349" s="104"/>
      <c r="H349" s="104"/>
      <c r="I349" s="103"/>
      <c r="J349" s="1926"/>
    </row>
    <row r="350" spans="2:14" s="101" customFormat="1" ht="15.75" thickBot="1" x14ac:dyDescent="0.3">
      <c r="B350" s="112"/>
      <c r="C350" s="755" t="s">
        <v>982</v>
      </c>
      <c r="D350" s="102" t="s">
        <v>317</v>
      </c>
      <c r="E350" s="102"/>
      <c r="F350" s="102"/>
      <c r="G350" s="102"/>
      <c r="H350" s="102"/>
      <c r="I350" s="112"/>
      <c r="J350" s="1926"/>
    </row>
    <row r="351" spans="2:14" ht="15.75" thickBot="1" x14ac:dyDescent="0.3">
      <c r="B351" s="617" t="s">
        <v>0</v>
      </c>
      <c r="C351" s="811" t="s">
        <v>1</v>
      </c>
      <c r="D351" s="619" t="s">
        <v>840</v>
      </c>
      <c r="E351" s="619" t="s">
        <v>471</v>
      </c>
      <c r="F351" s="619" t="s">
        <v>472</v>
      </c>
      <c r="G351" s="619" t="s">
        <v>2</v>
      </c>
      <c r="H351" s="619" t="s">
        <v>300</v>
      </c>
      <c r="I351" s="618" t="s">
        <v>116</v>
      </c>
      <c r="J351" s="906" t="s">
        <v>117</v>
      </c>
    </row>
    <row r="352" spans="2:14" s="101" customFormat="1" ht="18" outlineLevel="1" x14ac:dyDescent="0.25">
      <c r="B352" s="704" t="s">
        <v>1718</v>
      </c>
      <c r="C352" s="789" t="s">
        <v>2547</v>
      </c>
      <c r="D352" s="266">
        <v>0.6</v>
      </c>
      <c r="E352" s="1507">
        <v>0</v>
      </c>
      <c r="F352" s="1507">
        <v>1</v>
      </c>
      <c r="G352" s="1508" t="s">
        <v>2120</v>
      </c>
      <c r="H352" s="267">
        <v>2</v>
      </c>
      <c r="I352" s="884"/>
      <c r="J352" s="885"/>
      <c r="M352" s="102"/>
      <c r="N352" s="102"/>
    </row>
    <row r="353" spans="2:14" s="101" customFormat="1" ht="18" outlineLevel="1" x14ac:dyDescent="0.25">
      <c r="B353" s="671" t="s">
        <v>3632</v>
      </c>
      <c r="C353" s="723" t="s">
        <v>3633</v>
      </c>
      <c r="D353" s="148">
        <v>0.45</v>
      </c>
      <c r="E353" s="1301">
        <v>0</v>
      </c>
      <c r="F353" s="1301">
        <v>1</v>
      </c>
      <c r="G353" s="1301" t="s">
        <v>2120</v>
      </c>
      <c r="H353" s="148">
        <v>2</v>
      </c>
      <c r="I353" s="580"/>
      <c r="J353" s="812"/>
      <c r="L353" s="104"/>
      <c r="M353" s="2045"/>
      <c r="N353" s="2045"/>
    </row>
    <row r="354" spans="2:14" s="101" customFormat="1" ht="18" outlineLevel="1" x14ac:dyDescent="0.25">
      <c r="B354" s="671" t="s">
        <v>1719</v>
      </c>
      <c r="C354" s="723" t="s">
        <v>2548</v>
      </c>
      <c r="D354" s="148">
        <v>0.67</v>
      </c>
      <c r="E354" s="1301">
        <v>0</v>
      </c>
      <c r="F354" s="1301">
        <v>1</v>
      </c>
      <c r="G354" s="1301" t="s">
        <v>2120</v>
      </c>
      <c r="H354" s="148">
        <v>2</v>
      </c>
      <c r="I354" s="580"/>
      <c r="J354" s="812"/>
      <c r="L354" s="104"/>
      <c r="M354" s="2045"/>
      <c r="N354" s="2045"/>
    </row>
    <row r="355" spans="2:14" s="101" customFormat="1" ht="18" outlineLevel="1" x14ac:dyDescent="0.25">
      <c r="B355" s="671" t="s">
        <v>3634</v>
      </c>
      <c r="C355" s="723" t="s">
        <v>3635</v>
      </c>
      <c r="D355" s="148">
        <v>0.54</v>
      </c>
      <c r="E355" s="1301">
        <v>0</v>
      </c>
      <c r="F355" s="1301">
        <v>1</v>
      </c>
      <c r="G355" s="1301" t="s">
        <v>2120</v>
      </c>
      <c r="H355" s="148">
        <v>2</v>
      </c>
      <c r="I355" s="580"/>
      <c r="J355" s="812"/>
      <c r="L355" s="104"/>
      <c r="M355" s="2045"/>
      <c r="N355" s="2045"/>
    </row>
    <row r="356" spans="2:14" s="101" customFormat="1" ht="18" outlineLevel="1" x14ac:dyDescent="0.25">
      <c r="B356" s="147" t="s">
        <v>1720</v>
      </c>
      <c r="C356" s="722" t="s">
        <v>2549</v>
      </c>
      <c r="D356" s="149">
        <v>0.1</v>
      </c>
      <c r="E356" s="1404">
        <v>0</v>
      </c>
      <c r="F356" s="1301">
        <v>1</v>
      </c>
      <c r="G356" s="1301" t="s">
        <v>2120</v>
      </c>
      <c r="H356" s="148">
        <v>2</v>
      </c>
      <c r="I356" s="580"/>
      <c r="J356" s="812"/>
      <c r="L356" s="104"/>
      <c r="M356" s="2045"/>
      <c r="N356" s="2045"/>
    </row>
    <row r="357" spans="2:14" s="101" customFormat="1" ht="18" outlineLevel="1" x14ac:dyDescent="0.25">
      <c r="B357" s="147" t="s">
        <v>2145</v>
      </c>
      <c r="C357" s="722" t="s">
        <v>2550</v>
      </c>
      <c r="D357" s="148">
        <v>0.35</v>
      </c>
      <c r="E357" s="1301">
        <v>0</v>
      </c>
      <c r="F357" s="1301">
        <v>1</v>
      </c>
      <c r="G357" s="1301" t="s">
        <v>2120</v>
      </c>
      <c r="H357" s="148">
        <v>2</v>
      </c>
      <c r="I357" s="580"/>
      <c r="J357" s="812"/>
      <c r="L357" s="104"/>
      <c r="M357" s="2045"/>
      <c r="N357" s="2045"/>
    </row>
    <row r="358" spans="2:14" s="101" customFormat="1" ht="18" outlineLevel="1" x14ac:dyDescent="0.25">
      <c r="B358" s="147" t="s">
        <v>2146</v>
      </c>
      <c r="C358" s="722" t="s">
        <v>2551</v>
      </c>
      <c r="D358" s="148">
        <v>0.1</v>
      </c>
      <c r="E358" s="1301">
        <v>0</v>
      </c>
      <c r="F358" s="1301">
        <v>1</v>
      </c>
      <c r="G358" s="1301" t="s">
        <v>2120</v>
      </c>
      <c r="H358" s="148">
        <v>2</v>
      </c>
      <c r="I358" s="580"/>
      <c r="J358" s="812"/>
      <c r="L358" s="104"/>
      <c r="M358" s="2045"/>
      <c r="N358" s="2045"/>
    </row>
    <row r="359" spans="2:14" s="101" customFormat="1" ht="18" outlineLevel="1" x14ac:dyDescent="0.25">
      <c r="B359" s="147" t="s">
        <v>1721</v>
      </c>
      <c r="C359" s="722" t="s">
        <v>2552</v>
      </c>
      <c r="D359" s="149">
        <v>0.4</v>
      </c>
      <c r="E359" s="1404">
        <v>0</v>
      </c>
      <c r="F359" s="1301">
        <v>1</v>
      </c>
      <c r="G359" s="1301" t="s">
        <v>2120</v>
      </c>
      <c r="H359" s="148">
        <v>2</v>
      </c>
      <c r="I359" s="580"/>
      <c r="J359" s="812"/>
    </row>
    <row r="360" spans="2:14" s="101" customFormat="1" ht="18" outlineLevel="1" x14ac:dyDescent="0.25">
      <c r="B360" s="147" t="s">
        <v>870</v>
      </c>
      <c r="C360" s="722" t="s">
        <v>2553</v>
      </c>
      <c r="D360" s="149">
        <v>0.4</v>
      </c>
      <c r="E360" s="1404">
        <v>0</v>
      </c>
      <c r="F360" s="1301">
        <v>1</v>
      </c>
      <c r="G360" s="1301" t="s">
        <v>2120</v>
      </c>
      <c r="H360" s="148">
        <v>2</v>
      </c>
      <c r="I360" s="580"/>
      <c r="J360" s="812"/>
    </row>
    <row r="361" spans="2:14" s="101" customFormat="1" ht="18" outlineLevel="1" x14ac:dyDescent="0.25">
      <c r="B361" s="2441" t="s">
        <v>5430</v>
      </c>
      <c r="C361" s="2442" t="s">
        <v>5431</v>
      </c>
      <c r="D361" s="124">
        <v>0.63900000000000001</v>
      </c>
      <c r="E361" s="1306">
        <v>0</v>
      </c>
      <c r="F361" s="1306">
        <v>1</v>
      </c>
      <c r="G361" s="1306" t="s">
        <v>4883</v>
      </c>
      <c r="H361" s="124">
        <v>3</v>
      </c>
      <c r="I361" s="886"/>
      <c r="J361" s="887"/>
    </row>
    <row r="362" spans="2:14" s="101" customFormat="1" ht="18" outlineLevel="1" x14ac:dyDescent="0.25">
      <c r="B362" s="2441" t="s">
        <v>5432</v>
      </c>
      <c r="C362" s="2442" t="s">
        <v>5433</v>
      </c>
      <c r="D362" s="124">
        <v>0.52</v>
      </c>
      <c r="E362" s="1306">
        <v>0</v>
      </c>
      <c r="F362" s="1306">
        <v>1</v>
      </c>
      <c r="G362" s="1306" t="s">
        <v>4883</v>
      </c>
      <c r="H362" s="124">
        <v>2</v>
      </c>
      <c r="I362" s="886"/>
      <c r="J362" s="887"/>
    </row>
    <row r="363" spans="2:14" s="101" customFormat="1" ht="18" outlineLevel="1" x14ac:dyDescent="0.25">
      <c r="B363" s="705" t="s">
        <v>4011</v>
      </c>
      <c r="C363" s="790" t="s">
        <v>4012</v>
      </c>
      <c r="D363" s="124">
        <v>0.1</v>
      </c>
      <c r="E363" s="1305">
        <v>0</v>
      </c>
      <c r="F363" s="1306">
        <v>1</v>
      </c>
      <c r="G363" s="1306" t="s">
        <v>4883</v>
      </c>
      <c r="H363" s="124">
        <v>2</v>
      </c>
      <c r="I363" s="886"/>
      <c r="J363" s="887"/>
    </row>
    <row r="364" spans="2:14" s="101" customFormat="1" ht="18" outlineLevel="1" x14ac:dyDescent="0.25">
      <c r="B364" s="705" t="s">
        <v>4013</v>
      </c>
      <c r="C364" s="790" t="s">
        <v>4014</v>
      </c>
      <c r="D364" s="124">
        <v>0.35</v>
      </c>
      <c r="E364" s="1306">
        <v>0</v>
      </c>
      <c r="F364" s="1306">
        <v>1</v>
      </c>
      <c r="G364" s="1306" t="s">
        <v>4883</v>
      </c>
      <c r="H364" s="124">
        <v>2</v>
      </c>
      <c r="I364" s="886"/>
      <c r="J364" s="887"/>
    </row>
    <row r="365" spans="2:14" s="101" customFormat="1" ht="18" outlineLevel="1" x14ac:dyDescent="0.25">
      <c r="B365" s="705" t="s">
        <v>4015</v>
      </c>
      <c r="C365" s="790" t="s">
        <v>4016</v>
      </c>
      <c r="D365" s="124">
        <v>0.1</v>
      </c>
      <c r="E365" s="1306">
        <v>0</v>
      </c>
      <c r="F365" s="1306">
        <v>1</v>
      </c>
      <c r="G365" s="1306" t="s">
        <v>4883</v>
      </c>
      <c r="H365" s="124">
        <v>2</v>
      </c>
      <c r="I365" s="886"/>
      <c r="J365" s="887"/>
    </row>
    <row r="366" spans="2:14" s="101" customFormat="1" ht="18" outlineLevel="1" x14ac:dyDescent="0.25">
      <c r="B366" s="705" t="s">
        <v>4017</v>
      </c>
      <c r="C366" s="790" t="s">
        <v>4018</v>
      </c>
      <c r="D366" s="124">
        <v>0.33</v>
      </c>
      <c r="E366" s="1306">
        <v>0</v>
      </c>
      <c r="F366" s="1306">
        <v>1</v>
      </c>
      <c r="G366" s="1306" t="s">
        <v>4884</v>
      </c>
      <c r="H366" s="124">
        <v>2</v>
      </c>
      <c r="I366" s="886"/>
      <c r="J366" s="887"/>
    </row>
    <row r="367" spans="2:14" s="101" customFormat="1" ht="18" outlineLevel="1" x14ac:dyDescent="0.25">
      <c r="B367" s="705" t="s">
        <v>4019</v>
      </c>
      <c r="C367" s="790" t="s">
        <v>4020</v>
      </c>
      <c r="D367" s="124">
        <v>0.23</v>
      </c>
      <c r="E367" s="1306">
        <v>0</v>
      </c>
      <c r="F367" s="1306">
        <v>1</v>
      </c>
      <c r="G367" s="1306" t="s">
        <v>4884</v>
      </c>
      <c r="H367" s="124">
        <v>2</v>
      </c>
      <c r="I367" s="886"/>
      <c r="J367" s="887"/>
    </row>
    <row r="368" spans="2:14" s="101" customFormat="1" ht="18" outlineLevel="1" x14ac:dyDescent="0.25">
      <c r="B368" s="705" t="s">
        <v>879</v>
      </c>
      <c r="C368" s="790" t="s">
        <v>2554</v>
      </c>
      <c r="D368" s="124">
        <v>0.65</v>
      </c>
      <c r="E368" s="1306">
        <v>0</v>
      </c>
      <c r="F368" s="1306">
        <v>1</v>
      </c>
      <c r="G368" s="1306" t="s">
        <v>4885</v>
      </c>
      <c r="H368" s="124">
        <v>2</v>
      </c>
      <c r="I368" s="886"/>
      <c r="J368" s="887"/>
    </row>
    <row r="369" spans="2:18" s="101" customFormat="1" ht="18" outlineLevel="1" x14ac:dyDescent="0.25">
      <c r="B369" s="705" t="s">
        <v>880</v>
      </c>
      <c r="C369" s="790" t="s">
        <v>273</v>
      </c>
      <c r="D369" s="283">
        <f>(30+31+3*16)/31</f>
        <v>3.5161290322580645</v>
      </c>
      <c r="E369" s="1509">
        <v>0</v>
      </c>
      <c r="F369" s="1306">
        <v>10</v>
      </c>
      <c r="G369" s="1306" t="s">
        <v>4886</v>
      </c>
      <c r="H369" s="124">
        <v>1</v>
      </c>
      <c r="I369" s="886"/>
      <c r="J369" s="887"/>
    </row>
    <row r="370" spans="2:18" s="101" customFormat="1" ht="18" outlineLevel="1" x14ac:dyDescent="0.25">
      <c r="B370" s="2443" t="s">
        <v>5434</v>
      </c>
      <c r="C370" s="2444" t="s">
        <v>5435</v>
      </c>
      <c r="D370" s="427">
        <v>0.6</v>
      </c>
      <c r="E370" s="1313">
        <v>0</v>
      </c>
      <c r="F370" s="1313">
        <v>1</v>
      </c>
      <c r="G370" s="1313" t="s">
        <v>2120</v>
      </c>
      <c r="H370" s="427">
        <v>3</v>
      </c>
      <c r="I370" s="426"/>
      <c r="J370" s="829"/>
    </row>
    <row r="371" spans="2:18" s="101" customFormat="1" ht="18" outlineLevel="1" x14ac:dyDescent="0.25">
      <c r="B371" s="2443" t="s">
        <v>5436</v>
      </c>
      <c r="C371" s="2444" t="s">
        <v>5437</v>
      </c>
      <c r="D371" s="427">
        <v>0.5</v>
      </c>
      <c r="E371" s="1313">
        <v>0</v>
      </c>
      <c r="F371" s="1313">
        <v>1</v>
      </c>
      <c r="G371" s="1313" t="s">
        <v>2120</v>
      </c>
      <c r="H371" s="427">
        <v>2</v>
      </c>
      <c r="I371" s="426"/>
      <c r="J371" s="829"/>
    </row>
    <row r="372" spans="2:18" s="101" customFormat="1" ht="18" outlineLevel="1" x14ac:dyDescent="0.25">
      <c r="B372" s="706" t="s">
        <v>2252</v>
      </c>
      <c r="C372" s="791" t="s">
        <v>2557</v>
      </c>
      <c r="D372" s="311">
        <v>0.15</v>
      </c>
      <c r="E372" s="1319">
        <v>0</v>
      </c>
      <c r="F372" s="1319">
        <v>1</v>
      </c>
      <c r="G372" s="1319" t="s">
        <v>4887</v>
      </c>
      <c r="H372" s="311">
        <v>2</v>
      </c>
      <c r="I372" s="888"/>
      <c r="J372" s="889" t="s">
        <v>3869</v>
      </c>
      <c r="L372" s="312"/>
      <c r="M372" s="312"/>
      <c r="N372" s="312"/>
      <c r="O372" s="312"/>
      <c r="P372" s="312"/>
      <c r="Q372" s="312"/>
      <c r="R372" s="312"/>
    </row>
    <row r="373" spans="2:18" s="101" customFormat="1" ht="18" outlineLevel="1" x14ac:dyDescent="0.25">
      <c r="B373" s="150" t="s">
        <v>2253</v>
      </c>
      <c r="C373" s="791" t="s">
        <v>2558</v>
      </c>
      <c r="D373" s="151">
        <v>0.09</v>
      </c>
      <c r="E373" s="1319">
        <v>0</v>
      </c>
      <c r="F373" s="1319">
        <v>1</v>
      </c>
      <c r="G373" s="1319" t="s">
        <v>4887</v>
      </c>
      <c r="H373" s="151">
        <v>2</v>
      </c>
      <c r="I373" s="364"/>
      <c r="J373" s="890"/>
      <c r="L373" s="312"/>
      <c r="M373" s="312"/>
      <c r="N373" s="312"/>
      <c r="O373" s="312"/>
      <c r="P373" s="312"/>
      <c r="Q373" s="312"/>
      <c r="R373" s="312"/>
    </row>
    <row r="374" spans="2:18" s="115" customFormat="1" ht="18" outlineLevel="1" x14ac:dyDescent="0.25">
      <c r="B374" s="707" t="s">
        <v>2254</v>
      </c>
      <c r="C374" s="792" t="s">
        <v>2559</v>
      </c>
      <c r="D374" s="313">
        <v>1.32</v>
      </c>
      <c r="E374" s="1510">
        <v>0</v>
      </c>
      <c r="F374" s="1510">
        <v>10</v>
      </c>
      <c r="G374" s="1510" t="s">
        <v>4888</v>
      </c>
      <c r="H374" s="314">
        <v>2</v>
      </c>
      <c r="I374" s="891"/>
      <c r="J374" s="892"/>
      <c r="K374" s="101"/>
      <c r="L374" s="312"/>
      <c r="M374" s="312"/>
      <c r="N374" s="312"/>
      <c r="O374" s="312"/>
      <c r="P374" s="312"/>
      <c r="Q374" s="312"/>
      <c r="R374" s="312"/>
    </row>
    <row r="375" spans="2:18" s="115" customFormat="1" ht="18" outlineLevel="1" x14ac:dyDescent="0.25">
      <c r="B375" s="707" t="s">
        <v>2255</v>
      </c>
      <c r="C375" s="792" t="s">
        <v>2560</v>
      </c>
      <c r="D375" s="313">
        <v>0.26</v>
      </c>
      <c r="E375" s="1510">
        <v>0</v>
      </c>
      <c r="F375" s="1510">
        <v>1</v>
      </c>
      <c r="G375" s="1510" t="s">
        <v>4889</v>
      </c>
      <c r="H375" s="314">
        <v>2</v>
      </c>
      <c r="I375" s="891"/>
      <c r="J375" s="892"/>
      <c r="K375" s="101"/>
      <c r="L375" s="312"/>
      <c r="M375" s="312"/>
      <c r="N375" s="312"/>
      <c r="O375" s="312"/>
      <c r="P375" s="312"/>
      <c r="Q375" s="312"/>
      <c r="R375" s="312"/>
    </row>
    <row r="376" spans="2:18" s="101" customFormat="1" ht="18" outlineLevel="1" x14ac:dyDescent="0.25">
      <c r="B376" s="152" t="s">
        <v>872</v>
      </c>
      <c r="C376" s="793" t="s">
        <v>2555</v>
      </c>
      <c r="D376" s="265">
        <v>0.1</v>
      </c>
      <c r="E376" s="1511">
        <v>0</v>
      </c>
      <c r="F376" s="1511">
        <v>1</v>
      </c>
      <c r="G376" s="1512" t="s">
        <v>2120</v>
      </c>
      <c r="H376" s="194">
        <v>2</v>
      </c>
      <c r="I376" s="264"/>
      <c r="J376" s="893"/>
    </row>
    <row r="377" spans="2:18" s="101" customFormat="1" ht="18.75" outlineLevel="1" thickBot="1" x14ac:dyDescent="0.3">
      <c r="B377" s="692" t="s">
        <v>871</v>
      </c>
      <c r="C377" s="794" t="s">
        <v>2556</v>
      </c>
      <c r="D377" s="282">
        <v>0.1</v>
      </c>
      <c r="E377" s="1513">
        <v>0</v>
      </c>
      <c r="F377" s="1513">
        <v>1</v>
      </c>
      <c r="G377" s="1514" t="s">
        <v>2120</v>
      </c>
      <c r="H377" s="278">
        <v>2</v>
      </c>
      <c r="I377" s="281"/>
      <c r="J377" s="894"/>
    </row>
    <row r="378" spans="2:18" ht="15.75" thickBot="1" x14ac:dyDescent="0.3">
      <c r="C378" s="720"/>
      <c r="D378" s="104"/>
      <c r="E378" s="104"/>
      <c r="F378" s="104"/>
      <c r="G378" s="104"/>
      <c r="H378" s="104"/>
      <c r="I378" s="103"/>
      <c r="J378" s="1926"/>
      <c r="K378" s="101"/>
      <c r="L378" s="104"/>
      <c r="M378" s="2045"/>
      <c r="N378" s="2045"/>
      <c r="O378" s="101"/>
      <c r="P378" s="101"/>
      <c r="Q378" s="101"/>
      <c r="R378" s="101"/>
    </row>
    <row r="379" spans="2:18" ht="15.75" thickBot="1" x14ac:dyDescent="0.3">
      <c r="C379" s="795" t="s">
        <v>800</v>
      </c>
      <c r="D379" s="102" t="s">
        <v>317</v>
      </c>
      <c r="J379" s="1926"/>
      <c r="K379" s="101"/>
      <c r="L379" s="104"/>
      <c r="M379" s="2045"/>
      <c r="N379" s="2045"/>
      <c r="O379" s="101"/>
      <c r="P379" s="101"/>
      <c r="Q379" s="101"/>
      <c r="R379" s="101"/>
    </row>
    <row r="380" spans="2:18" ht="15.75" thickBot="1" x14ac:dyDescent="0.3">
      <c r="B380" s="708" t="s">
        <v>0</v>
      </c>
      <c r="C380" s="796" t="s">
        <v>1</v>
      </c>
      <c r="D380" s="118" t="s">
        <v>840</v>
      </c>
      <c r="E380" s="118" t="s">
        <v>471</v>
      </c>
      <c r="F380" s="118" t="s">
        <v>472</v>
      </c>
      <c r="G380" s="118" t="s">
        <v>2</v>
      </c>
      <c r="H380" s="118" t="s">
        <v>300</v>
      </c>
      <c r="I380" s="131" t="s">
        <v>116</v>
      </c>
      <c r="J380" s="895" t="s">
        <v>117</v>
      </c>
      <c r="K380" s="101"/>
      <c r="L380" s="104"/>
      <c r="M380" s="2045"/>
      <c r="N380" s="2045"/>
      <c r="O380" s="101"/>
      <c r="P380" s="101"/>
      <c r="Q380" s="101"/>
      <c r="R380" s="101"/>
    </row>
    <row r="381" spans="2:18" s="101" customFormat="1" ht="18.75" outlineLevel="1" x14ac:dyDescent="0.25">
      <c r="B381" s="1900" t="s">
        <v>873</v>
      </c>
      <c r="C381" s="1955" t="s">
        <v>2564</v>
      </c>
      <c r="D381" s="1978">
        <v>0.08</v>
      </c>
      <c r="E381" s="1978">
        <v>0</v>
      </c>
      <c r="F381" s="1978">
        <v>0.5</v>
      </c>
      <c r="G381" s="2006" t="s">
        <v>2896</v>
      </c>
      <c r="H381" s="1978">
        <v>2</v>
      </c>
      <c r="I381" s="2015"/>
      <c r="J381" s="2033"/>
    </row>
    <row r="382" spans="2:18" s="101" customFormat="1" ht="18" outlineLevel="1" x14ac:dyDescent="0.25">
      <c r="B382" s="318" t="s">
        <v>874</v>
      </c>
      <c r="C382" s="797" t="s">
        <v>277</v>
      </c>
      <c r="D382" s="319">
        <v>7.0000000000000007E-2</v>
      </c>
      <c r="E382" s="320">
        <v>0</v>
      </c>
      <c r="F382" s="320">
        <v>0.5</v>
      </c>
      <c r="G382" s="320" t="s">
        <v>1882</v>
      </c>
      <c r="H382" s="320">
        <v>3</v>
      </c>
      <c r="I382" s="896"/>
      <c r="J382" s="897"/>
    </row>
    <row r="383" spans="2:18" s="101" customFormat="1" ht="18" outlineLevel="1" x14ac:dyDescent="0.25">
      <c r="B383" s="1629" t="s">
        <v>4944</v>
      </c>
      <c r="C383" s="1356" t="s">
        <v>4945</v>
      </c>
      <c r="D383" s="1293">
        <v>7.0000000000000007E-2</v>
      </c>
      <c r="E383" s="917">
        <v>0</v>
      </c>
      <c r="F383" s="917">
        <v>0.5</v>
      </c>
      <c r="G383" s="917" t="s">
        <v>4946</v>
      </c>
      <c r="H383" s="917">
        <v>3</v>
      </c>
      <c r="I383" s="918"/>
      <c r="J383" s="1630"/>
      <c r="K383" s="2045"/>
    </row>
    <row r="384" spans="2:18" s="101" customFormat="1" ht="18" outlineLevel="1" x14ac:dyDescent="0.25">
      <c r="B384" s="318" t="s">
        <v>2124</v>
      </c>
      <c r="C384" s="797" t="s">
        <v>2125</v>
      </c>
      <c r="D384" s="319">
        <v>0.06</v>
      </c>
      <c r="E384" s="320">
        <v>0</v>
      </c>
      <c r="F384" s="320">
        <v>0.5</v>
      </c>
      <c r="G384" s="320" t="s">
        <v>1882</v>
      </c>
      <c r="H384" s="320">
        <v>3</v>
      </c>
      <c r="I384" s="896"/>
      <c r="J384" s="897"/>
    </row>
    <row r="385" spans="2:12" s="101" customFormat="1" ht="18" outlineLevel="1" x14ac:dyDescent="0.25">
      <c r="B385" s="318" t="s">
        <v>1121</v>
      </c>
      <c r="C385" s="797" t="s">
        <v>2565</v>
      </c>
      <c r="D385" s="1293">
        <v>0.01</v>
      </c>
      <c r="E385" s="320">
        <v>0</v>
      </c>
      <c r="F385" s="320">
        <v>0.5</v>
      </c>
      <c r="G385" s="320" t="s">
        <v>1882</v>
      </c>
      <c r="H385" s="320">
        <v>3</v>
      </c>
      <c r="I385" s="896"/>
      <c r="J385" s="919" t="s">
        <v>4638</v>
      </c>
      <c r="K385" s="2045"/>
      <c r="L385" s="2045"/>
    </row>
    <row r="386" spans="2:12" s="101" customFormat="1" ht="18" outlineLevel="1" x14ac:dyDescent="0.25">
      <c r="B386" s="318" t="s">
        <v>1056</v>
      </c>
      <c r="C386" s="797" t="s">
        <v>2566</v>
      </c>
      <c r="D386" s="319">
        <v>0.01</v>
      </c>
      <c r="E386" s="320">
        <v>0</v>
      </c>
      <c r="F386" s="320">
        <v>0.1</v>
      </c>
      <c r="G386" s="320" t="s">
        <v>1882</v>
      </c>
      <c r="H386" s="320">
        <v>3</v>
      </c>
      <c r="I386" s="896"/>
      <c r="J386" s="897"/>
      <c r="K386" s="2045"/>
      <c r="L386" s="2045"/>
    </row>
    <row r="387" spans="2:12" s="101" customFormat="1" ht="18" outlineLevel="1" x14ac:dyDescent="0.25">
      <c r="B387" s="318" t="s">
        <v>1122</v>
      </c>
      <c r="C387" s="797" t="s">
        <v>2567</v>
      </c>
      <c r="D387" s="319">
        <v>0.01</v>
      </c>
      <c r="E387" s="320">
        <v>0</v>
      </c>
      <c r="F387" s="320">
        <v>0.1</v>
      </c>
      <c r="G387" s="320" t="s">
        <v>1882</v>
      </c>
      <c r="H387" s="320">
        <v>3</v>
      </c>
      <c r="I387" s="896"/>
      <c r="J387" s="897" t="s">
        <v>4639</v>
      </c>
      <c r="K387" s="2045"/>
      <c r="L387" s="2045"/>
    </row>
    <row r="388" spans="2:12" s="101" customFormat="1" ht="18" outlineLevel="1" x14ac:dyDescent="0.25">
      <c r="B388" s="318" t="s">
        <v>1364</v>
      </c>
      <c r="C388" s="798" t="s">
        <v>2568</v>
      </c>
      <c r="D388" s="321">
        <v>5.7075504823359977E-2</v>
      </c>
      <c r="E388" s="320">
        <v>0</v>
      </c>
      <c r="F388" s="320">
        <v>1</v>
      </c>
      <c r="G388" s="320" t="s">
        <v>1887</v>
      </c>
      <c r="H388" s="320">
        <v>2</v>
      </c>
      <c r="I388" s="896"/>
      <c r="J388" s="1378" t="s">
        <v>1974</v>
      </c>
    </row>
    <row r="389" spans="2:12" s="101" customFormat="1" ht="18" outlineLevel="1" x14ac:dyDescent="0.25">
      <c r="B389" s="709" t="s">
        <v>875</v>
      </c>
      <c r="C389" s="799" t="s">
        <v>278</v>
      </c>
      <c r="D389" s="322">
        <v>0.02</v>
      </c>
      <c r="E389" s="323">
        <v>0</v>
      </c>
      <c r="F389" s="323">
        <v>0.1</v>
      </c>
      <c r="G389" s="323" t="s">
        <v>1883</v>
      </c>
      <c r="H389" s="323">
        <v>3</v>
      </c>
      <c r="I389" s="898"/>
      <c r="J389" s="1294"/>
    </row>
    <row r="390" spans="2:12" s="101" customFormat="1" ht="18" outlineLevel="1" x14ac:dyDescent="0.25">
      <c r="B390" s="1631" t="s">
        <v>4947</v>
      </c>
      <c r="C390" s="1636" t="s">
        <v>4948</v>
      </c>
      <c r="D390" s="1632">
        <v>0.02</v>
      </c>
      <c r="E390" s="1633">
        <v>0</v>
      </c>
      <c r="F390" s="1633">
        <v>0.1</v>
      </c>
      <c r="G390" s="1633" t="s">
        <v>4949</v>
      </c>
      <c r="H390" s="1633">
        <v>3</v>
      </c>
      <c r="I390" s="1634"/>
      <c r="J390" s="1635"/>
      <c r="K390" s="2045"/>
    </row>
    <row r="391" spans="2:12" s="101" customFormat="1" ht="18" outlineLevel="1" x14ac:dyDescent="0.25">
      <c r="B391" s="709" t="s">
        <v>1057</v>
      </c>
      <c r="C391" s="799" t="s">
        <v>2569</v>
      </c>
      <c r="D391" s="322">
        <v>2E-3</v>
      </c>
      <c r="E391" s="323">
        <v>0</v>
      </c>
      <c r="F391" s="323">
        <v>0.1</v>
      </c>
      <c r="G391" s="323" t="s">
        <v>1883</v>
      </c>
      <c r="H391" s="323">
        <v>3</v>
      </c>
      <c r="I391" s="898"/>
      <c r="J391" s="1294" t="s">
        <v>4640</v>
      </c>
      <c r="K391" s="2045"/>
      <c r="L391" s="2045"/>
    </row>
    <row r="392" spans="2:12" s="101" customFormat="1" ht="18" outlineLevel="1" x14ac:dyDescent="0.25">
      <c r="B392" s="709" t="s">
        <v>1058</v>
      </c>
      <c r="C392" s="799" t="s">
        <v>2570</v>
      </c>
      <c r="D392" s="322">
        <v>2E-3</v>
      </c>
      <c r="E392" s="323">
        <v>0</v>
      </c>
      <c r="F392" s="323">
        <v>0.1</v>
      </c>
      <c r="G392" s="323" t="s">
        <v>1883</v>
      </c>
      <c r="H392" s="323">
        <v>3</v>
      </c>
      <c r="I392" s="898"/>
      <c r="J392" s="1294" t="s">
        <v>4640</v>
      </c>
      <c r="K392" s="2045"/>
      <c r="L392" s="2045"/>
    </row>
    <row r="393" spans="2:12" s="101" customFormat="1" ht="18" outlineLevel="1" x14ac:dyDescent="0.25">
      <c r="B393" s="709" t="s">
        <v>1059</v>
      </c>
      <c r="C393" s="799" t="s">
        <v>2571</v>
      </c>
      <c r="D393" s="322">
        <v>2E-3</v>
      </c>
      <c r="E393" s="323">
        <v>0</v>
      </c>
      <c r="F393" s="323">
        <v>0.1</v>
      </c>
      <c r="G393" s="323" t="s">
        <v>1883</v>
      </c>
      <c r="H393" s="323">
        <v>3</v>
      </c>
      <c r="I393" s="898"/>
      <c r="J393" s="1294"/>
      <c r="K393" s="2045"/>
      <c r="L393" s="2045"/>
    </row>
    <row r="394" spans="2:12" s="101" customFormat="1" ht="18" outlineLevel="1" x14ac:dyDescent="0.25">
      <c r="B394" s="709" t="s">
        <v>878</v>
      </c>
      <c r="C394" s="800" t="s">
        <v>2572</v>
      </c>
      <c r="D394" s="324">
        <v>0.12621410566683836</v>
      </c>
      <c r="E394" s="323">
        <v>0</v>
      </c>
      <c r="F394" s="323">
        <v>1</v>
      </c>
      <c r="G394" s="323" t="s">
        <v>1888</v>
      </c>
      <c r="H394" s="323">
        <v>2</v>
      </c>
      <c r="I394" s="898"/>
      <c r="J394" s="1379" t="s">
        <v>1975</v>
      </c>
    </row>
    <row r="395" spans="2:12" s="101" customFormat="1" ht="18" outlineLevel="1" x14ac:dyDescent="0.25">
      <c r="B395" s="709" t="s">
        <v>1365</v>
      </c>
      <c r="C395" s="800" t="s">
        <v>2573</v>
      </c>
      <c r="D395" s="324">
        <v>0.16206538757887573</v>
      </c>
      <c r="E395" s="323">
        <v>0</v>
      </c>
      <c r="F395" s="323">
        <v>1</v>
      </c>
      <c r="G395" s="323" t="s">
        <v>1888</v>
      </c>
      <c r="H395" s="323">
        <v>2</v>
      </c>
      <c r="I395" s="898"/>
      <c r="J395" s="1379" t="s">
        <v>1976</v>
      </c>
    </row>
    <row r="396" spans="2:12" s="101" customFormat="1" ht="18" outlineLevel="1" x14ac:dyDescent="0.35">
      <c r="B396" s="710" t="s">
        <v>4409</v>
      </c>
      <c r="C396" s="801" t="s">
        <v>4410</v>
      </c>
      <c r="D396" s="634">
        <v>0.179988070070871</v>
      </c>
      <c r="E396" s="635">
        <v>0</v>
      </c>
      <c r="F396" s="635">
        <v>1</v>
      </c>
      <c r="G396" s="635" t="s">
        <v>1888</v>
      </c>
      <c r="H396" s="635">
        <v>2</v>
      </c>
      <c r="I396" s="900"/>
      <c r="J396" s="1379" t="s">
        <v>4785</v>
      </c>
    </row>
    <row r="397" spans="2:12" s="101" customFormat="1" ht="18" outlineLevel="1" x14ac:dyDescent="0.25">
      <c r="B397" s="709" t="s">
        <v>1370</v>
      </c>
      <c r="C397" s="800" t="s">
        <v>2574</v>
      </c>
      <c r="D397" s="324">
        <v>0.1234998580474381</v>
      </c>
      <c r="E397" s="323">
        <v>0</v>
      </c>
      <c r="F397" s="323">
        <v>1</v>
      </c>
      <c r="G397" s="323" t="s">
        <v>1888</v>
      </c>
      <c r="H397" s="323">
        <v>2</v>
      </c>
      <c r="I397" s="898"/>
      <c r="J397" s="1379" t="s">
        <v>1977</v>
      </c>
    </row>
    <row r="398" spans="2:12" s="101" customFormat="1" ht="18" outlineLevel="1" x14ac:dyDescent="0.25">
      <c r="B398" s="711" t="s">
        <v>2561</v>
      </c>
      <c r="C398" s="798" t="s">
        <v>2576</v>
      </c>
      <c r="D398" s="321">
        <v>1.8</v>
      </c>
      <c r="E398" s="320">
        <v>0</v>
      </c>
      <c r="F398" s="320">
        <v>5</v>
      </c>
      <c r="G398" s="320" t="s">
        <v>1884</v>
      </c>
      <c r="H398" s="320">
        <v>2</v>
      </c>
      <c r="I398" s="896" t="s">
        <v>2162</v>
      </c>
      <c r="J398" s="897"/>
      <c r="K398" s="2045"/>
      <c r="L398" s="2045"/>
    </row>
    <row r="399" spans="2:12" s="101" customFormat="1" ht="18" outlineLevel="1" x14ac:dyDescent="0.25">
      <c r="B399" s="711" t="s">
        <v>2562</v>
      </c>
      <c r="C399" s="798" t="s">
        <v>2577</v>
      </c>
      <c r="D399" s="321">
        <v>1.3</v>
      </c>
      <c r="E399" s="320">
        <v>0</v>
      </c>
      <c r="F399" s="320">
        <v>5</v>
      </c>
      <c r="G399" s="320" t="s">
        <v>1884</v>
      </c>
      <c r="H399" s="320">
        <v>2</v>
      </c>
      <c r="I399" s="896" t="s">
        <v>3345</v>
      </c>
      <c r="J399" s="897"/>
      <c r="K399" s="2045"/>
      <c r="L399" s="2045"/>
    </row>
    <row r="400" spans="2:12" s="101" customFormat="1" ht="18" outlineLevel="1" x14ac:dyDescent="0.25">
      <c r="B400" s="711" t="s">
        <v>876</v>
      </c>
      <c r="C400" s="798" t="s">
        <v>2575</v>
      </c>
      <c r="D400" s="321">
        <v>1.42</v>
      </c>
      <c r="E400" s="320">
        <v>0</v>
      </c>
      <c r="F400" s="320">
        <v>5</v>
      </c>
      <c r="G400" s="320" t="s">
        <v>1884</v>
      </c>
      <c r="H400" s="320">
        <v>2</v>
      </c>
      <c r="I400" s="896"/>
      <c r="J400" s="897"/>
      <c r="K400" s="2045"/>
    </row>
    <row r="401" spans="1:12" s="101" customFormat="1" ht="18" outlineLevel="1" x14ac:dyDescent="0.25">
      <c r="B401" s="711" t="s">
        <v>2563</v>
      </c>
      <c r="C401" s="798" t="s">
        <v>2584</v>
      </c>
      <c r="D401" s="321">
        <v>1.42</v>
      </c>
      <c r="E401" s="320">
        <v>0</v>
      </c>
      <c r="F401" s="320">
        <v>5</v>
      </c>
      <c r="G401" s="320" t="s">
        <v>1884</v>
      </c>
      <c r="H401" s="320">
        <v>2</v>
      </c>
      <c r="I401" s="896"/>
      <c r="J401" s="897"/>
      <c r="K401" s="2045"/>
      <c r="L401" s="2045"/>
    </row>
    <row r="402" spans="1:12" s="101" customFormat="1" ht="18" outlineLevel="1" x14ac:dyDescent="0.25">
      <c r="B402" s="711" t="s">
        <v>1141</v>
      </c>
      <c r="C402" s="798" t="s">
        <v>2578</v>
      </c>
      <c r="D402" s="321">
        <v>1.0660000000000001</v>
      </c>
      <c r="E402" s="320">
        <v>0</v>
      </c>
      <c r="F402" s="320">
        <v>5</v>
      </c>
      <c r="G402" s="320" t="s">
        <v>1885</v>
      </c>
      <c r="H402" s="320">
        <v>2</v>
      </c>
      <c r="I402" s="896"/>
      <c r="J402" s="897"/>
      <c r="K402" s="2045"/>
      <c r="L402" s="2045"/>
    </row>
    <row r="403" spans="1:12" s="101" customFormat="1" ht="18" outlineLevel="1" x14ac:dyDescent="0.25">
      <c r="B403" s="711" t="s">
        <v>1142</v>
      </c>
      <c r="C403" s="798" t="s">
        <v>2579</v>
      </c>
      <c r="D403" s="321">
        <v>1.0660000000000001</v>
      </c>
      <c r="E403" s="320">
        <v>0</v>
      </c>
      <c r="F403" s="320">
        <v>5</v>
      </c>
      <c r="G403" s="320" t="s">
        <v>1885</v>
      </c>
      <c r="H403" s="320">
        <v>2</v>
      </c>
      <c r="I403" s="896"/>
      <c r="J403" s="897"/>
      <c r="K403" s="2045"/>
      <c r="L403" s="2045"/>
    </row>
    <row r="404" spans="1:12" s="101" customFormat="1" ht="18" outlineLevel="1" x14ac:dyDescent="0.25">
      <c r="B404" s="711" t="s">
        <v>1143</v>
      </c>
      <c r="C404" s="798" t="s">
        <v>2580</v>
      </c>
      <c r="D404" s="321">
        <v>0.92600000000000005</v>
      </c>
      <c r="E404" s="320">
        <v>0</v>
      </c>
      <c r="F404" s="320">
        <v>5</v>
      </c>
      <c r="G404" s="320" t="s">
        <v>1885</v>
      </c>
      <c r="H404" s="320">
        <v>2</v>
      </c>
      <c r="I404" s="896"/>
      <c r="J404" s="897"/>
      <c r="K404" s="2045"/>
      <c r="L404" s="2045"/>
    </row>
    <row r="405" spans="1:12" s="101" customFormat="1" ht="18" outlineLevel="1" x14ac:dyDescent="0.25">
      <c r="B405" s="711" t="s">
        <v>1144</v>
      </c>
      <c r="C405" s="798" t="s">
        <v>2581</v>
      </c>
      <c r="D405" s="321">
        <v>1.8</v>
      </c>
      <c r="E405" s="320">
        <v>0</v>
      </c>
      <c r="F405" s="320">
        <v>5</v>
      </c>
      <c r="G405" s="320" t="s">
        <v>1885</v>
      </c>
      <c r="H405" s="320">
        <v>2</v>
      </c>
      <c r="I405" s="896"/>
      <c r="J405" s="897"/>
      <c r="K405" s="2045"/>
      <c r="L405" s="2045"/>
    </row>
    <row r="406" spans="1:12" s="101" customFormat="1" ht="18" outlineLevel="1" x14ac:dyDescent="0.25">
      <c r="B406" s="711" t="s">
        <v>1145</v>
      </c>
      <c r="C406" s="798" t="s">
        <v>2582</v>
      </c>
      <c r="D406" s="321">
        <v>1.3</v>
      </c>
      <c r="E406" s="320">
        <v>0</v>
      </c>
      <c r="F406" s="320">
        <v>5</v>
      </c>
      <c r="G406" s="320" t="s">
        <v>1885</v>
      </c>
      <c r="H406" s="320">
        <v>2</v>
      </c>
      <c r="I406" s="896"/>
      <c r="J406" s="897"/>
      <c r="K406" s="2045"/>
      <c r="L406" s="2045"/>
    </row>
    <row r="407" spans="1:12" s="101" customFormat="1" ht="18" outlineLevel="1" x14ac:dyDescent="0.25">
      <c r="B407" s="711" t="s">
        <v>877</v>
      </c>
      <c r="C407" s="798" t="s">
        <v>2583</v>
      </c>
      <c r="D407" s="321">
        <v>1.67</v>
      </c>
      <c r="E407" s="320">
        <v>0</v>
      </c>
      <c r="F407" s="320">
        <v>5</v>
      </c>
      <c r="G407" s="320" t="s">
        <v>1884</v>
      </c>
      <c r="H407" s="320">
        <v>2</v>
      </c>
      <c r="I407" s="896"/>
      <c r="J407" s="897"/>
      <c r="K407" s="2045"/>
      <c r="L407" s="2045"/>
    </row>
    <row r="408" spans="1:12" s="157" customFormat="1" ht="18" outlineLevel="1" x14ac:dyDescent="0.25">
      <c r="B408" s="712" t="s">
        <v>1615</v>
      </c>
      <c r="C408" s="799" t="s">
        <v>2585</v>
      </c>
      <c r="D408" s="324">
        <v>0.35199999999999998</v>
      </c>
      <c r="E408" s="323">
        <v>0</v>
      </c>
      <c r="F408" s="323">
        <v>5</v>
      </c>
      <c r="G408" s="325" t="s">
        <v>1886</v>
      </c>
      <c r="H408" s="323">
        <v>2</v>
      </c>
      <c r="I408" s="901"/>
      <c r="J408" s="899" t="s">
        <v>1953</v>
      </c>
      <c r="K408" s="2046"/>
      <c r="L408" s="2046"/>
    </row>
    <row r="409" spans="1:12" s="157" customFormat="1" ht="18" outlineLevel="1" x14ac:dyDescent="0.25">
      <c r="B409" s="1637" t="s">
        <v>4950</v>
      </c>
      <c r="C409" s="1640" t="s">
        <v>4951</v>
      </c>
      <c r="D409" s="1641">
        <v>0.375</v>
      </c>
      <c r="E409" s="1633">
        <v>0</v>
      </c>
      <c r="F409" s="1633">
        <v>5</v>
      </c>
      <c r="G409" s="1638" t="s">
        <v>4952</v>
      </c>
      <c r="H409" s="1633">
        <v>2</v>
      </c>
      <c r="I409" s="1639"/>
      <c r="J409" s="1635" t="s">
        <v>4953</v>
      </c>
      <c r="K409" s="2046"/>
    </row>
    <row r="410" spans="1:12" s="157" customFormat="1" ht="18" outlineLevel="1" x14ac:dyDescent="0.25">
      <c r="B410" s="712" t="s">
        <v>1948</v>
      </c>
      <c r="C410" s="799" t="s">
        <v>2586</v>
      </c>
      <c r="D410" s="324">
        <v>0.28599999999999998</v>
      </c>
      <c r="E410" s="323">
        <v>0</v>
      </c>
      <c r="F410" s="323">
        <v>5</v>
      </c>
      <c r="G410" s="325" t="s">
        <v>1886</v>
      </c>
      <c r="H410" s="323">
        <v>2</v>
      </c>
      <c r="I410" s="901"/>
      <c r="J410" s="899" t="s">
        <v>1953</v>
      </c>
      <c r="K410" s="2046"/>
      <c r="L410" s="2046"/>
    </row>
    <row r="411" spans="1:12" s="157" customFormat="1" ht="18" outlineLevel="1" x14ac:dyDescent="0.25">
      <c r="A411" s="101"/>
      <c r="B411" s="1637" t="s">
        <v>5363</v>
      </c>
      <c r="C411" s="1636" t="s">
        <v>5364</v>
      </c>
      <c r="D411" s="324">
        <v>0.28599999999999998</v>
      </c>
      <c r="E411" s="1633">
        <v>0</v>
      </c>
      <c r="F411" s="1633">
        <v>5</v>
      </c>
      <c r="G411" s="1638" t="s">
        <v>1886</v>
      </c>
      <c r="H411" s="1633">
        <v>2</v>
      </c>
      <c r="I411" s="1639"/>
      <c r="J411" s="1635" t="s">
        <v>1953</v>
      </c>
      <c r="K411" s="2046"/>
    </row>
    <row r="412" spans="1:12" s="157" customFormat="1" ht="18" outlineLevel="1" x14ac:dyDescent="0.25">
      <c r="B412" s="712" t="s">
        <v>1949</v>
      </c>
      <c r="C412" s="799" t="s">
        <v>2587</v>
      </c>
      <c r="D412" s="324">
        <v>0.25</v>
      </c>
      <c r="E412" s="323">
        <v>0</v>
      </c>
      <c r="F412" s="323">
        <v>5</v>
      </c>
      <c r="G412" s="325" t="s">
        <v>1886</v>
      </c>
      <c r="H412" s="323">
        <v>2</v>
      </c>
      <c r="I412" s="901"/>
      <c r="J412" s="899" t="s">
        <v>2123</v>
      </c>
      <c r="K412" s="2046"/>
      <c r="L412" s="2046"/>
    </row>
    <row r="413" spans="1:12" s="157" customFormat="1" ht="18" outlineLevel="1" x14ac:dyDescent="0.25">
      <c r="B413" s="712" t="s">
        <v>1946</v>
      </c>
      <c r="C413" s="799" t="s">
        <v>2588</v>
      </c>
      <c r="D413" s="324">
        <v>0.188</v>
      </c>
      <c r="E413" s="323">
        <v>0</v>
      </c>
      <c r="F413" s="323">
        <v>5</v>
      </c>
      <c r="G413" s="325" t="s">
        <v>1886</v>
      </c>
      <c r="H413" s="323">
        <v>2</v>
      </c>
      <c r="I413" s="901"/>
      <c r="J413" s="899" t="s">
        <v>1950</v>
      </c>
      <c r="K413" s="2046"/>
      <c r="L413" s="2046"/>
    </row>
    <row r="414" spans="1:12" s="157" customFormat="1" ht="18" outlineLevel="1" x14ac:dyDescent="0.25">
      <c r="B414" s="712" t="s">
        <v>1947</v>
      </c>
      <c r="C414" s="799" t="s">
        <v>2589</v>
      </c>
      <c r="D414" s="324">
        <v>0.375</v>
      </c>
      <c r="E414" s="323">
        <v>0</v>
      </c>
      <c r="F414" s="323">
        <v>5</v>
      </c>
      <c r="G414" s="325" t="s">
        <v>1886</v>
      </c>
      <c r="H414" s="323">
        <v>2</v>
      </c>
      <c r="I414" s="901"/>
      <c r="J414" s="899" t="s">
        <v>1951</v>
      </c>
      <c r="K414" s="2046"/>
      <c r="L414" s="2046"/>
    </row>
    <row r="415" spans="1:12" s="157" customFormat="1" ht="18" outlineLevel="1" x14ac:dyDescent="0.25">
      <c r="B415" s="712" t="s">
        <v>1952</v>
      </c>
      <c r="C415" s="802" t="s">
        <v>2590</v>
      </c>
      <c r="D415" s="326">
        <v>0.33300000000000002</v>
      </c>
      <c r="E415" s="323">
        <v>0</v>
      </c>
      <c r="F415" s="323">
        <v>5</v>
      </c>
      <c r="G415" s="325" t="s">
        <v>1886</v>
      </c>
      <c r="H415" s="323">
        <v>2</v>
      </c>
      <c r="I415" s="901"/>
      <c r="J415" s="899" t="s">
        <v>1954</v>
      </c>
      <c r="K415" s="2046"/>
      <c r="L415" s="2046"/>
    </row>
    <row r="416" spans="1:12" s="101" customFormat="1" ht="18" outlineLevel="1" x14ac:dyDescent="0.25">
      <c r="B416" s="1929" t="s">
        <v>2429</v>
      </c>
      <c r="C416" s="1952" t="s">
        <v>2591</v>
      </c>
      <c r="D416" s="1975">
        <v>0.11</v>
      </c>
      <c r="E416" s="1997">
        <v>0</v>
      </c>
      <c r="F416" s="1997">
        <v>1</v>
      </c>
      <c r="G416" s="1997" t="s">
        <v>2168</v>
      </c>
      <c r="H416" s="1997">
        <v>2</v>
      </c>
      <c r="I416" s="2011"/>
      <c r="J416" s="2027" t="s">
        <v>1060</v>
      </c>
    </row>
    <row r="417" spans="1:18" s="101" customFormat="1" ht="18" outlineLevel="1" x14ac:dyDescent="0.25">
      <c r="B417" s="1929" t="s">
        <v>1000</v>
      </c>
      <c r="C417" s="1952" t="s">
        <v>2592</v>
      </c>
      <c r="D417" s="1975">
        <v>0.1</v>
      </c>
      <c r="E417" s="1997">
        <v>0</v>
      </c>
      <c r="F417" s="1997">
        <v>1</v>
      </c>
      <c r="G417" s="1997" t="s">
        <v>1889</v>
      </c>
      <c r="H417" s="1997">
        <v>2</v>
      </c>
      <c r="I417" s="2011"/>
      <c r="J417" s="2027" t="s">
        <v>3570</v>
      </c>
    </row>
    <row r="418" spans="1:18" s="101" customFormat="1" ht="18" outlineLevel="1" x14ac:dyDescent="0.25">
      <c r="B418" s="1929" t="s">
        <v>1001</v>
      </c>
      <c r="C418" s="1952" t="s">
        <v>2593</v>
      </c>
      <c r="D418" s="1975">
        <v>0.35</v>
      </c>
      <c r="E418" s="1997">
        <v>0</v>
      </c>
      <c r="F418" s="1997">
        <v>1</v>
      </c>
      <c r="G418" s="1997" t="s">
        <v>1890</v>
      </c>
      <c r="H418" s="1997">
        <v>2</v>
      </c>
      <c r="I418" s="2011"/>
      <c r="J418" s="2027" t="s">
        <v>3571</v>
      </c>
    </row>
    <row r="419" spans="1:18" s="101" customFormat="1" ht="18" outlineLevel="1" x14ac:dyDescent="0.25">
      <c r="B419" s="1929" t="s">
        <v>1373</v>
      </c>
      <c r="C419" s="1952" t="s">
        <v>2594</v>
      </c>
      <c r="D419" s="1975">
        <v>0.1</v>
      </c>
      <c r="E419" s="1997">
        <v>0</v>
      </c>
      <c r="F419" s="1997">
        <v>1</v>
      </c>
      <c r="G419" s="1997" t="s">
        <v>1939</v>
      </c>
      <c r="H419" s="1997">
        <v>2</v>
      </c>
      <c r="I419" s="2011"/>
      <c r="J419" s="2027" t="s">
        <v>3572</v>
      </c>
    </row>
    <row r="420" spans="1:18" s="101" customFormat="1" ht="18" outlineLevel="1" x14ac:dyDescent="0.25">
      <c r="A420" s="102"/>
      <c r="B420" s="1901" t="s">
        <v>1155</v>
      </c>
      <c r="C420" s="1956" t="s">
        <v>2595</v>
      </c>
      <c r="D420" s="1979">
        <f>A_MNa/(A_MNa+A_MCl)</f>
        <v>0.39337234346305527</v>
      </c>
      <c r="E420" s="1979">
        <v>0</v>
      </c>
      <c r="F420" s="1987">
        <v>1</v>
      </c>
      <c r="G420" s="1987" t="s">
        <v>1940</v>
      </c>
      <c r="H420" s="1987">
        <v>3</v>
      </c>
      <c r="I420" s="1902"/>
      <c r="J420" s="1924"/>
      <c r="K420" s="102"/>
      <c r="L420" s="102"/>
      <c r="M420" s="102"/>
      <c r="N420" s="102"/>
      <c r="O420" s="102"/>
      <c r="P420" s="102"/>
    </row>
    <row r="421" spans="1:18" s="101" customFormat="1" ht="18" outlineLevel="1" x14ac:dyDescent="0.25">
      <c r="A421" s="102"/>
      <c r="B421" s="1900" t="s">
        <v>3521</v>
      </c>
      <c r="C421" s="1957" t="s">
        <v>3522</v>
      </c>
      <c r="D421" s="1980">
        <v>0.05</v>
      </c>
      <c r="E421" s="1980">
        <v>0</v>
      </c>
      <c r="F421" s="1988">
        <v>0.14000000000000001</v>
      </c>
      <c r="G421" s="1988" t="s">
        <v>3523</v>
      </c>
      <c r="H421" s="1988">
        <v>3</v>
      </c>
      <c r="I421" s="2016"/>
      <c r="J421" s="1923"/>
      <c r="K421" s="102"/>
      <c r="L421" s="102"/>
      <c r="M421" s="102"/>
      <c r="N421" s="102"/>
      <c r="O421" s="102"/>
      <c r="P421" s="102"/>
    </row>
    <row r="422" spans="1:18" s="101" customFormat="1" ht="18" outlineLevel="1" x14ac:dyDescent="0.25">
      <c r="A422" s="102"/>
      <c r="B422" s="1901" t="s">
        <v>3524</v>
      </c>
      <c r="C422" s="1956" t="s">
        <v>3525</v>
      </c>
      <c r="D422" s="1979">
        <v>0.05</v>
      </c>
      <c r="E422" s="1979">
        <v>0</v>
      </c>
      <c r="F422" s="1987">
        <v>0.15</v>
      </c>
      <c r="G422" s="1987" t="s">
        <v>3526</v>
      </c>
      <c r="H422" s="1987">
        <v>3</v>
      </c>
      <c r="I422" s="1902"/>
      <c r="J422" s="1924"/>
      <c r="K422" s="102"/>
      <c r="L422" s="102"/>
      <c r="M422" s="102"/>
      <c r="N422" s="102"/>
      <c r="O422" s="102"/>
      <c r="P422" s="102"/>
    </row>
    <row r="423" spans="1:18" s="101" customFormat="1" ht="18.75" outlineLevel="1" thickBot="1" x14ac:dyDescent="0.3">
      <c r="A423" s="102"/>
      <c r="B423" s="1933" t="s">
        <v>3527</v>
      </c>
      <c r="C423" s="1958" t="s">
        <v>3528</v>
      </c>
      <c r="D423" s="1981">
        <v>0.5</v>
      </c>
      <c r="E423" s="1981">
        <v>0</v>
      </c>
      <c r="F423" s="2003">
        <v>1</v>
      </c>
      <c r="G423" s="2003" t="s">
        <v>283</v>
      </c>
      <c r="H423" s="2003">
        <v>2</v>
      </c>
      <c r="I423" s="2017"/>
      <c r="J423" s="2034"/>
      <c r="K423" s="102"/>
      <c r="L423" s="102"/>
      <c r="M423" s="102"/>
      <c r="N423" s="102"/>
      <c r="O423" s="102"/>
      <c r="P423" s="102"/>
    </row>
    <row r="424" spans="1:18" ht="15.75" thickBot="1" x14ac:dyDescent="0.3">
      <c r="C424" s="720"/>
      <c r="D424" s="1982"/>
      <c r="E424" s="104"/>
      <c r="F424" s="104"/>
      <c r="G424" s="104"/>
      <c r="H424" s="104"/>
      <c r="I424" s="103"/>
      <c r="J424" s="1926"/>
      <c r="K424" s="101"/>
      <c r="L424" s="101"/>
      <c r="M424" s="101"/>
      <c r="N424" s="101"/>
      <c r="O424" s="101"/>
      <c r="P424" s="101"/>
      <c r="Q424" s="101"/>
      <c r="R424" s="101"/>
    </row>
    <row r="425" spans="1:18" s="101" customFormat="1" ht="15.75" thickBot="1" x14ac:dyDescent="0.3">
      <c r="B425" s="112"/>
      <c r="C425" s="803" t="s">
        <v>3346</v>
      </c>
      <c r="D425" s="102" t="s">
        <v>317</v>
      </c>
      <c r="E425" s="102"/>
      <c r="F425" s="102"/>
      <c r="G425" s="102"/>
      <c r="H425" s="102"/>
      <c r="I425" s="112"/>
      <c r="J425" s="1926"/>
    </row>
    <row r="426" spans="1:18" ht="15.75" thickBot="1" x14ac:dyDescent="0.3">
      <c r="B426" s="617" t="s">
        <v>0</v>
      </c>
      <c r="C426" s="811" t="s">
        <v>1</v>
      </c>
      <c r="D426" s="619" t="s">
        <v>840</v>
      </c>
      <c r="E426" s="619" t="s">
        <v>471</v>
      </c>
      <c r="F426" s="619" t="s">
        <v>472</v>
      </c>
      <c r="G426" s="619" t="s">
        <v>2</v>
      </c>
      <c r="H426" s="619" t="s">
        <v>300</v>
      </c>
      <c r="I426" s="618" t="s">
        <v>116</v>
      </c>
      <c r="J426" s="906" t="s">
        <v>117</v>
      </c>
      <c r="M426" s="102" t="s">
        <v>2933</v>
      </c>
      <c r="N426" s="102" t="s">
        <v>2934</v>
      </c>
    </row>
    <row r="427" spans="1:18" s="101" customFormat="1" ht="18" outlineLevel="1" x14ac:dyDescent="0.25">
      <c r="B427" s="1934" t="s">
        <v>2089</v>
      </c>
      <c r="C427" s="1959" t="s">
        <v>348</v>
      </c>
      <c r="D427" s="1983">
        <v>0.95</v>
      </c>
      <c r="E427" s="1998">
        <v>0</v>
      </c>
      <c r="F427" s="1998">
        <v>1</v>
      </c>
      <c r="G427" s="2007" t="s">
        <v>2897</v>
      </c>
      <c r="H427" s="1998">
        <v>2</v>
      </c>
      <c r="I427" s="2018"/>
      <c r="J427" s="2035"/>
      <c r="K427" s="2045"/>
      <c r="L427" s="2045"/>
    </row>
    <row r="428" spans="1:18" s="101" customFormat="1" ht="18" outlineLevel="1" x14ac:dyDescent="0.25">
      <c r="B428" s="1935" t="s">
        <v>2898</v>
      </c>
      <c r="C428" s="1955" t="s">
        <v>2899</v>
      </c>
      <c r="D428" s="1984">
        <v>0.9</v>
      </c>
      <c r="E428" s="1992">
        <v>0</v>
      </c>
      <c r="F428" s="1992">
        <v>1</v>
      </c>
      <c r="G428" s="2008" t="s">
        <v>1981</v>
      </c>
      <c r="H428" s="1992">
        <v>2</v>
      </c>
      <c r="I428" s="2019"/>
      <c r="J428" s="2036"/>
      <c r="K428" s="2045"/>
      <c r="L428" s="2045"/>
    </row>
    <row r="429" spans="1:18" s="101" customFormat="1" ht="18" outlineLevel="1" x14ac:dyDescent="0.25">
      <c r="B429" s="1935" t="s">
        <v>2900</v>
      </c>
      <c r="C429" s="1955" t="s">
        <v>2901</v>
      </c>
      <c r="D429" s="1984">
        <v>0.6</v>
      </c>
      <c r="E429" s="1992">
        <v>0</v>
      </c>
      <c r="F429" s="1992">
        <v>1</v>
      </c>
      <c r="G429" s="2008" t="s">
        <v>1981</v>
      </c>
      <c r="H429" s="1992">
        <v>2</v>
      </c>
      <c r="I429" s="2019"/>
      <c r="J429" s="2036"/>
      <c r="K429" s="2045"/>
      <c r="L429" s="2045"/>
    </row>
    <row r="430" spans="1:18" s="101" customFormat="1" ht="18.75" outlineLevel="1" thickBot="1" x14ac:dyDescent="0.3">
      <c r="B430" s="1936" t="s">
        <v>2902</v>
      </c>
      <c r="C430" s="1960" t="s">
        <v>2903</v>
      </c>
      <c r="D430" s="1985">
        <v>0.5</v>
      </c>
      <c r="E430" s="1999">
        <v>0</v>
      </c>
      <c r="F430" s="1999">
        <v>1</v>
      </c>
      <c r="G430" s="2009" t="s">
        <v>1981</v>
      </c>
      <c r="H430" s="1999">
        <v>2</v>
      </c>
      <c r="I430" s="2020"/>
      <c r="J430" s="2037"/>
      <c r="K430" s="2045"/>
      <c r="L430" s="2045"/>
    </row>
    <row r="431" spans="1:18" ht="15.75" thickBot="1" x14ac:dyDescent="0.3">
      <c r="C431" s="720"/>
      <c r="D431" s="1982"/>
      <c r="E431" s="104"/>
      <c r="F431" s="104"/>
      <c r="G431" s="104"/>
      <c r="H431" s="104"/>
      <c r="I431" s="103"/>
      <c r="J431" s="1926"/>
      <c r="K431" s="101"/>
      <c r="L431" s="101"/>
      <c r="M431" s="101"/>
      <c r="N431" s="101"/>
      <c r="O431" s="101"/>
      <c r="P431" s="101"/>
      <c r="Q431" s="101"/>
      <c r="R431" s="101"/>
    </row>
    <row r="432" spans="1:18" s="101" customFormat="1" ht="15.75" thickBot="1" x14ac:dyDescent="0.3">
      <c r="B432" s="112"/>
      <c r="C432" s="804" t="s">
        <v>1978</v>
      </c>
      <c r="D432" s="102" t="s">
        <v>317</v>
      </c>
      <c r="E432" s="102"/>
      <c r="F432" s="102"/>
      <c r="G432" s="102"/>
      <c r="H432" s="102"/>
      <c r="I432" s="112"/>
      <c r="J432" s="1926"/>
    </row>
    <row r="433" spans="2:18" ht="15.75" thickBot="1" x14ac:dyDescent="0.3">
      <c r="B433" s="617" t="s">
        <v>0</v>
      </c>
      <c r="C433" s="811" t="s">
        <v>1</v>
      </c>
      <c r="D433" s="619" t="s">
        <v>840</v>
      </c>
      <c r="E433" s="619" t="s">
        <v>471</v>
      </c>
      <c r="F433" s="619" t="s">
        <v>472</v>
      </c>
      <c r="G433" s="619" t="s">
        <v>2</v>
      </c>
      <c r="H433" s="619" t="s">
        <v>300</v>
      </c>
      <c r="I433" s="618" t="s">
        <v>116</v>
      </c>
      <c r="J433" s="906" t="s">
        <v>117</v>
      </c>
      <c r="M433" s="102" t="s">
        <v>2933</v>
      </c>
      <c r="N433" s="102" t="s">
        <v>2934</v>
      </c>
    </row>
    <row r="434" spans="2:18" s="101" customFormat="1" ht="18" outlineLevel="1" x14ac:dyDescent="0.25">
      <c r="B434" s="1937" t="s">
        <v>4407</v>
      </c>
      <c r="C434" s="1961" t="s">
        <v>881</v>
      </c>
      <c r="D434" s="1986">
        <v>1.2</v>
      </c>
      <c r="E434" s="1986">
        <v>0</v>
      </c>
      <c r="F434" s="1986" t="s">
        <v>1252</v>
      </c>
      <c r="G434" s="1986" t="s">
        <v>1891</v>
      </c>
      <c r="H434" s="1986">
        <v>1</v>
      </c>
      <c r="I434" s="2021"/>
      <c r="J434" s="2038"/>
      <c r="L434" s="2048" t="s">
        <v>4025</v>
      </c>
      <c r="M434" s="2049">
        <f>A_MP/A_MFe</f>
        <v>0.55463805533172172</v>
      </c>
      <c r="N434" s="2049">
        <f>A_MP/A_MAl</f>
        <v>1.1479629449808202</v>
      </c>
    </row>
    <row r="435" spans="2:18" s="101" customFormat="1" ht="18" outlineLevel="1" x14ac:dyDescent="0.25">
      <c r="B435" s="1901" t="s">
        <v>4408</v>
      </c>
      <c r="C435" s="1913" t="s">
        <v>882</v>
      </c>
      <c r="D435" s="1987">
        <v>0.2</v>
      </c>
      <c r="E435" s="1987">
        <v>0</v>
      </c>
      <c r="F435" s="1987" t="s">
        <v>1252</v>
      </c>
      <c r="G435" s="1987" t="s">
        <v>1891</v>
      </c>
      <c r="H435" s="1987">
        <v>1</v>
      </c>
      <c r="I435" s="1902"/>
      <c r="J435" s="1924"/>
      <c r="L435" s="2048" t="s">
        <v>4028</v>
      </c>
      <c r="M435" s="2049">
        <f>(A_MFe+3*(A_MH+A_MO))/A_MFe</f>
        <v>1.9136363147998925</v>
      </c>
      <c r="N435" s="2049">
        <f>(A_MAl+3*(A_MH+A_MO))/A_MP</f>
        <v>2.5183740837269033</v>
      </c>
    </row>
    <row r="436" spans="2:18" s="101" customFormat="1" ht="18" outlineLevel="1" x14ac:dyDescent="0.25">
      <c r="B436" s="1938" t="s">
        <v>2927</v>
      </c>
      <c r="C436" s="1962" t="s">
        <v>2928</v>
      </c>
      <c r="D436" s="1988">
        <v>8.2900000000000001E-2</v>
      </c>
      <c r="E436" s="1988">
        <v>0</v>
      </c>
      <c r="F436" s="1988" t="s">
        <v>1252</v>
      </c>
      <c r="G436" s="1988" t="s">
        <v>2929</v>
      </c>
      <c r="H436" s="1988">
        <v>4</v>
      </c>
      <c r="I436" s="2016"/>
      <c r="J436" s="2039"/>
      <c r="L436" s="2048" t="s">
        <v>4032</v>
      </c>
      <c r="M436" s="2049">
        <f>(A_MFe+A_MP+4*A_MO)/A_MFe</f>
        <v>2.7006242671680543</v>
      </c>
      <c r="N436" s="2049">
        <f>(A_MAl+A_MP+4*A_MO)/A_MP</f>
        <v>3.9372957476893138</v>
      </c>
      <c r="O436" s="2050"/>
      <c r="P436" s="1926"/>
    </row>
    <row r="437" spans="2:18" s="101" customFormat="1" ht="18.75" outlineLevel="1" thickBot="1" x14ac:dyDescent="0.3">
      <c r="B437" s="1903" t="s">
        <v>2930</v>
      </c>
      <c r="C437" s="1916" t="s">
        <v>2931</v>
      </c>
      <c r="D437" s="1989">
        <v>0.25286491566808916</v>
      </c>
      <c r="E437" s="1995">
        <v>0</v>
      </c>
      <c r="F437" s="1995" t="s">
        <v>1252</v>
      </c>
      <c r="G437" s="1995" t="s">
        <v>2929</v>
      </c>
      <c r="H437" s="1995">
        <v>4</v>
      </c>
      <c r="I437" s="1904"/>
      <c r="J437" s="1925" t="s">
        <v>2932</v>
      </c>
      <c r="L437" s="2048" t="s">
        <v>2935</v>
      </c>
      <c r="M437" s="2049">
        <f>3*(2*A_MH+A_MO)/(2*(A_MFe+3*(A_MH+A_MO)))</f>
        <v>0.25286491566808916</v>
      </c>
      <c r="N437" s="2049">
        <f>3*(2*A_MH+A_MO)/(2*(A_MAl+3*(A_MH+A_MO)))</f>
        <v>0.34643205845069558</v>
      </c>
      <c r="O437" s="2051" t="s">
        <v>2932</v>
      </c>
      <c r="P437" s="2051" t="s">
        <v>2936</v>
      </c>
    </row>
    <row r="438" spans="2:18" ht="15.75" thickBot="1" x14ac:dyDescent="0.3">
      <c r="C438" s="720"/>
      <c r="D438" s="1982"/>
      <c r="E438" s="104"/>
      <c r="F438" s="104"/>
      <c r="G438" s="104"/>
      <c r="H438" s="104"/>
      <c r="I438" s="103"/>
      <c r="J438" s="1926"/>
      <c r="K438" s="101"/>
      <c r="L438" s="2048" t="s">
        <v>2935</v>
      </c>
      <c r="M438" s="2052">
        <v>0.17</v>
      </c>
      <c r="N438" s="2053">
        <f>M438*(A_MFe+3*A_MH+3*A_MO)/(A_MAl+3*A_MH+3*A_MO)</f>
        <v>0.23290478942488754</v>
      </c>
      <c r="O438" s="1926" t="s">
        <v>2937</v>
      </c>
      <c r="P438" s="1926" t="s">
        <v>2938</v>
      </c>
      <c r="Q438" s="101"/>
      <c r="R438" s="101"/>
    </row>
    <row r="439" spans="2:18" s="101" customFormat="1" ht="15.75" thickBot="1" x14ac:dyDescent="0.3">
      <c r="B439" s="112"/>
      <c r="C439" s="729" t="s">
        <v>4021</v>
      </c>
      <c r="D439" s="102" t="s">
        <v>317</v>
      </c>
      <c r="E439" s="102"/>
      <c r="F439" s="102"/>
      <c r="G439" s="102"/>
      <c r="H439" s="102"/>
      <c r="I439" s="112"/>
      <c r="J439" s="1926"/>
      <c r="L439" s="2048" t="s">
        <v>2935</v>
      </c>
      <c r="M439" s="2053">
        <f>M437-M438</f>
        <v>8.2864915668089151E-2</v>
      </c>
      <c r="N439" s="2053">
        <f>N437-N438</f>
        <v>0.11352726902580804</v>
      </c>
      <c r="O439" s="1926" t="s">
        <v>4861</v>
      </c>
    </row>
    <row r="440" spans="2:18" ht="15.75" thickBot="1" x14ac:dyDescent="0.3">
      <c r="B440" s="617" t="s">
        <v>0</v>
      </c>
      <c r="C440" s="811" t="s">
        <v>1</v>
      </c>
      <c r="D440" s="619" t="s">
        <v>840</v>
      </c>
      <c r="E440" s="619" t="s">
        <v>471</v>
      </c>
      <c r="F440" s="619" t="s">
        <v>472</v>
      </c>
      <c r="G440" s="619" t="s">
        <v>2</v>
      </c>
      <c r="H440" s="619" t="s">
        <v>300</v>
      </c>
      <c r="I440" s="618" t="s">
        <v>116</v>
      </c>
      <c r="J440" s="906" t="s">
        <v>117</v>
      </c>
    </row>
    <row r="441" spans="2:18" s="101" customFormat="1" ht="18" outlineLevel="1" x14ac:dyDescent="0.25">
      <c r="B441" s="600" t="s">
        <v>4022</v>
      </c>
      <c r="C441" s="805" t="s">
        <v>4023</v>
      </c>
      <c r="D441" s="602">
        <v>1</v>
      </c>
      <c r="E441" s="602">
        <v>0</v>
      </c>
      <c r="F441" s="602" t="s">
        <v>1252</v>
      </c>
      <c r="G441" s="602" t="s">
        <v>4024</v>
      </c>
      <c r="H441" s="602">
        <v>1</v>
      </c>
      <c r="I441" s="601"/>
      <c r="J441" s="902"/>
      <c r="L441" s="312"/>
      <c r="M441" s="312"/>
      <c r="N441" s="312"/>
      <c r="O441" s="312"/>
      <c r="P441" s="312"/>
    </row>
    <row r="442" spans="2:18" s="101" customFormat="1" ht="18" outlineLevel="1" x14ac:dyDescent="0.25">
      <c r="B442" s="410" t="s">
        <v>4026</v>
      </c>
      <c r="C442" s="806" t="s">
        <v>4027</v>
      </c>
      <c r="D442" s="604">
        <v>0.1</v>
      </c>
      <c r="E442" s="604">
        <v>0</v>
      </c>
      <c r="F442" s="604" t="s">
        <v>1252</v>
      </c>
      <c r="G442" s="604" t="s">
        <v>4024</v>
      </c>
      <c r="H442" s="604">
        <v>1</v>
      </c>
      <c r="I442" s="603"/>
      <c r="J442" s="631"/>
      <c r="L442" s="312"/>
      <c r="M442" s="312"/>
      <c r="N442" s="312"/>
      <c r="O442" s="312"/>
      <c r="P442" s="312"/>
    </row>
    <row r="443" spans="2:18" s="101" customFormat="1" ht="18" outlineLevel="1" x14ac:dyDescent="0.25">
      <c r="B443" s="605" t="s">
        <v>4029</v>
      </c>
      <c r="C443" s="807" t="s">
        <v>4030</v>
      </c>
      <c r="D443" s="1500">
        <v>0.1135</v>
      </c>
      <c r="E443" s="607">
        <v>0</v>
      </c>
      <c r="F443" s="607" t="s">
        <v>1252</v>
      </c>
      <c r="G443" s="607" t="s">
        <v>4031</v>
      </c>
      <c r="H443" s="607">
        <v>4</v>
      </c>
      <c r="I443" s="606"/>
      <c r="J443" s="903"/>
      <c r="L443" s="312"/>
      <c r="M443" s="312"/>
      <c r="N443" s="312"/>
      <c r="O443" s="312"/>
      <c r="P443" s="608"/>
    </row>
    <row r="444" spans="2:18" s="101" customFormat="1" ht="18.75" outlineLevel="1" thickBot="1" x14ac:dyDescent="0.3">
      <c r="B444" s="609" t="s">
        <v>4033</v>
      </c>
      <c r="C444" s="808" t="s">
        <v>4034</v>
      </c>
      <c r="D444" s="1501">
        <v>0.34643205845069558</v>
      </c>
      <c r="E444" s="611">
        <v>0</v>
      </c>
      <c r="F444" s="611" t="s">
        <v>1252</v>
      </c>
      <c r="G444" s="611" t="s">
        <v>4031</v>
      </c>
      <c r="H444" s="611">
        <v>4</v>
      </c>
      <c r="I444" s="610"/>
      <c r="J444" s="652" t="s">
        <v>4035</v>
      </c>
      <c r="L444" s="612"/>
      <c r="M444" s="612"/>
      <c r="N444" s="612"/>
      <c r="O444" s="612"/>
      <c r="P444" s="608"/>
    </row>
    <row r="445" spans="2:18" s="101" customFormat="1" ht="15.75" thickBot="1" x14ac:dyDescent="0.3">
      <c r="B445" s="1927"/>
      <c r="C445" s="720"/>
      <c r="D445" s="1971"/>
      <c r="E445" s="104"/>
      <c r="F445" s="104"/>
      <c r="G445" s="104"/>
      <c r="H445" s="104"/>
      <c r="I445" s="103"/>
      <c r="J445" s="1926"/>
    </row>
    <row r="446" spans="2:18" s="101" customFormat="1" ht="15.75" thickBot="1" x14ac:dyDescent="0.3">
      <c r="B446" s="112"/>
      <c r="C446" s="804" t="s">
        <v>1251</v>
      </c>
      <c r="D446" s="102" t="s">
        <v>301</v>
      </c>
      <c r="E446" s="102"/>
      <c r="F446" s="102"/>
      <c r="G446" s="102"/>
      <c r="H446" s="102"/>
      <c r="I446" s="112"/>
      <c r="J446" s="1926"/>
    </row>
    <row r="447" spans="2:18" s="101" customFormat="1" ht="15.75" thickBot="1" x14ac:dyDescent="0.3">
      <c r="B447" s="713" t="s">
        <v>0</v>
      </c>
      <c r="C447" s="809" t="s">
        <v>1</v>
      </c>
      <c r="D447" s="221" t="s">
        <v>840</v>
      </c>
      <c r="E447" s="221" t="s">
        <v>471</v>
      </c>
      <c r="F447" s="221" t="s">
        <v>472</v>
      </c>
      <c r="G447" s="221" t="s">
        <v>2</v>
      </c>
      <c r="H447" s="221" t="s">
        <v>300</v>
      </c>
      <c r="I447" s="904" t="s">
        <v>116</v>
      </c>
      <c r="J447" s="905" t="s">
        <v>117</v>
      </c>
    </row>
    <row r="448" spans="2:18" s="101" customFormat="1" ht="18" outlineLevel="1" x14ac:dyDescent="0.35">
      <c r="B448" s="1939" t="s">
        <v>3476</v>
      </c>
      <c r="C448" s="1963" t="s">
        <v>3474</v>
      </c>
      <c r="D448" s="1990">
        <v>13</v>
      </c>
      <c r="E448" s="1990">
        <v>0</v>
      </c>
      <c r="F448" s="1990" t="s">
        <v>1252</v>
      </c>
      <c r="G448" s="1990" t="s">
        <v>3115</v>
      </c>
      <c r="H448" s="1990">
        <v>2</v>
      </c>
      <c r="I448" s="2022"/>
      <c r="J448" s="2040"/>
    </row>
    <row r="449" spans="1:10" s="101" customFormat="1" ht="18" outlineLevel="1" x14ac:dyDescent="0.35">
      <c r="B449" s="1940" t="s">
        <v>3477</v>
      </c>
      <c r="C449" s="1964" t="s">
        <v>3475</v>
      </c>
      <c r="D449" s="1991">
        <v>7.6</v>
      </c>
      <c r="E449" s="1991">
        <v>0</v>
      </c>
      <c r="F449" s="1991" t="s">
        <v>1252</v>
      </c>
      <c r="G449" s="1991" t="s">
        <v>3115</v>
      </c>
      <c r="H449" s="1991">
        <v>2</v>
      </c>
      <c r="I449" s="2023"/>
      <c r="J449" s="2036"/>
    </row>
    <row r="450" spans="1:10" s="101" customFormat="1" ht="18" outlineLevel="1" x14ac:dyDescent="0.35">
      <c r="A450" s="101" t="s">
        <v>3921</v>
      </c>
      <c r="B450" s="1941" t="s">
        <v>4954</v>
      </c>
      <c r="C450" s="1965" t="s">
        <v>4955</v>
      </c>
      <c r="D450" s="1460">
        <f>7.6 * 0.03</f>
        <v>0.22799999999999998</v>
      </c>
      <c r="E450" s="1460">
        <v>0</v>
      </c>
      <c r="F450" s="1460" t="s">
        <v>1252</v>
      </c>
      <c r="G450" s="1460" t="s">
        <v>3115</v>
      </c>
      <c r="H450" s="1460">
        <v>2</v>
      </c>
      <c r="I450" s="2024"/>
      <c r="J450" s="2041"/>
    </row>
    <row r="451" spans="1:10" s="101" customFormat="1" ht="18" outlineLevel="1" x14ac:dyDescent="0.25">
      <c r="B451" s="1942" t="s">
        <v>3269</v>
      </c>
      <c r="C451" s="1966" t="s">
        <v>2598</v>
      </c>
      <c r="D451" s="1978">
        <v>1</v>
      </c>
      <c r="E451" s="1978">
        <v>0</v>
      </c>
      <c r="F451" s="1978" t="s">
        <v>1252</v>
      </c>
      <c r="G451" s="1978" t="s">
        <v>283</v>
      </c>
      <c r="H451" s="1978">
        <v>2</v>
      </c>
      <c r="I451" s="2015"/>
      <c r="J451" s="2033"/>
    </row>
    <row r="452" spans="1:10" s="101" customFormat="1" ht="18" outlineLevel="1" x14ac:dyDescent="0.25">
      <c r="B452" s="1942" t="s">
        <v>3638</v>
      </c>
      <c r="C452" s="1966" t="s">
        <v>3639</v>
      </c>
      <c r="D452" s="1978">
        <v>1</v>
      </c>
      <c r="E452" s="1978">
        <v>0</v>
      </c>
      <c r="F452" s="1978" t="s">
        <v>1252</v>
      </c>
      <c r="G452" s="1978" t="s">
        <v>283</v>
      </c>
      <c r="H452" s="1978">
        <v>2</v>
      </c>
      <c r="I452" s="2015"/>
      <c r="J452" s="2033"/>
    </row>
    <row r="453" spans="1:10" s="101" customFormat="1" ht="18" outlineLevel="1" x14ac:dyDescent="0.25">
      <c r="B453" s="1942" t="s">
        <v>3641</v>
      </c>
      <c r="C453" s="1966" t="s">
        <v>3640</v>
      </c>
      <c r="D453" s="1978">
        <v>0</v>
      </c>
      <c r="E453" s="1978">
        <v>0</v>
      </c>
      <c r="F453" s="1978" t="s">
        <v>1252</v>
      </c>
      <c r="G453" s="1978" t="s">
        <v>283</v>
      </c>
      <c r="H453" s="1978">
        <v>2</v>
      </c>
      <c r="I453" s="2015"/>
      <c r="J453" s="2033"/>
    </row>
    <row r="454" spans="1:10" s="101" customFormat="1" ht="18" outlineLevel="1" x14ac:dyDescent="0.25">
      <c r="B454" s="1943" t="s">
        <v>3270</v>
      </c>
      <c r="C454" s="1967" t="s">
        <v>2599</v>
      </c>
      <c r="D454" s="1992">
        <v>1</v>
      </c>
      <c r="E454" s="1978">
        <v>0</v>
      </c>
      <c r="F454" s="1978" t="s">
        <v>1252</v>
      </c>
      <c r="G454" s="1992" t="s">
        <v>283</v>
      </c>
      <c r="H454" s="1992">
        <v>2</v>
      </c>
      <c r="I454" s="2019"/>
      <c r="J454" s="2042"/>
    </row>
    <row r="455" spans="1:10" s="101" customFormat="1" ht="18" outlineLevel="1" x14ac:dyDescent="0.25">
      <c r="B455" s="1943" t="s">
        <v>3271</v>
      </c>
      <c r="C455" s="1967" t="s">
        <v>2600</v>
      </c>
      <c r="D455" s="1992">
        <v>1</v>
      </c>
      <c r="E455" s="1978">
        <v>0</v>
      </c>
      <c r="F455" s="1978" t="s">
        <v>1252</v>
      </c>
      <c r="G455" s="1992" t="s">
        <v>283</v>
      </c>
      <c r="H455" s="1992">
        <v>2</v>
      </c>
      <c r="I455" s="2019"/>
      <c r="J455" s="2042"/>
    </row>
    <row r="456" spans="1:10" s="101" customFormat="1" ht="18" outlineLevel="1" x14ac:dyDescent="0.25">
      <c r="B456" s="1943" t="s">
        <v>3272</v>
      </c>
      <c r="C456" s="1967" t="s">
        <v>2601</v>
      </c>
      <c r="D456" s="1992">
        <v>1</v>
      </c>
      <c r="E456" s="2000">
        <v>0</v>
      </c>
      <c r="F456" s="1978" t="s">
        <v>1252</v>
      </c>
      <c r="G456" s="1992" t="s">
        <v>283</v>
      </c>
      <c r="H456" s="1992">
        <v>2</v>
      </c>
      <c r="I456" s="2019"/>
      <c r="J456" s="2042"/>
    </row>
    <row r="457" spans="1:10" s="101" customFormat="1" ht="18" outlineLevel="1" x14ac:dyDescent="0.25">
      <c r="B457" s="1944" t="s">
        <v>3273</v>
      </c>
      <c r="C457" s="1968" t="s">
        <v>2602</v>
      </c>
      <c r="D457" s="1993">
        <v>0.05</v>
      </c>
      <c r="E457" s="1993">
        <v>0</v>
      </c>
      <c r="F457" s="1993" t="s">
        <v>1252</v>
      </c>
      <c r="G457" s="1993" t="s">
        <v>283</v>
      </c>
      <c r="H457" s="1993">
        <v>2</v>
      </c>
      <c r="I457" s="2025"/>
      <c r="J457" s="2043" t="s">
        <v>3274</v>
      </c>
    </row>
    <row r="458" spans="1:10" ht="18" outlineLevel="1" x14ac:dyDescent="0.25">
      <c r="B458" s="1945" t="s">
        <v>4036</v>
      </c>
      <c r="C458" s="1965" t="s">
        <v>4811</v>
      </c>
      <c r="D458" s="1460">
        <v>1.4E-3</v>
      </c>
      <c r="E458" s="1460">
        <v>0</v>
      </c>
      <c r="F458" s="1460" t="s">
        <v>1252</v>
      </c>
      <c r="G458" s="1460" t="s">
        <v>4037</v>
      </c>
      <c r="H458" s="1460">
        <v>4</v>
      </c>
      <c r="I458" s="1460"/>
      <c r="J458" s="1461"/>
    </row>
    <row r="459" spans="1:10" ht="18" outlineLevel="1" x14ac:dyDescent="0.25">
      <c r="B459" s="1945" t="s">
        <v>4038</v>
      </c>
      <c r="C459" s="1965" t="s">
        <v>4827</v>
      </c>
      <c r="D459" s="1460">
        <v>1</v>
      </c>
      <c r="E459" s="1460">
        <v>0</v>
      </c>
      <c r="F459" s="1460">
        <v>1</v>
      </c>
      <c r="G459" s="1460" t="s">
        <v>1981</v>
      </c>
      <c r="H459" s="1460">
        <v>1</v>
      </c>
      <c r="I459" s="1460"/>
      <c r="J459" s="1461"/>
    </row>
    <row r="460" spans="1:10" ht="18" outlineLevel="1" x14ac:dyDescent="0.25">
      <c r="B460" s="1945" t="s">
        <v>4828</v>
      </c>
      <c r="C460" s="1965" t="s">
        <v>4812</v>
      </c>
      <c r="D460" s="1460">
        <v>0.05</v>
      </c>
      <c r="E460" s="1460">
        <v>0</v>
      </c>
      <c r="F460" s="1460" t="s">
        <v>1252</v>
      </c>
      <c r="G460" s="1462" t="s">
        <v>2164</v>
      </c>
      <c r="H460" s="1460">
        <v>2</v>
      </c>
      <c r="I460" s="1460"/>
      <c r="J460" s="1461"/>
    </row>
    <row r="461" spans="1:10" ht="18" outlineLevel="1" x14ac:dyDescent="0.25">
      <c r="B461" s="1945" t="s">
        <v>4829</v>
      </c>
      <c r="C461" s="1965" t="s">
        <v>4813</v>
      </c>
      <c r="D461" s="1460">
        <v>2.5</v>
      </c>
      <c r="E461" s="1460">
        <v>0</v>
      </c>
      <c r="F461" s="1460" t="s">
        <v>1252</v>
      </c>
      <c r="G461" s="1460" t="s">
        <v>1981</v>
      </c>
      <c r="H461" s="1460">
        <v>1</v>
      </c>
      <c r="I461" s="1460"/>
      <c r="J461" s="1461"/>
    </row>
    <row r="462" spans="1:10" ht="18" outlineLevel="1" x14ac:dyDescent="0.25">
      <c r="B462" s="1945" t="s">
        <v>4039</v>
      </c>
      <c r="C462" s="1965" t="s">
        <v>4814</v>
      </c>
      <c r="D462" s="1460">
        <v>4.2</v>
      </c>
      <c r="E462" s="1460">
        <v>0</v>
      </c>
      <c r="F462" s="1460" t="s">
        <v>1252</v>
      </c>
      <c r="G462" s="1460" t="s">
        <v>1981</v>
      </c>
      <c r="H462" s="1460">
        <v>1</v>
      </c>
      <c r="I462" s="1460"/>
      <c r="J462" s="1461"/>
    </row>
    <row r="463" spans="1:10" ht="18" outlineLevel="1" x14ac:dyDescent="0.25">
      <c r="B463" s="1945" t="s">
        <v>4040</v>
      </c>
      <c r="C463" s="1965" t="s">
        <v>4815</v>
      </c>
      <c r="D463" s="1460">
        <v>7.3</v>
      </c>
      <c r="E463" s="1460">
        <v>0</v>
      </c>
      <c r="F463" s="1460" t="s">
        <v>1252</v>
      </c>
      <c r="G463" s="1460" t="s">
        <v>1981</v>
      </c>
      <c r="H463" s="1460">
        <v>1</v>
      </c>
      <c r="I463" s="1460"/>
      <c r="J463" s="1461"/>
    </row>
    <row r="464" spans="1:10" ht="18" outlineLevel="1" x14ac:dyDescent="0.25">
      <c r="B464" s="1945" t="s">
        <v>4816</v>
      </c>
      <c r="C464" s="1965" t="s">
        <v>4817</v>
      </c>
      <c r="D464" s="1460">
        <v>-0.28999999999999998</v>
      </c>
      <c r="E464" s="2001" t="s">
        <v>2176</v>
      </c>
      <c r="F464" s="1460" t="s">
        <v>1252</v>
      </c>
      <c r="G464" s="1460" t="s">
        <v>4818</v>
      </c>
      <c r="H464" s="1460">
        <v>2</v>
      </c>
      <c r="I464" s="1460"/>
      <c r="J464" s="1461"/>
    </row>
    <row r="465" spans="1:10" ht="18" outlineLevel="1" x14ac:dyDescent="0.25">
      <c r="B465" s="1945" t="s">
        <v>4041</v>
      </c>
      <c r="C465" s="1965" t="s">
        <v>4819</v>
      </c>
      <c r="D465" s="1460">
        <v>-7.1099999999999997E-2</v>
      </c>
      <c r="E465" s="2001" t="s">
        <v>2176</v>
      </c>
      <c r="F465" s="1460" t="s">
        <v>1252</v>
      </c>
      <c r="G465" s="1460" t="s">
        <v>4820</v>
      </c>
      <c r="H465" s="1460">
        <v>4</v>
      </c>
      <c r="I465" s="1460"/>
      <c r="J465" s="1461"/>
    </row>
    <row r="466" spans="1:10" ht="18" outlineLevel="1" x14ac:dyDescent="0.25">
      <c r="B466" s="1945" t="s">
        <v>4042</v>
      </c>
      <c r="C466" s="1965" t="s">
        <v>4821</v>
      </c>
      <c r="D466" s="1460">
        <v>-4.7399999999999998E-2</v>
      </c>
      <c r="E466" s="2001" t="s">
        <v>2176</v>
      </c>
      <c r="F466" s="1460" t="s">
        <v>1252</v>
      </c>
      <c r="G466" s="1460" t="s">
        <v>4822</v>
      </c>
      <c r="H466" s="1460">
        <v>4</v>
      </c>
      <c r="I466" s="1460"/>
      <c r="J466" s="1461"/>
    </row>
    <row r="467" spans="1:10" ht="18" outlineLevel="1" x14ac:dyDescent="0.25">
      <c r="B467" s="1945" t="s">
        <v>4043</v>
      </c>
      <c r="C467" s="1965" t="s">
        <v>4823</v>
      </c>
      <c r="D467" s="1460">
        <v>-7.8700000000000005E-4</v>
      </c>
      <c r="E467" s="2001" t="s">
        <v>2176</v>
      </c>
      <c r="F467" s="1460" t="s">
        <v>1252</v>
      </c>
      <c r="G467" s="1460" t="s">
        <v>4824</v>
      </c>
      <c r="H467" s="1460">
        <v>6</v>
      </c>
      <c r="I467" s="1460"/>
      <c r="J467" s="1461"/>
    </row>
    <row r="468" spans="1:10" ht="18" outlineLevel="1" x14ac:dyDescent="0.25">
      <c r="B468" s="1945" t="s">
        <v>4044</v>
      </c>
      <c r="C468" s="1965" t="s">
        <v>4825</v>
      </c>
      <c r="D468" s="1460">
        <v>2.3199999999999998E-2</v>
      </c>
      <c r="E468" s="2001" t="s">
        <v>2176</v>
      </c>
      <c r="F468" s="1460" t="s">
        <v>1252</v>
      </c>
      <c r="G468" s="1460" t="s">
        <v>4822</v>
      </c>
      <c r="H468" s="1460">
        <v>4</v>
      </c>
      <c r="I468" s="1460"/>
      <c r="J468" s="1461"/>
    </row>
    <row r="469" spans="1:10" ht="18.75" outlineLevel="1" thickBot="1" x14ac:dyDescent="0.3">
      <c r="B469" s="1946" t="s">
        <v>4045</v>
      </c>
      <c r="C469" s="1969" t="s">
        <v>4826</v>
      </c>
      <c r="D469" s="1994">
        <v>0.877</v>
      </c>
      <c r="E469" s="1994">
        <v>0</v>
      </c>
      <c r="F469" s="1994" t="s">
        <v>1252</v>
      </c>
      <c r="G469" s="1994" t="s">
        <v>1981</v>
      </c>
      <c r="H469" s="1994">
        <v>3</v>
      </c>
      <c r="I469" s="1994"/>
      <c r="J469" s="2044"/>
    </row>
    <row r="470" spans="1:10" ht="15.75" thickBot="1" x14ac:dyDescent="0.3">
      <c r="C470" s="130"/>
      <c r="I470" s="102"/>
      <c r="J470" s="102"/>
    </row>
    <row r="471" spans="1:10" ht="15.75" thickBot="1" x14ac:dyDescent="0.3">
      <c r="C471" s="295" t="s">
        <v>2133</v>
      </c>
      <c r="D471" s="102" t="s">
        <v>301</v>
      </c>
      <c r="J471" s="1926"/>
    </row>
    <row r="472" spans="1:10" ht="15.75" thickBot="1" x14ac:dyDescent="0.3">
      <c r="B472" s="617" t="s">
        <v>0</v>
      </c>
      <c r="C472" s="811" t="s">
        <v>1</v>
      </c>
      <c r="D472" s="619" t="s">
        <v>840</v>
      </c>
      <c r="E472" s="619" t="s">
        <v>471</v>
      </c>
      <c r="F472" s="619" t="s">
        <v>472</v>
      </c>
      <c r="G472" s="619" t="s">
        <v>2</v>
      </c>
      <c r="H472" s="619" t="s">
        <v>300</v>
      </c>
      <c r="I472" s="618" t="s">
        <v>116</v>
      </c>
      <c r="J472" s="906" t="s">
        <v>117</v>
      </c>
    </row>
    <row r="473" spans="1:10" ht="18" outlineLevel="1" x14ac:dyDescent="0.25">
      <c r="B473" s="1937" t="s">
        <v>2134</v>
      </c>
      <c r="C473" s="1961" t="s">
        <v>2135</v>
      </c>
      <c r="D473" s="1986">
        <v>-300</v>
      </c>
      <c r="E473" s="1986" t="s">
        <v>2176</v>
      </c>
      <c r="F473" s="1986" t="s">
        <v>1252</v>
      </c>
      <c r="G473" s="1986" t="s">
        <v>2136</v>
      </c>
      <c r="H473" s="1986">
        <v>1</v>
      </c>
      <c r="I473" s="2021"/>
      <c r="J473" s="2038"/>
    </row>
    <row r="474" spans="1:10" ht="18" outlineLevel="1" x14ac:dyDescent="0.25">
      <c r="B474" s="1901" t="s">
        <v>2169</v>
      </c>
      <c r="C474" s="1913" t="s">
        <v>2170</v>
      </c>
      <c r="D474" s="1987">
        <v>300</v>
      </c>
      <c r="E474" s="1987">
        <v>0</v>
      </c>
      <c r="F474" s="1987" t="s">
        <v>1252</v>
      </c>
      <c r="G474" s="1987" t="s">
        <v>2136</v>
      </c>
      <c r="H474" s="1987">
        <v>1</v>
      </c>
      <c r="I474" s="1902"/>
      <c r="J474" s="1924"/>
    </row>
    <row r="475" spans="1:10" ht="18" outlineLevel="1" x14ac:dyDescent="0.25">
      <c r="B475" s="1901" t="s">
        <v>2171</v>
      </c>
      <c r="C475" s="1913" t="s">
        <v>2172</v>
      </c>
      <c r="D475" s="1987">
        <v>70</v>
      </c>
      <c r="E475" s="1987">
        <v>0</v>
      </c>
      <c r="F475" s="1987" t="s">
        <v>1252</v>
      </c>
      <c r="G475" s="1987" t="s">
        <v>2136</v>
      </c>
      <c r="H475" s="1987">
        <v>1</v>
      </c>
      <c r="I475" s="1902"/>
      <c r="J475" s="1924"/>
    </row>
    <row r="476" spans="1:10" ht="18" outlineLevel="1" x14ac:dyDescent="0.25">
      <c r="B476" s="1901" t="s">
        <v>2137</v>
      </c>
      <c r="C476" s="1913" t="s">
        <v>2138</v>
      </c>
      <c r="D476" s="1987">
        <v>0.05</v>
      </c>
      <c r="E476" s="1987">
        <v>0</v>
      </c>
      <c r="F476" s="1987" t="s">
        <v>1252</v>
      </c>
      <c r="G476" s="1987" t="s">
        <v>2164</v>
      </c>
      <c r="H476" s="1987">
        <v>1</v>
      </c>
      <c r="I476" s="1902"/>
      <c r="J476" s="1924"/>
    </row>
    <row r="477" spans="1:10" ht="18" outlineLevel="1" x14ac:dyDescent="0.25">
      <c r="B477" s="1901" t="s">
        <v>2139</v>
      </c>
      <c r="C477" s="1913" t="s">
        <v>2140</v>
      </c>
      <c r="D477" s="1987">
        <v>0.1</v>
      </c>
      <c r="E477" s="1987">
        <v>0</v>
      </c>
      <c r="F477" s="1987" t="s">
        <v>1252</v>
      </c>
      <c r="G477" s="1987" t="s">
        <v>884</v>
      </c>
      <c r="H477" s="1987">
        <v>1</v>
      </c>
      <c r="I477" s="1902"/>
      <c r="J477" s="1924"/>
    </row>
    <row r="478" spans="1:10" ht="18.75" outlineLevel="1" thickBot="1" x14ac:dyDescent="0.3">
      <c r="B478" s="2461" t="s">
        <v>5532</v>
      </c>
      <c r="C478" s="2348" t="s">
        <v>5533</v>
      </c>
      <c r="D478" s="1703">
        <v>0.05</v>
      </c>
      <c r="E478" s="1703">
        <v>0</v>
      </c>
      <c r="F478" s="1703" t="s">
        <v>1252</v>
      </c>
      <c r="G478" s="1703" t="s">
        <v>1179</v>
      </c>
      <c r="H478" s="1703"/>
      <c r="I478" s="2348"/>
      <c r="J478" s="2462"/>
    </row>
    <row r="479" spans="1:10" ht="15.75" thickBot="1" x14ac:dyDescent="0.3"/>
    <row r="480" spans="1:10" ht="15.75" thickBot="1" x14ac:dyDescent="0.3">
      <c r="A480" s="101"/>
      <c r="C480" s="1806" t="s">
        <v>5156</v>
      </c>
      <c r="D480" s="102" t="s">
        <v>319</v>
      </c>
      <c r="J480" s="1926"/>
    </row>
    <row r="481" spans="1:10" s="101" customFormat="1" ht="15.75" thickBot="1" x14ac:dyDescent="0.3">
      <c r="B481" s="662" t="s">
        <v>0</v>
      </c>
      <c r="C481" s="663" t="s">
        <v>1</v>
      </c>
      <c r="D481" s="1458" t="s">
        <v>840</v>
      </c>
      <c r="E481" s="1458" t="s">
        <v>471</v>
      </c>
      <c r="F481" s="1458" t="s">
        <v>472</v>
      </c>
      <c r="G481" s="1458" t="s">
        <v>2</v>
      </c>
      <c r="H481" s="1458" t="s">
        <v>300</v>
      </c>
      <c r="I481" s="663" t="s">
        <v>116</v>
      </c>
      <c r="J481" s="1807" t="s">
        <v>117</v>
      </c>
    </row>
    <row r="482" spans="1:10" s="112" customFormat="1" ht="18.75" outlineLevel="1" thickBot="1" x14ac:dyDescent="0.3">
      <c r="B482" s="1808" t="s">
        <v>4581</v>
      </c>
      <c r="C482" s="1809" t="s">
        <v>4582</v>
      </c>
      <c r="D482" s="1810">
        <v>7</v>
      </c>
      <c r="E482" s="1811">
        <v>0</v>
      </c>
      <c r="F482" s="1811">
        <v>14</v>
      </c>
      <c r="G482" s="1810" t="s">
        <v>378</v>
      </c>
      <c r="H482" s="1812">
        <v>1</v>
      </c>
      <c r="I482" s="1809"/>
      <c r="J482" s="1813" t="s">
        <v>5157</v>
      </c>
    </row>
    <row r="483" spans="1:10" s="112" customFormat="1" ht="18" outlineLevel="1" x14ac:dyDescent="0.25">
      <c r="B483" s="1808" t="s">
        <v>4625</v>
      </c>
      <c r="C483" s="1809" t="s">
        <v>4630</v>
      </c>
      <c r="D483" s="1810">
        <v>0.02</v>
      </c>
      <c r="E483" s="1811">
        <v>0</v>
      </c>
      <c r="F483" s="1811" t="s">
        <v>1252</v>
      </c>
      <c r="G483" s="1810" t="s">
        <v>381</v>
      </c>
      <c r="H483" s="1812">
        <v>1</v>
      </c>
      <c r="I483" s="1809"/>
      <c r="J483" s="1813" t="s">
        <v>5158</v>
      </c>
    </row>
    <row r="484" spans="1:10" s="112" customFormat="1" ht="18" outlineLevel="1" x14ac:dyDescent="0.25">
      <c r="B484" s="1814" t="s">
        <v>4626</v>
      </c>
      <c r="C484" s="1286" t="s">
        <v>4631</v>
      </c>
      <c r="D484" s="1287">
        <v>0.1</v>
      </c>
      <c r="E484" s="1288">
        <v>0</v>
      </c>
      <c r="F484" s="1288" t="s">
        <v>1252</v>
      </c>
      <c r="G484" s="1287" t="s">
        <v>381</v>
      </c>
      <c r="H484" s="1289">
        <v>1</v>
      </c>
      <c r="I484" s="1286"/>
      <c r="J484" s="1815" t="s">
        <v>5158</v>
      </c>
    </row>
    <row r="485" spans="1:10" s="112" customFormat="1" ht="18.75" outlineLevel="1" thickBot="1" x14ac:dyDescent="0.3">
      <c r="B485" s="1285" t="s">
        <v>4628</v>
      </c>
      <c r="C485" s="1816" t="s">
        <v>4629</v>
      </c>
      <c r="D485" s="1817">
        <v>0.1</v>
      </c>
      <c r="E485" s="1818">
        <v>0</v>
      </c>
      <c r="F485" s="1818" t="s">
        <v>1252</v>
      </c>
      <c r="G485" s="1817" t="s">
        <v>381</v>
      </c>
      <c r="H485" s="1819">
        <v>1</v>
      </c>
      <c r="I485" s="1816"/>
      <c r="J485" s="1820" t="s">
        <v>5158</v>
      </c>
    </row>
    <row r="486" spans="1:10" s="112" customFormat="1" ht="18" outlineLevel="1" x14ac:dyDescent="0.25">
      <c r="B486" s="1821" t="s">
        <v>1860</v>
      </c>
      <c r="C486" s="1822" t="s">
        <v>3519</v>
      </c>
      <c r="D486" s="1823">
        <v>0.2</v>
      </c>
      <c r="E486" s="1824">
        <v>0</v>
      </c>
      <c r="F486" s="1824">
        <v>1</v>
      </c>
      <c r="G486" s="1823" t="s">
        <v>381</v>
      </c>
      <c r="H486" s="1825">
        <v>3</v>
      </c>
      <c r="I486" s="1822"/>
      <c r="J486" s="1826" t="s">
        <v>1861</v>
      </c>
    </row>
    <row r="487" spans="1:10" s="112" customFormat="1" ht="18.75" outlineLevel="1" thickBot="1" x14ac:dyDescent="0.3">
      <c r="B487" s="1827" t="s">
        <v>3295</v>
      </c>
      <c r="C487" s="1270" t="s">
        <v>3296</v>
      </c>
      <c r="D487" s="1828">
        <v>-1E-3</v>
      </c>
      <c r="E487" s="1829" t="s">
        <v>2176</v>
      </c>
      <c r="F487" s="1829" t="s">
        <v>1252</v>
      </c>
      <c r="G487" s="1828" t="s">
        <v>1981</v>
      </c>
      <c r="H487" s="1830">
        <v>3</v>
      </c>
      <c r="I487" s="1270"/>
      <c r="J487" s="1831"/>
    </row>
    <row r="488" spans="1:10" ht="15.75" thickBot="1" x14ac:dyDescent="0.3">
      <c r="B488" s="315"/>
    </row>
    <row r="489" spans="1:10" ht="15.75" thickBot="1" x14ac:dyDescent="0.3">
      <c r="A489" s="101"/>
      <c r="C489" s="810" t="s">
        <v>4046</v>
      </c>
      <c r="D489" s="102" t="s">
        <v>319</v>
      </c>
      <c r="J489" s="1926"/>
    </row>
    <row r="490" spans="1:10" ht="15.75" thickBot="1" x14ac:dyDescent="0.3">
      <c r="B490" s="617" t="s">
        <v>0</v>
      </c>
      <c r="C490" s="811" t="s">
        <v>1</v>
      </c>
      <c r="D490" s="619" t="s">
        <v>840</v>
      </c>
      <c r="E490" s="619" t="s">
        <v>471</v>
      </c>
      <c r="F490" s="619" t="s">
        <v>472</v>
      </c>
      <c r="G490" s="619" t="s">
        <v>2</v>
      </c>
      <c r="H490" s="619" t="s">
        <v>300</v>
      </c>
      <c r="I490" s="618" t="s">
        <v>116</v>
      </c>
      <c r="J490" s="906" t="s">
        <v>117</v>
      </c>
    </row>
    <row r="491" spans="1:10" s="112" customFormat="1" ht="18" outlineLevel="1" x14ac:dyDescent="0.25">
      <c r="B491" s="613" t="s">
        <v>4047</v>
      </c>
      <c r="C491" s="1275" t="s">
        <v>4910</v>
      </c>
      <c r="D491" s="614">
        <v>0.33444800000000002</v>
      </c>
      <c r="E491" s="615" t="s">
        <v>2176</v>
      </c>
      <c r="F491" s="615" t="s">
        <v>1252</v>
      </c>
      <c r="G491" s="614" t="s">
        <v>4048</v>
      </c>
      <c r="H491" s="616">
        <v>6</v>
      </c>
      <c r="I491" s="490"/>
      <c r="J491" s="491"/>
    </row>
    <row r="492" spans="1:10" s="112" customFormat="1" ht="18.75" outlineLevel="1" thickBot="1" x14ac:dyDescent="0.3">
      <c r="B492" s="379" t="s">
        <v>4049</v>
      </c>
      <c r="C492" s="1270" t="s">
        <v>4911</v>
      </c>
      <c r="D492" s="382">
        <v>2.42475</v>
      </c>
      <c r="E492" s="383" t="s">
        <v>2176</v>
      </c>
      <c r="F492" s="383" t="s">
        <v>1252</v>
      </c>
      <c r="G492" s="382" t="s">
        <v>4050</v>
      </c>
      <c r="H492" s="384">
        <v>6</v>
      </c>
      <c r="I492" s="380"/>
      <c r="J492" s="381"/>
    </row>
    <row r="493" spans="1:10" ht="15.75" thickBot="1" x14ac:dyDescent="0.3"/>
    <row r="494" spans="1:10" ht="15.75" thickBot="1" x14ac:dyDescent="0.3">
      <c r="C494" s="810" t="s">
        <v>4051</v>
      </c>
      <c r="D494" s="102" t="s">
        <v>317</v>
      </c>
      <c r="J494" s="1926"/>
    </row>
    <row r="495" spans="1:10" ht="15.75" thickBot="1" x14ac:dyDescent="0.3">
      <c r="B495" s="617" t="s">
        <v>0</v>
      </c>
      <c r="C495" s="811" t="s">
        <v>1</v>
      </c>
      <c r="D495" s="619" t="s">
        <v>840</v>
      </c>
      <c r="E495" s="619" t="s">
        <v>471</v>
      </c>
      <c r="F495" s="619" t="s">
        <v>472</v>
      </c>
      <c r="G495" s="619" t="s">
        <v>2</v>
      </c>
      <c r="H495" s="619" t="s">
        <v>300</v>
      </c>
      <c r="I495" s="618" t="s">
        <v>116</v>
      </c>
      <c r="J495" s="906" t="s">
        <v>117</v>
      </c>
    </row>
    <row r="496" spans="1:10" ht="18.75" outlineLevel="1" thickBot="1" x14ac:dyDescent="0.3">
      <c r="B496" s="920" t="s">
        <v>4052</v>
      </c>
      <c r="C496" s="2451" t="s">
        <v>5513</v>
      </c>
      <c r="D496" s="922">
        <v>4</v>
      </c>
      <c r="E496" s="923">
        <v>0</v>
      </c>
      <c r="F496" s="923">
        <v>9</v>
      </c>
      <c r="G496" s="923" t="s">
        <v>4053</v>
      </c>
      <c r="H496" s="923">
        <v>2</v>
      </c>
      <c r="I496" s="924"/>
      <c r="J496" s="925" t="s">
        <v>5514</v>
      </c>
    </row>
    <row r="497" spans="2:10" ht="15.75" thickBot="1" x14ac:dyDescent="0.3"/>
    <row r="498" spans="2:10" ht="15.75" thickBot="1" x14ac:dyDescent="0.3">
      <c r="C498" s="810" t="s">
        <v>4054</v>
      </c>
      <c r="D498" s="102" t="s">
        <v>317</v>
      </c>
      <c r="J498" s="1926"/>
    </row>
    <row r="499" spans="2:10" ht="15.75" thickBot="1" x14ac:dyDescent="0.3">
      <c r="B499" s="617" t="s">
        <v>0</v>
      </c>
      <c r="C499" s="811" t="s">
        <v>1</v>
      </c>
      <c r="D499" s="619" t="s">
        <v>840</v>
      </c>
      <c r="E499" s="619" t="s">
        <v>471</v>
      </c>
      <c r="F499" s="619" t="s">
        <v>472</v>
      </c>
      <c r="G499" s="619" t="s">
        <v>2</v>
      </c>
      <c r="H499" s="619" t="s">
        <v>300</v>
      </c>
      <c r="I499" s="618" t="s">
        <v>116</v>
      </c>
      <c r="J499" s="906" t="s">
        <v>117</v>
      </c>
    </row>
    <row r="500" spans="2:10" ht="18" outlineLevel="1" x14ac:dyDescent="0.25">
      <c r="B500" s="908" t="s">
        <v>4055</v>
      </c>
      <c r="C500" s="909" t="s">
        <v>4056</v>
      </c>
      <c r="D500" s="910">
        <v>5.1999999999999998E-2</v>
      </c>
      <c r="E500" s="911">
        <v>0</v>
      </c>
      <c r="F500" s="911">
        <v>5</v>
      </c>
      <c r="G500" s="911" t="s">
        <v>4053</v>
      </c>
      <c r="H500" s="911">
        <v>2</v>
      </c>
      <c r="I500" s="912"/>
      <c r="J500" s="913" t="s">
        <v>4057</v>
      </c>
    </row>
    <row r="501" spans="2:10" ht="18" outlineLevel="1" x14ac:dyDescent="0.25">
      <c r="B501" s="2410" t="s">
        <v>5365</v>
      </c>
      <c r="C501" s="2414" t="s">
        <v>5366</v>
      </c>
      <c r="D501" s="916">
        <v>5.1999999999999998E-2</v>
      </c>
      <c r="E501" s="2411">
        <v>0</v>
      </c>
      <c r="F501" s="2411">
        <v>5</v>
      </c>
      <c r="G501" s="2411" t="s">
        <v>4053</v>
      </c>
      <c r="H501" s="2411">
        <v>2</v>
      </c>
      <c r="I501" s="2412"/>
      <c r="J501" s="2413"/>
    </row>
    <row r="502" spans="2:10" ht="18" outlineLevel="1" x14ac:dyDescent="0.25">
      <c r="B502" s="914" t="s">
        <v>4058</v>
      </c>
      <c r="C502" s="915" t="s">
        <v>4059</v>
      </c>
      <c r="D502" s="916">
        <v>5.1999999999999998E-2</v>
      </c>
      <c r="E502" s="917">
        <v>0</v>
      </c>
      <c r="F502" s="917">
        <v>5</v>
      </c>
      <c r="G502" s="917" t="s">
        <v>4053</v>
      </c>
      <c r="H502" s="917">
        <v>2</v>
      </c>
      <c r="I502" s="918"/>
      <c r="J502" s="919"/>
    </row>
    <row r="503" spans="2:10" ht="18" outlineLevel="1" x14ac:dyDescent="0.25">
      <c r="B503" s="914" t="s">
        <v>4060</v>
      </c>
      <c r="C503" s="915" t="s">
        <v>4061</v>
      </c>
      <c r="D503" s="916">
        <v>5.1999999999999998E-2</v>
      </c>
      <c r="E503" s="917">
        <v>0</v>
      </c>
      <c r="F503" s="917">
        <v>5</v>
      </c>
      <c r="G503" s="917" t="s">
        <v>4053</v>
      </c>
      <c r="H503" s="917">
        <v>2</v>
      </c>
      <c r="I503" s="918"/>
      <c r="J503" s="919"/>
    </row>
    <row r="504" spans="2:10" ht="18" outlineLevel="1" x14ac:dyDescent="0.25">
      <c r="B504" s="914" t="s">
        <v>4062</v>
      </c>
      <c r="C504" s="915" t="s">
        <v>4063</v>
      </c>
      <c r="D504" s="916">
        <v>5.1999999999999998E-2</v>
      </c>
      <c r="E504" s="917">
        <v>0</v>
      </c>
      <c r="F504" s="917">
        <v>5</v>
      </c>
      <c r="G504" s="917" t="s">
        <v>4053</v>
      </c>
      <c r="H504" s="917">
        <v>2</v>
      </c>
      <c r="I504" s="918"/>
      <c r="J504" s="919"/>
    </row>
    <row r="505" spans="2:10" ht="18" outlineLevel="1" x14ac:dyDescent="0.25">
      <c r="B505" s="914" t="s">
        <v>4064</v>
      </c>
      <c r="C505" s="915" t="s">
        <v>4065</v>
      </c>
      <c r="D505" s="916">
        <v>5.1999999999999998E-2</v>
      </c>
      <c r="E505" s="917">
        <v>0</v>
      </c>
      <c r="F505" s="917">
        <v>5</v>
      </c>
      <c r="G505" s="917" t="s">
        <v>4053</v>
      </c>
      <c r="H505" s="917">
        <v>2</v>
      </c>
      <c r="I505" s="918"/>
      <c r="J505" s="919"/>
    </row>
    <row r="506" spans="2:10" ht="18" outlineLevel="1" x14ac:dyDescent="0.25">
      <c r="B506" s="914" t="s">
        <v>4066</v>
      </c>
      <c r="C506" s="915" t="s">
        <v>4067</v>
      </c>
      <c r="D506" s="916">
        <v>5.1999999999999998E-2</v>
      </c>
      <c r="E506" s="917">
        <v>0</v>
      </c>
      <c r="F506" s="917">
        <v>5</v>
      </c>
      <c r="G506" s="917" t="s">
        <v>4053</v>
      </c>
      <c r="H506" s="917">
        <v>2</v>
      </c>
      <c r="I506" s="918"/>
      <c r="J506" s="919"/>
    </row>
    <row r="507" spans="2:10" ht="18" outlineLevel="1" x14ac:dyDescent="0.25">
      <c r="B507" s="914" t="s">
        <v>4068</v>
      </c>
      <c r="C507" s="915" t="s">
        <v>4069</v>
      </c>
      <c r="D507" s="916">
        <v>5.1999999999999998E-2</v>
      </c>
      <c r="E507" s="917">
        <v>0</v>
      </c>
      <c r="F507" s="917">
        <v>5</v>
      </c>
      <c r="G507" s="917" t="s">
        <v>4053</v>
      </c>
      <c r="H507" s="917">
        <v>2</v>
      </c>
      <c r="I507" s="918"/>
      <c r="J507" s="919"/>
    </row>
    <row r="508" spans="2:10" ht="18.75" outlineLevel="1" thickBot="1" x14ac:dyDescent="0.3">
      <c r="B508" s="920" t="s">
        <v>4070</v>
      </c>
      <c r="C508" s="921" t="s">
        <v>4071</v>
      </c>
      <c r="D508" s="922">
        <v>5.1999999999999998E-2</v>
      </c>
      <c r="E508" s="923">
        <v>0</v>
      </c>
      <c r="F508" s="923">
        <v>5</v>
      </c>
      <c r="G508" s="923" t="s">
        <v>4053</v>
      </c>
      <c r="H508" s="923">
        <v>2</v>
      </c>
      <c r="I508" s="924"/>
      <c r="J508" s="925"/>
    </row>
    <row r="509" spans="2:10" ht="15.75" thickBot="1" x14ac:dyDescent="0.3"/>
    <row r="510" spans="2:10" ht="15.75" thickBot="1" x14ac:dyDescent="0.3">
      <c r="C510" s="810" t="s">
        <v>4072</v>
      </c>
      <c r="D510" s="102" t="s">
        <v>317</v>
      </c>
      <c r="J510" s="1926"/>
    </row>
    <row r="511" spans="2:10" ht="15.75" thickBot="1" x14ac:dyDescent="0.3">
      <c r="B511" s="617" t="s">
        <v>0</v>
      </c>
      <c r="C511" s="811" t="s">
        <v>1</v>
      </c>
      <c r="D511" s="619" t="s">
        <v>840</v>
      </c>
      <c r="E511" s="619" t="s">
        <v>471</v>
      </c>
      <c r="F511" s="619" t="s">
        <v>472</v>
      </c>
      <c r="G511" s="619" t="s">
        <v>2</v>
      </c>
      <c r="H511" s="619" t="s">
        <v>300</v>
      </c>
      <c r="I511" s="618" t="s">
        <v>116</v>
      </c>
      <c r="J511" s="906" t="s">
        <v>117</v>
      </c>
    </row>
    <row r="512" spans="2:10" ht="18" outlineLevel="1" x14ac:dyDescent="0.25">
      <c r="B512" s="908" t="s">
        <v>4073</v>
      </c>
      <c r="C512" s="909" t="s">
        <v>4074</v>
      </c>
      <c r="D512" s="910">
        <v>0.11</v>
      </c>
      <c r="E512" s="911">
        <v>0</v>
      </c>
      <c r="F512" s="911">
        <v>5</v>
      </c>
      <c r="G512" s="911" t="s">
        <v>4053</v>
      </c>
      <c r="H512" s="911">
        <v>2</v>
      </c>
      <c r="I512" s="912"/>
      <c r="J512" s="913" t="s">
        <v>4075</v>
      </c>
    </row>
    <row r="513" spans="2:10" ht="18" outlineLevel="1" x14ac:dyDescent="0.25">
      <c r="B513" s="2410" t="s">
        <v>5367</v>
      </c>
      <c r="C513" s="2414" t="s">
        <v>5368</v>
      </c>
      <c r="D513" s="916">
        <v>0.11</v>
      </c>
      <c r="E513" s="2411">
        <v>0</v>
      </c>
      <c r="F513" s="2411">
        <v>5</v>
      </c>
      <c r="G513" s="2411" t="s">
        <v>4053</v>
      </c>
      <c r="H513" s="2411">
        <v>2</v>
      </c>
      <c r="I513" s="2412"/>
      <c r="J513" s="2413"/>
    </row>
    <row r="514" spans="2:10" ht="18" outlineLevel="1" x14ac:dyDescent="0.25">
      <c r="B514" s="914" t="s">
        <v>4076</v>
      </c>
      <c r="C514" s="915" t="s">
        <v>4077</v>
      </c>
      <c r="D514" s="916">
        <v>0.11</v>
      </c>
      <c r="E514" s="917">
        <v>0</v>
      </c>
      <c r="F514" s="917">
        <v>5</v>
      </c>
      <c r="G514" s="917" t="s">
        <v>4053</v>
      </c>
      <c r="H514" s="917">
        <v>2</v>
      </c>
      <c r="I514" s="918"/>
      <c r="J514" s="919"/>
    </row>
    <row r="515" spans="2:10" ht="18" outlineLevel="1" x14ac:dyDescent="0.25">
      <c r="B515" s="914" t="s">
        <v>4078</v>
      </c>
      <c r="C515" s="915" t="s">
        <v>4079</v>
      </c>
      <c r="D515" s="916">
        <v>0.11</v>
      </c>
      <c r="E515" s="917">
        <v>0</v>
      </c>
      <c r="F515" s="917">
        <v>5</v>
      </c>
      <c r="G515" s="917" t="s">
        <v>4053</v>
      </c>
      <c r="H515" s="917">
        <v>2</v>
      </c>
      <c r="I515" s="918"/>
      <c r="J515" s="919"/>
    </row>
    <row r="516" spans="2:10" ht="18" outlineLevel="1" x14ac:dyDescent="0.25">
      <c r="B516" s="914" t="s">
        <v>4080</v>
      </c>
      <c r="C516" s="915" t="s">
        <v>4081</v>
      </c>
      <c r="D516" s="916">
        <v>0.11</v>
      </c>
      <c r="E516" s="917">
        <v>0</v>
      </c>
      <c r="F516" s="917">
        <v>5</v>
      </c>
      <c r="G516" s="917" t="s">
        <v>4053</v>
      </c>
      <c r="H516" s="917">
        <v>2</v>
      </c>
      <c r="I516" s="918"/>
      <c r="J516" s="919"/>
    </row>
    <row r="517" spans="2:10" ht="18" outlineLevel="1" x14ac:dyDescent="0.25">
      <c r="B517" s="914" t="s">
        <v>4082</v>
      </c>
      <c r="C517" s="915" t="s">
        <v>4083</v>
      </c>
      <c r="D517" s="916">
        <v>0.17</v>
      </c>
      <c r="E517" s="917">
        <v>0</v>
      </c>
      <c r="F517" s="917">
        <v>5</v>
      </c>
      <c r="G517" s="917" t="s">
        <v>4053</v>
      </c>
      <c r="H517" s="917">
        <v>2</v>
      </c>
      <c r="I517" s="918"/>
      <c r="J517" s="919" t="s">
        <v>4084</v>
      </c>
    </row>
    <row r="518" spans="2:10" ht="18.75" outlineLevel="1" thickBot="1" x14ac:dyDescent="0.3">
      <c r="B518" s="920" t="s">
        <v>4085</v>
      </c>
      <c r="C518" s="921" t="s">
        <v>4086</v>
      </c>
      <c r="D518" s="922">
        <v>0.33</v>
      </c>
      <c r="E518" s="923">
        <v>0</v>
      </c>
      <c r="F518" s="923">
        <v>5</v>
      </c>
      <c r="G518" s="923" t="s">
        <v>4053</v>
      </c>
      <c r="H518" s="923">
        <v>2</v>
      </c>
      <c r="I518" s="924"/>
      <c r="J518" s="925" t="s">
        <v>4087</v>
      </c>
    </row>
  </sheetData>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O11"/>
  <sheetViews>
    <sheetView showGridLines="0" workbookViewId="0"/>
  </sheetViews>
  <sheetFormatPr baseColWidth="10" defaultColWidth="9.140625" defaultRowHeight="15" x14ac:dyDescent="0.25"/>
  <cols>
    <col min="1" max="1" width="9.140625" style="144"/>
    <col min="2" max="2" width="7.5703125" style="144" bestFit="1" customWidth="1"/>
    <col min="3" max="3" width="43.5703125" style="144" bestFit="1" customWidth="1"/>
    <col min="4" max="4" width="11.5703125" style="144" bestFit="1" customWidth="1"/>
    <col min="5" max="5" width="13.7109375" style="144" bestFit="1" customWidth="1"/>
    <col min="6" max="6" width="14.28515625" style="144" bestFit="1" customWidth="1"/>
    <col min="7" max="7" width="10.5703125" style="144" bestFit="1" customWidth="1"/>
    <col min="8" max="8" width="10.7109375" style="144" bestFit="1" customWidth="1"/>
    <col min="9" max="9" width="10.85546875" style="144" customWidth="1"/>
    <col min="10" max="10" width="9.140625" style="144"/>
    <col min="11" max="11" width="9.5703125" style="144" bestFit="1" customWidth="1"/>
    <col min="12" max="12" width="9.140625" style="144" customWidth="1"/>
    <col min="13" max="13" width="9" style="144" bestFit="1" customWidth="1"/>
    <col min="14" max="14" width="5" style="144" bestFit="1" customWidth="1"/>
    <col min="15" max="15" width="18.28515625" style="144" bestFit="1" customWidth="1"/>
    <col min="16" max="16384" width="9.140625" style="144"/>
  </cols>
  <sheetData>
    <row r="1" spans="2:15" ht="15.75" thickBot="1" x14ac:dyDescent="0.3"/>
    <row r="2" spans="2:15" s="462" customFormat="1" ht="15.75" thickBot="1" x14ac:dyDescent="0.3">
      <c r="B2" s="460"/>
      <c r="C2" s="461" t="s">
        <v>3575</v>
      </c>
      <c r="D2" s="460"/>
      <c r="E2" s="460"/>
      <c r="F2" s="460"/>
      <c r="G2" s="460"/>
      <c r="H2" s="460"/>
      <c r="I2" s="460"/>
      <c r="J2" s="460"/>
    </row>
    <row r="3" spans="2:15" s="460" customFormat="1" ht="30.75" thickBot="1" x14ac:dyDescent="0.3">
      <c r="B3" s="492" t="s">
        <v>0</v>
      </c>
      <c r="C3" s="493" t="s">
        <v>1</v>
      </c>
      <c r="D3" s="494" t="s">
        <v>3576</v>
      </c>
      <c r="E3" s="494" t="s">
        <v>3577</v>
      </c>
      <c r="F3" s="494" t="s">
        <v>3578</v>
      </c>
      <c r="G3" s="494" t="s">
        <v>3579</v>
      </c>
      <c r="H3" s="494" t="s">
        <v>3592</v>
      </c>
      <c r="I3" s="1728" t="s">
        <v>5074</v>
      </c>
      <c r="J3" s="494" t="s">
        <v>471</v>
      </c>
      <c r="K3" s="494" t="s">
        <v>472</v>
      </c>
      <c r="L3" s="494" t="s">
        <v>2</v>
      </c>
      <c r="M3" s="494" t="s">
        <v>300</v>
      </c>
      <c r="N3" s="494" t="s">
        <v>116</v>
      </c>
      <c r="O3" s="495" t="s">
        <v>117</v>
      </c>
    </row>
    <row r="4" spans="2:15" s="462" customFormat="1" ht="18" x14ac:dyDescent="0.35">
      <c r="B4" s="463" t="s">
        <v>3580</v>
      </c>
      <c r="C4" s="464" t="s">
        <v>3581</v>
      </c>
      <c r="D4" s="465">
        <v>0.04</v>
      </c>
      <c r="E4" s="465">
        <v>1.54</v>
      </c>
      <c r="F4" s="466">
        <v>2.2999999999999998</v>
      </c>
      <c r="G4" s="466">
        <v>34.799999999999997</v>
      </c>
      <c r="H4" s="466" t="s">
        <v>1209</v>
      </c>
      <c r="I4" s="1724">
        <v>2.61</v>
      </c>
      <c r="J4" s="465">
        <v>0</v>
      </c>
      <c r="K4" s="465">
        <v>100</v>
      </c>
      <c r="L4" s="465" t="s">
        <v>5515</v>
      </c>
      <c r="M4" s="465"/>
      <c r="N4" s="465"/>
      <c r="O4" s="467"/>
    </row>
    <row r="5" spans="2:15" s="462" customFormat="1" ht="18" x14ac:dyDescent="0.35">
      <c r="B5" s="468" t="s">
        <v>3582</v>
      </c>
      <c r="C5" s="469" t="s">
        <v>3583</v>
      </c>
      <c r="D5" s="470" t="s">
        <v>1209</v>
      </c>
      <c r="E5" s="470" t="s">
        <v>1209</v>
      </c>
      <c r="F5" s="471">
        <v>0.04</v>
      </c>
      <c r="G5" s="471">
        <v>65</v>
      </c>
      <c r="H5" s="471" t="s">
        <v>1209</v>
      </c>
      <c r="I5" s="1725" t="s">
        <v>1209</v>
      </c>
      <c r="J5" s="470">
        <v>0</v>
      </c>
      <c r="K5" s="470">
        <v>100</v>
      </c>
      <c r="L5" s="470" t="s">
        <v>5515</v>
      </c>
      <c r="M5" s="470"/>
      <c r="N5" s="470"/>
      <c r="O5" s="472"/>
    </row>
    <row r="6" spans="2:15" s="462" customFormat="1" ht="18" x14ac:dyDescent="0.35">
      <c r="B6" s="468" t="s">
        <v>3584</v>
      </c>
      <c r="C6" s="469" t="s">
        <v>3585</v>
      </c>
      <c r="D6" s="470" t="s">
        <v>1209</v>
      </c>
      <c r="E6" s="470" t="s">
        <v>1209</v>
      </c>
      <c r="F6" s="471">
        <v>3.16</v>
      </c>
      <c r="G6" s="471">
        <v>0.12</v>
      </c>
      <c r="H6" s="471" t="s">
        <v>1209</v>
      </c>
      <c r="I6" s="1725" t="s">
        <v>1209</v>
      </c>
      <c r="J6" s="470">
        <v>0</v>
      </c>
      <c r="K6" s="470">
        <v>100</v>
      </c>
      <c r="L6" s="470" t="s">
        <v>5515</v>
      </c>
      <c r="M6" s="470"/>
      <c r="N6" s="470"/>
      <c r="O6" s="472"/>
    </row>
    <row r="7" spans="2:15" s="462" customFormat="1" ht="18" x14ac:dyDescent="0.35">
      <c r="B7" s="468" t="s">
        <v>3586</v>
      </c>
      <c r="C7" s="469" t="s">
        <v>3587</v>
      </c>
      <c r="D7" s="470">
        <v>20.95</v>
      </c>
      <c r="E7" s="470">
        <v>18.84</v>
      </c>
      <c r="F7" s="471" t="s">
        <v>1209</v>
      </c>
      <c r="G7" s="471" t="s">
        <v>1209</v>
      </c>
      <c r="H7" s="471">
        <v>97</v>
      </c>
      <c r="I7" s="1725">
        <v>5.22</v>
      </c>
      <c r="J7" s="470">
        <v>0</v>
      </c>
      <c r="K7" s="470">
        <v>100</v>
      </c>
      <c r="L7" s="470" t="s">
        <v>5515</v>
      </c>
      <c r="M7" s="470"/>
      <c r="N7" s="470"/>
      <c r="O7" s="472"/>
    </row>
    <row r="8" spans="2:15" s="462" customFormat="1" ht="18" x14ac:dyDescent="0.35">
      <c r="B8" s="468" t="s">
        <v>3588</v>
      </c>
      <c r="C8" s="469" t="s">
        <v>3589</v>
      </c>
      <c r="D8" s="470" t="s">
        <v>1209</v>
      </c>
      <c r="E8" s="470" t="s">
        <v>1209</v>
      </c>
      <c r="F8" s="471" t="s">
        <v>1209</v>
      </c>
      <c r="G8" s="473">
        <v>0.01</v>
      </c>
      <c r="H8" s="473" t="s">
        <v>1209</v>
      </c>
      <c r="I8" s="1726" t="s">
        <v>1209</v>
      </c>
      <c r="J8" s="470">
        <v>0</v>
      </c>
      <c r="K8" s="470">
        <v>100</v>
      </c>
      <c r="L8" s="470" t="s">
        <v>5515</v>
      </c>
      <c r="M8" s="470"/>
      <c r="N8" s="470"/>
      <c r="O8" s="472"/>
    </row>
    <row r="9" spans="2:15" s="462" customFormat="1" ht="18" x14ac:dyDescent="0.35">
      <c r="B9" s="468" t="s">
        <v>3668</v>
      </c>
      <c r="C9" s="469" t="s">
        <v>3670</v>
      </c>
      <c r="D9" s="470" t="s">
        <v>1209</v>
      </c>
      <c r="E9" s="470" t="s">
        <v>1209</v>
      </c>
      <c r="F9" s="470" t="s">
        <v>1209</v>
      </c>
      <c r="G9" s="470" t="s">
        <v>1209</v>
      </c>
      <c r="H9" s="470" t="s">
        <v>1209</v>
      </c>
      <c r="I9" s="1726" t="s">
        <v>1209</v>
      </c>
      <c r="J9" s="470">
        <v>0</v>
      </c>
      <c r="K9" s="470">
        <v>100</v>
      </c>
      <c r="L9" s="470" t="s">
        <v>5515</v>
      </c>
      <c r="M9" s="470"/>
      <c r="N9" s="470"/>
      <c r="O9" s="472"/>
    </row>
    <row r="10" spans="2:15" s="462" customFormat="1" ht="18" x14ac:dyDescent="0.35">
      <c r="B10" s="468" t="s">
        <v>3669</v>
      </c>
      <c r="C10" s="469" t="s">
        <v>3671</v>
      </c>
      <c r="D10" s="470" t="s">
        <v>1209</v>
      </c>
      <c r="E10" s="470" t="s">
        <v>1209</v>
      </c>
      <c r="F10" s="470" t="s">
        <v>1209</v>
      </c>
      <c r="G10" s="470" t="s">
        <v>1209</v>
      </c>
      <c r="H10" s="470" t="s">
        <v>1209</v>
      </c>
      <c r="I10" s="1726" t="s">
        <v>1209</v>
      </c>
      <c r="J10" s="470">
        <v>0</v>
      </c>
      <c r="K10" s="470">
        <v>100</v>
      </c>
      <c r="L10" s="470" t="s">
        <v>5515</v>
      </c>
      <c r="M10" s="470"/>
      <c r="N10" s="470"/>
      <c r="O10" s="472"/>
    </row>
    <row r="11" spans="2:15" s="462" customFormat="1" ht="18.75" thickBot="1" x14ac:dyDescent="0.4">
      <c r="B11" s="474" t="s">
        <v>3590</v>
      </c>
      <c r="C11" s="475" t="s">
        <v>3591</v>
      </c>
      <c r="D11" s="476">
        <v>79.010000000000005</v>
      </c>
      <c r="E11" s="476">
        <v>79.62</v>
      </c>
      <c r="F11" s="477">
        <v>94.5</v>
      </c>
      <c r="G11" s="477">
        <v>7.0000000000000007E-2</v>
      </c>
      <c r="H11" s="477">
        <v>3</v>
      </c>
      <c r="I11" s="1727">
        <v>92.17</v>
      </c>
      <c r="J11" s="476">
        <v>0</v>
      </c>
      <c r="K11" s="476">
        <v>100</v>
      </c>
      <c r="L11" s="476" t="s">
        <v>5515</v>
      </c>
      <c r="M11" s="476"/>
      <c r="N11" s="476"/>
      <c r="O11" s="47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3"/>
  <dimension ref="A1:DF276"/>
  <sheetViews>
    <sheetView showGridLines="0" zoomScaleNormal="100" workbookViewId="0">
      <pane xSplit="4" ySplit="3" topLeftCell="CS42" activePane="bottomRight" state="frozen"/>
      <selection pane="topRight" activeCell="E1" sqref="E1"/>
      <selection pane="bottomLeft" activeCell="A4" sqref="A4"/>
      <selection pane="bottomRight" activeCell="AE47" sqref="AE47"/>
    </sheetView>
  </sheetViews>
  <sheetFormatPr baseColWidth="10" defaultColWidth="9.140625" defaultRowHeight="15" x14ac:dyDescent="0.25"/>
  <cols>
    <col min="1" max="1" width="3.85546875" bestFit="1" customWidth="1"/>
    <col min="2" max="2" width="5.28515625" style="70" bestFit="1" customWidth="1"/>
    <col min="3" max="3" width="7.5703125" style="70" bestFit="1" customWidth="1"/>
    <col min="4" max="4" width="54.7109375" bestFit="1" customWidth="1"/>
    <col min="5" max="5" width="36.28515625" bestFit="1" customWidth="1"/>
    <col min="6" max="6" width="17.7109375" bestFit="1" customWidth="1"/>
    <col min="7" max="7" width="13.140625" bestFit="1" customWidth="1"/>
    <col min="8" max="13" width="6" bestFit="1" customWidth="1"/>
    <col min="14" max="14" width="23.85546875" bestFit="1" customWidth="1"/>
    <col min="15" max="15" width="24.140625" bestFit="1" customWidth="1"/>
    <col min="16" max="17" width="6" bestFit="1" customWidth="1"/>
    <col min="18" max="18" width="16.140625" bestFit="1" customWidth="1"/>
    <col min="19" max="19" width="17.28515625" bestFit="1" customWidth="1"/>
    <col min="20" max="20" width="17.7109375" bestFit="1" customWidth="1"/>
    <col min="21" max="21" width="15.85546875" bestFit="1" customWidth="1"/>
    <col min="22" max="23" width="16" bestFit="1" customWidth="1"/>
    <col min="24" max="25" width="17.7109375" bestFit="1" customWidth="1"/>
    <col min="26" max="26" width="17.28515625" bestFit="1" customWidth="1"/>
    <col min="27" max="27" width="48.85546875" bestFit="1" customWidth="1"/>
    <col min="28" max="28" width="12.7109375" bestFit="1" customWidth="1"/>
    <col min="29" max="29" width="53.28515625" bestFit="1" customWidth="1"/>
    <col min="30" max="30" width="54.5703125" bestFit="1" customWidth="1"/>
    <col min="31" max="31" width="12" bestFit="1" customWidth="1"/>
    <col min="32" max="32" width="34.7109375" bestFit="1" customWidth="1"/>
    <col min="33" max="33" width="34.5703125" bestFit="1" customWidth="1"/>
    <col min="34" max="34" width="100.140625" bestFit="1" customWidth="1"/>
    <col min="35" max="35" width="12" bestFit="1" customWidth="1"/>
    <col min="36" max="37" width="12.7109375" bestFit="1" customWidth="1"/>
    <col min="38" max="38" width="7.28515625" bestFit="1" customWidth="1"/>
    <col min="39" max="39" width="95.7109375" bestFit="1" customWidth="1"/>
    <col min="40" max="40" width="14.7109375" bestFit="1" customWidth="1"/>
    <col min="41" max="41" width="12" bestFit="1" customWidth="1"/>
    <col min="42" max="43" width="12.7109375" bestFit="1" customWidth="1"/>
    <col min="44" max="44" width="7.28515625" bestFit="1" customWidth="1"/>
    <col min="45" max="45" width="41.28515625" bestFit="1" customWidth="1"/>
    <col min="46" max="46" width="15.140625" bestFit="1" customWidth="1"/>
    <col min="47" max="47" width="23.28515625" bestFit="1" customWidth="1"/>
    <col min="48" max="48" width="64.140625" bestFit="1" customWidth="1"/>
    <col min="49" max="49" width="104.7109375" style="136" bestFit="1" customWidth="1"/>
    <col min="50" max="50" width="75" style="136" bestFit="1" customWidth="1"/>
    <col min="51" max="51" width="127.5703125" style="136" bestFit="1" customWidth="1"/>
    <col min="52" max="52" width="37.28515625" style="136" bestFit="1" customWidth="1"/>
    <col min="53" max="53" width="38.28515625" style="136" bestFit="1" customWidth="1"/>
    <col min="54" max="54" width="21.5703125" bestFit="1" customWidth="1"/>
    <col min="55" max="55" width="14.28515625" bestFit="1" customWidth="1"/>
    <col min="56" max="56" width="22" bestFit="1" customWidth="1"/>
    <col min="57" max="57" width="21.7109375" bestFit="1" customWidth="1"/>
    <col min="58" max="58" width="18.140625" bestFit="1" customWidth="1"/>
    <col min="59" max="59" width="21.28515625" bestFit="1" customWidth="1"/>
    <col min="60" max="60" width="20.85546875" bestFit="1" customWidth="1"/>
    <col min="61" max="61" width="28.7109375" bestFit="1" customWidth="1"/>
    <col min="62" max="62" width="28.28515625" bestFit="1" customWidth="1"/>
    <col min="63" max="63" width="21.85546875" bestFit="1" customWidth="1"/>
    <col min="64" max="64" width="21.5703125" bestFit="1" customWidth="1"/>
    <col min="65" max="65" width="18.28515625" bestFit="1" customWidth="1"/>
    <col min="66" max="66" width="21.140625" bestFit="1" customWidth="1"/>
    <col min="67" max="67" width="20.7109375" bestFit="1" customWidth="1"/>
    <col min="68" max="68" width="29" bestFit="1" customWidth="1"/>
    <col min="69" max="69" width="28.7109375" bestFit="1" customWidth="1"/>
    <col min="70" max="70" width="13.140625" bestFit="1" customWidth="1"/>
    <col min="71" max="71" width="13.5703125" bestFit="1" customWidth="1"/>
    <col min="72" max="72" width="11.7109375" bestFit="1" customWidth="1"/>
    <col min="73" max="73" width="12" bestFit="1" customWidth="1"/>
    <col min="74" max="74" width="20.28515625" bestFit="1" customWidth="1"/>
    <col min="75" max="75" width="5" bestFit="1" customWidth="1"/>
    <col min="76" max="76" width="5.140625" bestFit="1" customWidth="1"/>
    <col min="77" max="77" width="4.85546875" bestFit="1" customWidth="1"/>
    <col min="78" max="78" width="5" bestFit="1" customWidth="1"/>
    <col min="79" max="79" width="2.85546875" bestFit="1" customWidth="1"/>
    <col min="80" max="80" width="5.7109375" bestFit="1" customWidth="1"/>
    <col min="81" max="81" width="8.28515625" bestFit="1" customWidth="1"/>
    <col min="82" max="82" width="4.28515625" bestFit="1" customWidth="1"/>
    <col min="83" max="83" width="6" bestFit="1" customWidth="1"/>
    <col min="84" max="85" width="3.7109375" bestFit="1" customWidth="1"/>
    <col min="86" max="86" width="4.7109375" bestFit="1" customWidth="1"/>
    <col min="87" max="89" width="12.7109375" bestFit="1" customWidth="1"/>
    <col min="90" max="90" width="7" bestFit="1" customWidth="1"/>
    <col min="91" max="91" width="10" bestFit="1" customWidth="1"/>
    <col min="92" max="92" width="6.28515625" bestFit="1" customWidth="1"/>
    <col min="93" max="93" width="7.140625" bestFit="1" customWidth="1"/>
    <col min="94" max="94" width="7.28515625" bestFit="1" customWidth="1"/>
    <col min="95" max="97" width="12.7109375" bestFit="1" customWidth="1"/>
    <col min="98" max="98" width="145.28515625" style="68" customWidth="1"/>
    <col min="99" max="99" width="9.28515625" style="4" bestFit="1" customWidth="1"/>
    <col min="100" max="100" width="29.28515625" style="4" bestFit="1" customWidth="1"/>
    <col min="101" max="101" width="18.28515625" style="4" bestFit="1" customWidth="1"/>
    <col min="102" max="102" width="7.85546875" style="79" customWidth="1"/>
    <col min="103" max="103" width="12.5703125" bestFit="1" customWidth="1"/>
    <col min="104" max="107" width="9.28515625" bestFit="1" customWidth="1"/>
  </cols>
  <sheetData>
    <row r="1" spans="1:103" s="45" customFormat="1" ht="54" customHeight="1" thickBot="1" x14ac:dyDescent="0.4">
      <c r="A1" s="46"/>
      <c r="B1" s="98"/>
      <c r="C1" s="98"/>
      <c r="AW1" s="134"/>
      <c r="AX1" s="134"/>
      <c r="AY1" s="134"/>
      <c r="AZ1" s="134"/>
      <c r="BA1" s="134"/>
      <c r="BC1" s="74"/>
      <c r="BD1" s="74"/>
      <c r="BF1" s="74"/>
      <c r="BG1" s="74"/>
      <c r="BH1" s="74"/>
      <c r="BI1" s="74"/>
      <c r="BJ1" s="74"/>
      <c r="BK1" s="74"/>
      <c r="BM1" s="74"/>
      <c r="BN1" s="74"/>
      <c r="BO1" s="74"/>
      <c r="BP1" s="74"/>
      <c r="BQ1" s="74"/>
      <c r="BR1" s="74"/>
      <c r="BS1" s="74"/>
      <c r="BT1" s="74"/>
      <c r="BU1" s="74"/>
      <c r="BV1" s="74"/>
      <c r="BW1" s="74"/>
      <c r="BX1" s="74"/>
      <c r="BY1" s="74"/>
      <c r="BZ1" s="74"/>
      <c r="CA1" s="74"/>
      <c r="CB1" s="74"/>
      <c r="CC1" s="74"/>
      <c r="CD1" s="74"/>
      <c r="CE1" s="74"/>
      <c r="CF1" s="74"/>
      <c r="CG1" s="74"/>
      <c r="CH1" s="74"/>
      <c r="CI1" s="74"/>
      <c r="CJ1" s="74"/>
      <c r="CK1" s="74"/>
      <c r="CL1" s="74"/>
      <c r="CM1" s="74"/>
      <c r="CN1" s="74"/>
      <c r="CO1" s="74"/>
      <c r="CP1" s="74"/>
      <c r="CQ1" s="74"/>
      <c r="CR1" s="74"/>
      <c r="CS1" s="74"/>
      <c r="CT1" s="284"/>
      <c r="CU1" s="117"/>
      <c r="CV1" s="117"/>
      <c r="CW1" s="117"/>
      <c r="CX1" s="78"/>
    </row>
    <row r="2" spans="1:103" ht="18.75" customHeight="1" thickBot="1" x14ac:dyDescent="0.3">
      <c r="D2" s="52" t="s">
        <v>128</v>
      </c>
      <c r="E2" s="2055"/>
      <c r="F2" s="2055"/>
      <c r="G2" s="2055"/>
      <c r="H2" s="2055"/>
      <c r="I2" s="2055"/>
      <c r="J2" s="2055"/>
      <c r="K2" s="2055"/>
      <c r="L2" s="2055"/>
      <c r="M2" s="2055"/>
      <c r="N2" s="2055"/>
      <c r="O2" s="2055"/>
      <c r="P2" s="2055"/>
      <c r="Q2" s="2055"/>
      <c r="R2" s="2055"/>
      <c r="S2" s="2055"/>
      <c r="T2" s="2055"/>
      <c r="U2" s="2055"/>
      <c r="V2" s="2055"/>
      <c r="W2" s="2055"/>
      <c r="X2" s="2055"/>
      <c r="Y2" s="2055"/>
      <c r="Z2" s="2055"/>
      <c r="AA2" s="2055"/>
      <c r="AB2" s="2055"/>
      <c r="AC2" s="2055"/>
      <c r="AD2" s="2055"/>
      <c r="AE2" s="2055"/>
      <c r="AF2" s="2055"/>
      <c r="AG2" s="2055"/>
      <c r="AH2" s="2055"/>
      <c r="AI2" s="2055"/>
      <c r="AJ2" s="2055"/>
      <c r="AK2" s="2055"/>
      <c r="AL2" s="2055"/>
      <c r="AM2" s="2055"/>
      <c r="AN2" s="2055"/>
      <c r="AO2" s="2055"/>
      <c r="AP2" s="2055"/>
      <c r="AQ2" s="2055"/>
      <c r="AR2" s="2055"/>
      <c r="AS2" s="2055"/>
      <c r="AT2" s="2055"/>
      <c r="AU2" s="2055"/>
      <c r="AV2" s="2055"/>
      <c r="AW2" s="2055"/>
      <c r="AX2" s="2055"/>
      <c r="AY2" s="2055"/>
      <c r="AZ2" s="2055"/>
      <c r="BA2" s="2055"/>
      <c r="BB2" s="2055"/>
      <c r="BC2" s="2055"/>
      <c r="BD2" s="2055"/>
      <c r="BE2" s="2055"/>
      <c r="BF2" s="2055"/>
      <c r="BG2" s="2055"/>
      <c r="BH2" s="2055"/>
      <c r="BI2" s="2055"/>
      <c r="BJ2" s="2055"/>
      <c r="BK2" s="2055"/>
      <c r="BL2" s="2055"/>
      <c r="BM2" s="2055"/>
      <c r="BN2" s="2055"/>
      <c r="BO2" s="2055"/>
      <c r="BP2" s="2055"/>
      <c r="BQ2" s="2055"/>
      <c r="BR2" s="2055"/>
      <c r="BS2" s="2055"/>
      <c r="BT2" s="2055"/>
      <c r="BU2" s="2055"/>
      <c r="BV2" s="2055"/>
      <c r="BW2" s="2055"/>
      <c r="BX2" s="2055"/>
      <c r="BY2" s="2055"/>
      <c r="BZ2" s="2055"/>
      <c r="CA2" s="2055"/>
      <c r="CB2" s="2055"/>
      <c r="CC2" s="2055"/>
      <c r="CD2" s="2055"/>
      <c r="CE2" s="2055"/>
      <c r="CF2" s="2055"/>
      <c r="CG2" s="2055"/>
      <c r="CH2" s="2055"/>
      <c r="CI2" s="2055"/>
      <c r="CJ2" s="2055"/>
      <c r="CK2" s="2055"/>
      <c r="CL2" s="2055"/>
      <c r="CM2" s="2055"/>
      <c r="CN2" s="2055"/>
      <c r="CO2" s="2055"/>
      <c r="CP2" s="2055"/>
      <c r="CQ2" s="2055"/>
      <c r="CR2" s="2055"/>
      <c r="CS2" s="2055"/>
      <c r="CT2" s="2056"/>
      <c r="CU2" s="2056"/>
      <c r="CV2" s="2056"/>
      <c r="CW2" s="2056"/>
    </row>
    <row r="3" spans="1:103" s="1" customFormat="1" ht="38.25" thickBot="1" x14ac:dyDescent="0.3">
      <c r="B3" s="1546" t="s">
        <v>93</v>
      </c>
      <c r="C3" s="1547" t="s">
        <v>0</v>
      </c>
      <c r="D3" s="1547" t="s">
        <v>1</v>
      </c>
      <c r="E3" s="1548" t="s">
        <v>804</v>
      </c>
      <c r="F3" s="1548" t="s">
        <v>805</v>
      </c>
      <c r="G3" s="1548" t="s">
        <v>806</v>
      </c>
      <c r="H3" s="1548" t="s">
        <v>807</v>
      </c>
      <c r="I3" s="1548" t="s">
        <v>808</v>
      </c>
      <c r="J3" s="2420" t="s">
        <v>5377</v>
      </c>
      <c r="K3" s="1548" t="s">
        <v>809</v>
      </c>
      <c r="L3" s="1548" t="s">
        <v>810</v>
      </c>
      <c r="M3" s="1548" t="s">
        <v>811</v>
      </c>
      <c r="N3" s="1548" t="s">
        <v>5417</v>
      </c>
      <c r="O3" s="1548" t="s">
        <v>5416</v>
      </c>
      <c r="P3" s="1548" t="s">
        <v>812</v>
      </c>
      <c r="Q3" s="1548" t="s">
        <v>1722</v>
      </c>
      <c r="R3" s="1548" t="s">
        <v>813</v>
      </c>
      <c r="S3" s="1548" t="s">
        <v>4181</v>
      </c>
      <c r="T3" s="1548" t="s">
        <v>814</v>
      </c>
      <c r="U3" s="1548" t="s">
        <v>2190</v>
      </c>
      <c r="V3" s="1548" t="s">
        <v>2189</v>
      </c>
      <c r="W3" s="1548" t="s">
        <v>2206</v>
      </c>
      <c r="X3" s="1548" t="s">
        <v>815</v>
      </c>
      <c r="Y3" s="1548" t="s">
        <v>816</v>
      </c>
      <c r="Z3" s="1548" t="s">
        <v>4978</v>
      </c>
      <c r="AA3" s="1548" t="s">
        <v>817</v>
      </c>
      <c r="AB3" s="1548" t="s">
        <v>3859</v>
      </c>
      <c r="AC3" s="1548" t="s">
        <v>2188</v>
      </c>
      <c r="AD3" s="1548" t="s">
        <v>2187</v>
      </c>
      <c r="AE3" s="1548" t="s">
        <v>4756</v>
      </c>
      <c r="AF3" s="1548" t="s">
        <v>4757</v>
      </c>
      <c r="AG3" s="1548" t="s">
        <v>3594</v>
      </c>
      <c r="AH3" s="1548" t="s">
        <v>818</v>
      </c>
      <c r="AI3" s="1548" t="s">
        <v>819</v>
      </c>
      <c r="AJ3" s="1548" t="s">
        <v>821</v>
      </c>
      <c r="AK3" s="2420" t="s">
        <v>5378</v>
      </c>
      <c r="AL3" s="1548" t="s">
        <v>822</v>
      </c>
      <c r="AM3" s="1548" t="s">
        <v>823</v>
      </c>
      <c r="AN3" s="1548" t="s">
        <v>2100</v>
      </c>
      <c r="AO3" s="1548" t="s">
        <v>824</v>
      </c>
      <c r="AP3" s="1548" t="s">
        <v>825</v>
      </c>
      <c r="AQ3" s="2420" t="s">
        <v>5379</v>
      </c>
      <c r="AR3" s="1548" t="s">
        <v>826</v>
      </c>
      <c r="AS3" s="1548" t="s">
        <v>827</v>
      </c>
      <c r="AT3" s="1548" t="s">
        <v>829</v>
      </c>
      <c r="AU3" s="1548" t="s">
        <v>830</v>
      </c>
      <c r="AV3" s="1548" t="s">
        <v>831</v>
      </c>
      <c r="AW3" s="1548" t="s">
        <v>832</v>
      </c>
      <c r="AX3" s="1548" t="s">
        <v>1157</v>
      </c>
      <c r="AY3" s="1548" t="s">
        <v>1158</v>
      </c>
      <c r="AZ3" s="1548" t="s">
        <v>997</v>
      </c>
      <c r="BA3" s="1548" t="s">
        <v>1632</v>
      </c>
      <c r="BB3" s="1548" t="s">
        <v>1043</v>
      </c>
      <c r="BC3" s="1548" t="s">
        <v>1596</v>
      </c>
      <c r="BD3" s="1548" t="s">
        <v>1633</v>
      </c>
      <c r="BE3" s="1548" t="s">
        <v>1634</v>
      </c>
      <c r="BF3" s="1548" t="s">
        <v>1635</v>
      </c>
      <c r="BG3" s="1548" t="s">
        <v>1636</v>
      </c>
      <c r="BH3" s="1548" t="s">
        <v>1637</v>
      </c>
      <c r="BI3" s="1548" t="s">
        <v>1638</v>
      </c>
      <c r="BJ3" s="1548" t="s">
        <v>1639</v>
      </c>
      <c r="BK3" s="1548" t="s">
        <v>4218</v>
      </c>
      <c r="BL3" s="1548" t="s">
        <v>4103</v>
      </c>
      <c r="BM3" s="1548" t="s">
        <v>4104</v>
      </c>
      <c r="BN3" s="1548" t="s">
        <v>4105</v>
      </c>
      <c r="BO3" s="1548" t="s">
        <v>4106</v>
      </c>
      <c r="BP3" s="1548" t="s">
        <v>4107</v>
      </c>
      <c r="BQ3" s="1548" t="s">
        <v>4108</v>
      </c>
      <c r="BR3" s="1549" t="s">
        <v>999</v>
      </c>
      <c r="BS3" s="1549" t="s">
        <v>1131</v>
      </c>
      <c r="BT3" s="1549" t="s">
        <v>4113</v>
      </c>
      <c r="BU3" s="1549" t="s">
        <v>355</v>
      </c>
      <c r="BV3" s="1548" t="s">
        <v>1113</v>
      </c>
      <c r="BW3" s="1548" t="s">
        <v>5283</v>
      </c>
      <c r="BX3" s="1548" t="s">
        <v>5287</v>
      </c>
      <c r="BY3" s="1548" t="s">
        <v>5289</v>
      </c>
      <c r="BZ3" s="1548" t="s">
        <v>5291</v>
      </c>
      <c r="CA3" s="1548" t="s">
        <v>5123</v>
      </c>
      <c r="CB3" s="1548" t="s">
        <v>4114</v>
      </c>
      <c r="CC3" s="1550" t="s">
        <v>4848</v>
      </c>
      <c r="CD3" s="1547" t="s">
        <v>1640</v>
      </c>
      <c r="CE3" s="1547" t="s">
        <v>1641</v>
      </c>
      <c r="CF3" s="1547" t="s">
        <v>1642</v>
      </c>
      <c r="CG3" s="1547" t="s">
        <v>1643</v>
      </c>
      <c r="CH3" s="1547" t="s">
        <v>1050</v>
      </c>
      <c r="CI3" s="1547" t="s">
        <v>3595</v>
      </c>
      <c r="CJ3" s="1547" t="s">
        <v>3596</v>
      </c>
      <c r="CK3" s="1547" t="s">
        <v>1644</v>
      </c>
      <c r="CL3" s="1547" t="s">
        <v>3063</v>
      </c>
      <c r="CM3" s="1547" t="s">
        <v>3064</v>
      </c>
      <c r="CN3" s="1547" t="s">
        <v>3065</v>
      </c>
      <c r="CO3" s="1547" t="s">
        <v>3066</v>
      </c>
      <c r="CP3" s="1547" t="s">
        <v>3067</v>
      </c>
      <c r="CQ3" s="1547" t="s">
        <v>3599</v>
      </c>
      <c r="CR3" s="1547" t="s">
        <v>3600</v>
      </c>
      <c r="CS3" s="1547" t="s">
        <v>3068</v>
      </c>
      <c r="CT3" s="1551" t="s">
        <v>1218</v>
      </c>
      <c r="CU3" s="1552" t="s">
        <v>2</v>
      </c>
      <c r="CV3" s="1552" t="s">
        <v>9</v>
      </c>
      <c r="CW3" s="1553" t="s">
        <v>116</v>
      </c>
      <c r="CX3" s="2057"/>
    </row>
    <row r="4" spans="1:103" ht="18" x14ac:dyDescent="0.35">
      <c r="B4" s="1554">
        <v>1</v>
      </c>
      <c r="C4" s="1555" t="s">
        <v>224</v>
      </c>
      <c r="D4" s="1556" t="s">
        <v>1645</v>
      </c>
      <c r="E4" s="1469" t="s">
        <v>1724</v>
      </c>
      <c r="F4" s="1557"/>
      <c r="G4" s="1557"/>
      <c r="H4" s="1557"/>
      <c r="I4" s="1557"/>
      <c r="J4" s="1557"/>
      <c r="K4" s="1557"/>
      <c r="L4" s="1557"/>
      <c r="M4" s="1557"/>
      <c r="N4" s="1557"/>
      <c r="O4" s="1557"/>
      <c r="P4" s="1557"/>
      <c r="Q4" s="1557"/>
      <c r="R4" s="1557">
        <v>1</v>
      </c>
      <c r="S4" s="1557"/>
      <c r="T4" s="1557"/>
      <c r="U4" s="1557"/>
      <c r="V4" s="1557"/>
      <c r="W4" s="1557"/>
      <c r="X4" s="1557"/>
      <c r="Y4" s="1557"/>
      <c r="Z4" s="1557"/>
      <c r="AA4" s="1469" t="s">
        <v>1646</v>
      </c>
      <c r="AB4" s="1469"/>
      <c r="AC4" s="1557"/>
      <c r="AD4" s="1557"/>
      <c r="AE4" s="1557"/>
      <c r="AF4" s="1557"/>
      <c r="AG4" s="1557"/>
      <c r="AH4" s="1557"/>
      <c r="AI4" s="1557"/>
      <c r="AJ4" s="1557"/>
      <c r="AK4" s="1557"/>
      <c r="AL4" s="1557"/>
      <c r="AM4" s="1469" t="s">
        <v>1647</v>
      </c>
      <c r="AN4" s="1557"/>
      <c r="AO4" s="1557"/>
      <c r="AP4" s="1557"/>
      <c r="AQ4" s="1557"/>
      <c r="AR4" s="1557"/>
      <c r="AS4" s="1469" t="s">
        <v>1728</v>
      </c>
      <c r="AT4" s="1469"/>
      <c r="AU4" s="1469"/>
      <c r="AV4" s="1469" t="s">
        <v>1955</v>
      </c>
      <c r="AW4" s="1469" t="s">
        <v>2427</v>
      </c>
      <c r="AX4" s="1469" t="s">
        <v>3529</v>
      </c>
      <c r="AY4" s="1469" t="s">
        <v>3530</v>
      </c>
      <c r="AZ4" s="1469" t="s">
        <v>3531</v>
      </c>
      <c r="BA4" s="1469" t="s">
        <v>3532</v>
      </c>
      <c r="BB4" s="1469"/>
      <c r="BC4" s="1469"/>
      <c r="BD4" s="1469"/>
      <c r="BE4" s="1469"/>
      <c r="BF4" s="1469"/>
      <c r="BG4" s="1469"/>
      <c r="BH4" s="1469"/>
      <c r="BI4" s="1469"/>
      <c r="BJ4" s="1469"/>
      <c r="BK4" s="1469"/>
      <c r="BL4" s="1469"/>
      <c r="BM4" s="1469"/>
      <c r="BN4" s="1469"/>
      <c r="BO4" s="1469"/>
      <c r="BP4" s="1469"/>
      <c r="BQ4" s="1469"/>
      <c r="BR4" s="1469"/>
      <c r="BS4" s="1469"/>
      <c r="BT4" s="1469"/>
      <c r="BU4" s="1469"/>
      <c r="BV4" s="1469"/>
      <c r="BW4" s="2352"/>
      <c r="BX4" s="2352"/>
      <c r="BY4" s="2352"/>
      <c r="BZ4" s="2352"/>
      <c r="CA4" s="1469"/>
      <c r="CB4" s="1469"/>
      <c r="CC4" s="1469"/>
      <c r="CD4" s="1469"/>
      <c r="CE4" s="1469"/>
      <c r="CF4" s="1469"/>
      <c r="CG4" s="1469"/>
      <c r="CH4" s="1469"/>
      <c r="CI4" s="1469"/>
      <c r="CJ4" s="1469"/>
      <c r="CK4" s="1469"/>
      <c r="CL4" s="1469"/>
      <c r="CM4" s="1469"/>
      <c r="CN4" s="1469"/>
      <c r="CO4" s="1469"/>
      <c r="CP4" s="1469"/>
      <c r="CQ4" s="1469"/>
      <c r="CR4" s="1469"/>
      <c r="CS4" s="1469"/>
      <c r="CT4" s="1558" t="s">
        <v>3557</v>
      </c>
      <c r="CU4" s="1559" t="s">
        <v>1999</v>
      </c>
      <c r="CV4" s="1559"/>
      <c r="CW4" s="1560"/>
    </row>
    <row r="5" spans="1:103" ht="18" x14ac:dyDescent="0.35">
      <c r="B5" s="362">
        <v>2</v>
      </c>
      <c r="C5" s="363" t="s">
        <v>225</v>
      </c>
      <c r="D5" s="523" t="s">
        <v>3621</v>
      </c>
      <c r="E5" s="496" t="s">
        <v>3624</v>
      </c>
      <c r="F5" s="497"/>
      <c r="G5" s="497"/>
      <c r="H5" s="497"/>
      <c r="I5" s="497"/>
      <c r="J5" s="497"/>
      <c r="K5" s="497"/>
      <c r="L5" s="497"/>
      <c r="M5" s="497"/>
      <c r="N5" s="497"/>
      <c r="O5" s="497"/>
      <c r="P5" s="497"/>
      <c r="Q5" s="497"/>
      <c r="R5" s="497">
        <v>1</v>
      </c>
      <c r="S5" s="497"/>
      <c r="T5" s="497"/>
      <c r="U5" s="497"/>
      <c r="V5" s="497"/>
      <c r="W5" s="497"/>
      <c r="X5" s="497"/>
      <c r="Y5" s="497"/>
      <c r="Z5" s="497"/>
      <c r="AA5" s="496" t="s">
        <v>1646</v>
      </c>
      <c r="AB5" s="496"/>
      <c r="AC5" s="496" t="s">
        <v>3626</v>
      </c>
      <c r="AD5" s="496" t="s">
        <v>3628</v>
      </c>
      <c r="AE5" s="496"/>
      <c r="AF5" s="496"/>
      <c r="AG5" s="496"/>
      <c r="AH5" s="496"/>
      <c r="AI5" s="497"/>
      <c r="AJ5" s="497"/>
      <c r="AK5" s="497"/>
      <c r="AL5" s="497"/>
      <c r="AM5" s="496" t="s">
        <v>1647</v>
      </c>
      <c r="AN5" s="497"/>
      <c r="AO5" s="497"/>
      <c r="AP5" s="497"/>
      <c r="AQ5" s="497"/>
      <c r="AR5" s="497"/>
      <c r="AS5" s="496"/>
      <c r="AT5" s="496"/>
      <c r="AU5" s="496"/>
      <c r="AV5" s="496" t="s">
        <v>3630</v>
      </c>
      <c r="AW5" s="496" t="s">
        <v>2427</v>
      </c>
      <c r="AX5" s="496" t="s">
        <v>3529</v>
      </c>
      <c r="AY5" s="496" t="s">
        <v>3530</v>
      </c>
      <c r="AZ5" s="496" t="s">
        <v>3531</v>
      </c>
      <c r="BA5" s="496" t="s">
        <v>3532</v>
      </c>
      <c r="BB5" s="496"/>
      <c r="BC5" s="496"/>
      <c r="BD5" s="496"/>
      <c r="BE5" s="496"/>
      <c r="BF5" s="496"/>
      <c r="BG5" s="496"/>
      <c r="BH5" s="496"/>
      <c r="BI5" s="496"/>
      <c r="BJ5" s="496"/>
      <c r="BK5" s="496"/>
      <c r="BL5" s="496"/>
      <c r="BM5" s="496"/>
      <c r="BN5" s="496"/>
      <c r="BO5" s="496"/>
      <c r="BP5" s="496"/>
      <c r="BQ5" s="496"/>
      <c r="BR5" s="496"/>
      <c r="BS5" s="496"/>
      <c r="BT5" s="496"/>
      <c r="BU5" s="496"/>
      <c r="BV5" s="496"/>
      <c r="BW5" s="2353"/>
      <c r="BX5" s="2353"/>
      <c r="BY5" s="2353"/>
      <c r="BZ5" s="2353"/>
      <c r="CA5" s="496"/>
      <c r="CB5" s="496"/>
      <c r="CC5" s="496"/>
      <c r="CD5" s="496"/>
      <c r="CE5" s="496"/>
      <c r="CF5" s="496"/>
      <c r="CG5" s="496"/>
      <c r="CH5" s="496"/>
      <c r="CI5" s="496"/>
      <c r="CJ5" s="496"/>
      <c r="CK5" s="496"/>
      <c r="CL5" s="496"/>
      <c r="CM5" s="496"/>
      <c r="CN5" s="496"/>
      <c r="CO5" s="496"/>
      <c r="CP5" s="496"/>
      <c r="CQ5" s="496"/>
      <c r="CR5" s="496"/>
      <c r="CS5" s="496"/>
      <c r="CT5" s="524" t="s">
        <v>3810</v>
      </c>
      <c r="CU5" s="498" t="s">
        <v>1999</v>
      </c>
      <c r="CV5" s="498"/>
      <c r="CW5" s="1561"/>
    </row>
    <row r="6" spans="1:103" ht="18" customHeight="1" x14ac:dyDescent="0.35">
      <c r="B6" s="362">
        <v>3</v>
      </c>
      <c r="C6" s="363" t="s">
        <v>226</v>
      </c>
      <c r="D6" s="523" t="s">
        <v>3723</v>
      </c>
      <c r="E6" s="496" t="s">
        <v>3624</v>
      </c>
      <c r="F6" s="496"/>
      <c r="G6" s="497"/>
      <c r="H6" s="497"/>
      <c r="I6" s="497"/>
      <c r="J6" s="497"/>
      <c r="K6" s="497"/>
      <c r="L6" s="497"/>
      <c r="M6" s="497"/>
      <c r="N6" s="497"/>
      <c r="O6" s="497"/>
      <c r="P6" s="497"/>
      <c r="Q6" s="497"/>
      <c r="R6" s="497">
        <v>1</v>
      </c>
      <c r="S6" s="497"/>
      <c r="T6" s="497"/>
      <c r="U6" s="497"/>
      <c r="V6" s="497"/>
      <c r="W6" s="497"/>
      <c r="X6" s="497"/>
      <c r="Y6" s="497"/>
      <c r="Z6" s="497"/>
      <c r="AA6" s="496" t="s">
        <v>1646</v>
      </c>
      <c r="AB6" s="496"/>
      <c r="AC6" s="496"/>
      <c r="AD6" s="496" t="s">
        <v>3726</v>
      </c>
      <c r="AE6" s="496"/>
      <c r="AF6" s="496" t="s">
        <v>3727</v>
      </c>
      <c r="AG6" s="496"/>
      <c r="AH6" s="496"/>
      <c r="AI6" s="497"/>
      <c r="AJ6" s="497"/>
      <c r="AK6" s="497"/>
      <c r="AL6" s="497"/>
      <c r="AM6" s="496" t="s">
        <v>1647</v>
      </c>
      <c r="AN6" s="497"/>
      <c r="AO6" s="497"/>
      <c r="AP6" s="497"/>
      <c r="AQ6" s="497"/>
      <c r="AR6" s="497"/>
      <c r="AS6" s="496"/>
      <c r="AT6" s="496"/>
      <c r="AU6" s="496"/>
      <c r="AV6" s="496" t="s">
        <v>3630</v>
      </c>
      <c r="AW6" s="496" t="s">
        <v>2427</v>
      </c>
      <c r="AX6" s="496" t="s">
        <v>3529</v>
      </c>
      <c r="AY6" s="496" t="s">
        <v>3530</v>
      </c>
      <c r="AZ6" s="496" t="s">
        <v>3531</v>
      </c>
      <c r="BA6" s="496" t="s">
        <v>3532</v>
      </c>
      <c r="BB6" s="496"/>
      <c r="BC6" s="496"/>
      <c r="BD6" s="496"/>
      <c r="BE6" s="496"/>
      <c r="BF6" s="496"/>
      <c r="BG6" s="496"/>
      <c r="BH6" s="496"/>
      <c r="BI6" s="496"/>
      <c r="BJ6" s="496"/>
      <c r="BK6" s="496"/>
      <c r="BL6" s="496"/>
      <c r="BM6" s="496"/>
      <c r="BN6" s="496"/>
      <c r="BO6" s="496"/>
      <c r="BP6" s="496"/>
      <c r="BQ6" s="496"/>
      <c r="BR6" s="496"/>
      <c r="BS6" s="496"/>
      <c r="BT6" s="496"/>
      <c r="BU6" s="496"/>
      <c r="BV6" s="496"/>
      <c r="BW6" s="2353"/>
      <c r="BX6" s="2353"/>
      <c r="BY6" s="2353"/>
      <c r="BZ6" s="2353"/>
      <c r="CA6" s="496"/>
      <c r="CB6" s="496"/>
      <c r="CC6" s="496"/>
      <c r="CD6" s="496"/>
      <c r="CE6" s="496"/>
      <c r="CF6" s="496"/>
      <c r="CG6" s="496"/>
      <c r="CH6" s="496"/>
      <c r="CI6" s="496"/>
      <c r="CJ6" s="496"/>
      <c r="CK6" s="496"/>
      <c r="CL6" s="496"/>
      <c r="CM6" s="496"/>
      <c r="CN6" s="496"/>
      <c r="CO6" s="496"/>
      <c r="CP6" s="496"/>
      <c r="CQ6" s="496"/>
      <c r="CR6" s="496"/>
      <c r="CS6" s="496"/>
      <c r="CT6" s="524" t="s">
        <v>3811</v>
      </c>
      <c r="CU6" s="498" t="s">
        <v>1999</v>
      </c>
      <c r="CV6" s="498"/>
      <c r="CW6" s="1561"/>
      <c r="CY6" s="2058"/>
    </row>
    <row r="7" spans="1:103" ht="18" customHeight="1" x14ac:dyDescent="0.25">
      <c r="B7" s="362">
        <v>4</v>
      </c>
      <c r="C7" s="363" t="s">
        <v>227</v>
      </c>
      <c r="D7" s="523" t="s">
        <v>3724</v>
      </c>
      <c r="E7" s="496" t="s">
        <v>3624</v>
      </c>
      <c r="F7" s="496"/>
      <c r="G7" s="497"/>
      <c r="H7" s="497"/>
      <c r="I7" s="497"/>
      <c r="J7" s="497"/>
      <c r="K7" s="497"/>
      <c r="L7" s="497"/>
      <c r="M7" s="497"/>
      <c r="N7" s="497"/>
      <c r="O7" s="497"/>
      <c r="P7" s="497"/>
      <c r="Q7" s="497"/>
      <c r="R7" s="497">
        <v>1</v>
      </c>
      <c r="S7" s="497"/>
      <c r="T7" s="497"/>
      <c r="U7" s="497"/>
      <c r="V7" s="497"/>
      <c r="W7" s="497"/>
      <c r="X7" s="497"/>
      <c r="Y7" s="497"/>
      <c r="Z7" s="497"/>
      <c r="AA7" s="496" t="s">
        <v>1646</v>
      </c>
      <c r="AB7" s="496"/>
      <c r="AC7" s="496"/>
      <c r="AD7" s="496"/>
      <c r="AE7" s="496"/>
      <c r="AF7" s="496" t="s">
        <v>3728</v>
      </c>
      <c r="AG7" s="496" t="s">
        <v>3729</v>
      </c>
      <c r="AH7" s="496"/>
      <c r="AI7" s="497"/>
      <c r="AJ7" s="497"/>
      <c r="AK7" s="497"/>
      <c r="AL7" s="497"/>
      <c r="AM7" s="496" t="s">
        <v>1647</v>
      </c>
      <c r="AN7" s="497"/>
      <c r="AO7" s="497"/>
      <c r="AP7" s="497"/>
      <c r="AQ7" s="497"/>
      <c r="AR7" s="497"/>
      <c r="AS7" s="496"/>
      <c r="AT7" s="496"/>
      <c r="AU7" s="496"/>
      <c r="AV7" s="496" t="s">
        <v>3630</v>
      </c>
      <c r="AW7" s="496" t="s">
        <v>2427</v>
      </c>
      <c r="AX7" s="496" t="s">
        <v>3529</v>
      </c>
      <c r="AY7" s="496" t="s">
        <v>3530</v>
      </c>
      <c r="AZ7" s="496" t="s">
        <v>3531</v>
      </c>
      <c r="BA7" s="496" t="s">
        <v>3532</v>
      </c>
      <c r="BB7" s="496"/>
      <c r="BC7" s="496"/>
      <c r="BD7" s="496"/>
      <c r="BE7" s="496"/>
      <c r="BF7" s="496"/>
      <c r="BG7" s="496"/>
      <c r="BH7" s="496"/>
      <c r="BI7" s="496"/>
      <c r="BJ7" s="496"/>
      <c r="BK7" s="496"/>
      <c r="BL7" s="496"/>
      <c r="BM7" s="496"/>
      <c r="BN7" s="496"/>
      <c r="BO7" s="496"/>
      <c r="BP7" s="496"/>
      <c r="BQ7" s="496"/>
      <c r="BR7" s="496"/>
      <c r="BS7" s="496"/>
      <c r="BT7" s="496"/>
      <c r="BU7" s="496"/>
      <c r="BV7" s="496"/>
      <c r="BW7" s="2353"/>
      <c r="BX7" s="2353"/>
      <c r="BY7" s="2353"/>
      <c r="BZ7" s="2353"/>
      <c r="CA7" s="496"/>
      <c r="CB7" s="496"/>
      <c r="CC7" s="496"/>
      <c r="CD7" s="496"/>
      <c r="CE7" s="496"/>
      <c r="CF7" s="496"/>
      <c r="CG7" s="496"/>
      <c r="CH7" s="496"/>
      <c r="CI7" s="496"/>
      <c r="CJ7" s="496"/>
      <c r="CK7" s="496"/>
      <c r="CL7" s="496"/>
      <c r="CM7" s="496"/>
      <c r="CN7" s="496"/>
      <c r="CO7" s="496"/>
      <c r="CP7" s="496"/>
      <c r="CQ7" s="496"/>
      <c r="CR7" s="496"/>
      <c r="CS7" s="496"/>
      <c r="CT7" s="524" t="s">
        <v>3812</v>
      </c>
      <c r="CU7" s="498" t="s">
        <v>1999</v>
      </c>
      <c r="CV7" s="498"/>
      <c r="CW7" s="1561"/>
      <c r="CY7" s="2058"/>
    </row>
    <row r="8" spans="1:103" ht="18" customHeight="1" x14ac:dyDescent="0.35">
      <c r="B8" s="362">
        <v>5</v>
      </c>
      <c r="C8" s="363" t="s">
        <v>228</v>
      </c>
      <c r="D8" s="523" t="s">
        <v>3725</v>
      </c>
      <c r="E8" s="496" t="s">
        <v>3624</v>
      </c>
      <c r="F8" s="496"/>
      <c r="G8" s="497"/>
      <c r="H8" s="497"/>
      <c r="I8" s="497"/>
      <c r="J8" s="497"/>
      <c r="K8" s="497"/>
      <c r="L8" s="497"/>
      <c r="M8" s="497"/>
      <c r="N8" s="497"/>
      <c r="O8" s="497"/>
      <c r="P8" s="497"/>
      <c r="Q8" s="497"/>
      <c r="R8" s="497">
        <v>1</v>
      </c>
      <c r="S8" s="497"/>
      <c r="T8" s="497"/>
      <c r="U8" s="497"/>
      <c r="V8" s="497"/>
      <c r="W8" s="497"/>
      <c r="X8" s="497"/>
      <c r="Y8" s="497"/>
      <c r="Z8" s="497"/>
      <c r="AA8" s="496" t="s">
        <v>1646</v>
      </c>
      <c r="AB8" s="496"/>
      <c r="AC8" s="496"/>
      <c r="AD8" s="496"/>
      <c r="AE8" s="496"/>
      <c r="AF8" s="496"/>
      <c r="AG8" s="496" t="s">
        <v>3730</v>
      </c>
      <c r="AH8" s="496" t="s">
        <v>3731</v>
      </c>
      <c r="AI8" s="497"/>
      <c r="AJ8" s="497"/>
      <c r="AK8" s="497"/>
      <c r="AL8" s="497"/>
      <c r="AM8" s="496" t="s">
        <v>1647</v>
      </c>
      <c r="AN8" s="497"/>
      <c r="AO8" s="497"/>
      <c r="AP8" s="497"/>
      <c r="AQ8" s="497"/>
      <c r="AR8" s="497"/>
      <c r="AS8" s="496"/>
      <c r="AT8" s="496"/>
      <c r="AU8" s="496"/>
      <c r="AV8" s="496" t="s">
        <v>3630</v>
      </c>
      <c r="AW8" s="496" t="s">
        <v>2427</v>
      </c>
      <c r="AX8" s="496" t="s">
        <v>3529</v>
      </c>
      <c r="AY8" s="496" t="s">
        <v>3530</v>
      </c>
      <c r="AZ8" s="496" t="s">
        <v>3531</v>
      </c>
      <c r="BA8" s="496" t="s">
        <v>3532</v>
      </c>
      <c r="BB8" s="496"/>
      <c r="BC8" s="496"/>
      <c r="BD8" s="496"/>
      <c r="BE8" s="496"/>
      <c r="BF8" s="496"/>
      <c r="BG8" s="496"/>
      <c r="BH8" s="496"/>
      <c r="BI8" s="496"/>
      <c r="BJ8" s="496"/>
      <c r="BK8" s="496"/>
      <c r="BL8" s="496"/>
      <c r="BM8" s="496"/>
      <c r="BN8" s="496"/>
      <c r="BO8" s="496"/>
      <c r="BP8" s="496"/>
      <c r="BQ8" s="496"/>
      <c r="BR8" s="496"/>
      <c r="BS8" s="496"/>
      <c r="BT8" s="496"/>
      <c r="BU8" s="496"/>
      <c r="BV8" s="496"/>
      <c r="BW8" s="2353"/>
      <c r="BX8" s="2353"/>
      <c r="BY8" s="2353"/>
      <c r="BZ8" s="2353"/>
      <c r="CA8" s="496"/>
      <c r="CB8" s="496"/>
      <c r="CC8" s="496"/>
      <c r="CD8" s="496"/>
      <c r="CE8" s="496"/>
      <c r="CF8" s="496"/>
      <c r="CG8" s="496"/>
      <c r="CH8" s="496"/>
      <c r="CI8" s="496"/>
      <c r="CJ8" s="496"/>
      <c r="CK8" s="496"/>
      <c r="CL8" s="496"/>
      <c r="CM8" s="496"/>
      <c r="CN8" s="496"/>
      <c r="CO8" s="496"/>
      <c r="CP8" s="496"/>
      <c r="CQ8" s="496"/>
      <c r="CR8" s="496"/>
      <c r="CS8" s="496"/>
      <c r="CT8" s="524" t="s">
        <v>3813</v>
      </c>
      <c r="CU8" s="498" t="s">
        <v>1999</v>
      </c>
      <c r="CV8" s="498"/>
      <c r="CW8" s="1561"/>
      <c r="CY8" s="2058"/>
    </row>
    <row r="9" spans="1:103" ht="18" x14ac:dyDescent="0.35">
      <c r="B9" s="362">
        <v>6</v>
      </c>
      <c r="C9" s="363" t="s">
        <v>229</v>
      </c>
      <c r="D9" s="523" t="s">
        <v>1648</v>
      </c>
      <c r="E9" s="497"/>
      <c r="F9" s="496" t="s">
        <v>1725</v>
      </c>
      <c r="G9" s="497"/>
      <c r="H9" s="497"/>
      <c r="I9" s="497"/>
      <c r="J9" s="497"/>
      <c r="K9" s="497"/>
      <c r="L9" s="497"/>
      <c r="M9" s="497"/>
      <c r="N9" s="497"/>
      <c r="O9" s="497"/>
      <c r="P9" s="497"/>
      <c r="Q9" s="497"/>
      <c r="R9" s="497">
        <v>1</v>
      </c>
      <c r="S9" s="497"/>
      <c r="T9" s="497"/>
      <c r="U9" s="497"/>
      <c r="V9" s="497"/>
      <c r="W9" s="497"/>
      <c r="X9" s="497"/>
      <c r="Y9" s="497"/>
      <c r="Z9" s="497"/>
      <c r="AA9" s="496" t="s">
        <v>1646</v>
      </c>
      <c r="AB9" s="496"/>
      <c r="AC9" s="496"/>
      <c r="AD9" s="496"/>
      <c r="AE9" s="496"/>
      <c r="AF9" s="496"/>
      <c r="AG9" s="496"/>
      <c r="AH9" s="497"/>
      <c r="AI9" s="497"/>
      <c r="AJ9" s="497"/>
      <c r="AK9" s="497"/>
      <c r="AL9" s="497"/>
      <c r="AM9" s="496" t="s">
        <v>1647</v>
      </c>
      <c r="AN9" s="497"/>
      <c r="AO9" s="497"/>
      <c r="AP9" s="497"/>
      <c r="AQ9" s="497"/>
      <c r="AR9" s="497"/>
      <c r="AS9" s="496" t="s">
        <v>1729</v>
      </c>
      <c r="AT9" s="496"/>
      <c r="AU9" s="496"/>
      <c r="AV9" s="496" t="s">
        <v>1956</v>
      </c>
      <c r="AW9" s="496" t="s">
        <v>2427</v>
      </c>
      <c r="AX9" s="496" t="s">
        <v>3529</v>
      </c>
      <c r="AY9" s="496" t="s">
        <v>3530</v>
      </c>
      <c r="AZ9" s="496" t="s">
        <v>3531</v>
      </c>
      <c r="BA9" s="496" t="s">
        <v>3532</v>
      </c>
      <c r="BB9" s="496"/>
      <c r="BC9" s="496"/>
      <c r="BD9" s="496"/>
      <c r="BE9" s="496"/>
      <c r="BF9" s="496"/>
      <c r="BG9" s="496"/>
      <c r="BH9" s="496"/>
      <c r="BI9" s="496"/>
      <c r="BJ9" s="496"/>
      <c r="BK9" s="496"/>
      <c r="BL9" s="496"/>
      <c r="BM9" s="496"/>
      <c r="BN9" s="496"/>
      <c r="BO9" s="496"/>
      <c r="BP9" s="496"/>
      <c r="BQ9" s="496"/>
      <c r="BR9" s="496"/>
      <c r="BS9" s="496"/>
      <c r="BT9" s="496"/>
      <c r="BU9" s="496"/>
      <c r="BV9" s="496"/>
      <c r="BW9" s="2353"/>
      <c r="BX9" s="2353"/>
      <c r="BY9" s="2353"/>
      <c r="BZ9" s="2353"/>
      <c r="CA9" s="496"/>
      <c r="CB9" s="496"/>
      <c r="CC9" s="496"/>
      <c r="CD9" s="496"/>
      <c r="CE9" s="496"/>
      <c r="CF9" s="496"/>
      <c r="CG9" s="496"/>
      <c r="CH9" s="496"/>
      <c r="CI9" s="496"/>
      <c r="CJ9" s="496"/>
      <c r="CK9" s="496"/>
      <c r="CL9" s="496"/>
      <c r="CM9" s="496"/>
      <c r="CN9" s="496"/>
      <c r="CO9" s="496"/>
      <c r="CP9" s="496"/>
      <c r="CQ9" s="496"/>
      <c r="CR9" s="496"/>
      <c r="CS9" s="496"/>
      <c r="CT9" s="524" t="s">
        <v>3558</v>
      </c>
      <c r="CU9" s="498" t="s">
        <v>1999</v>
      </c>
      <c r="CV9" s="498"/>
      <c r="CW9" s="1561"/>
      <c r="CY9" s="2058"/>
    </row>
    <row r="10" spans="1:103" ht="18" x14ac:dyDescent="0.35">
      <c r="B10" s="362">
        <v>7</v>
      </c>
      <c r="C10" s="363" t="s">
        <v>230</v>
      </c>
      <c r="D10" s="523" t="s">
        <v>3623</v>
      </c>
      <c r="E10" s="497"/>
      <c r="F10" s="496" t="s">
        <v>3625</v>
      </c>
      <c r="G10" s="497"/>
      <c r="H10" s="497"/>
      <c r="I10" s="497"/>
      <c r="J10" s="497"/>
      <c r="K10" s="497"/>
      <c r="L10" s="497"/>
      <c r="M10" s="497"/>
      <c r="N10" s="497"/>
      <c r="O10" s="497"/>
      <c r="P10" s="497"/>
      <c r="Q10" s="497"/>
      <c r="R10" s="497">
        <v>1</v>
      </c>
      <c r="S10" s="497"/>
      <c r="T10" s="497"/>
      <c r="U10" s="497"/>
      <c r="V10" s="497"/>
      <c r="W10" s="497"/>
      <c r="X10" s="497"/>
      <c r="Y10" s="497"/>
      <c r="Z10" s="497"/>
      <c r="AA10" s="496" t="s">
        <v>1646</v>
      </c>
      <c r="AB10" s="496"/>
      <c r="AC10" s="496" t="s">
        <v>3627</v>
      </c>
      <c r="AD10" s="496" t="s">
        <v>3629</v>
      </c>
      <c r="AE10" s="496"/>
      <c r="AF10" s="496"/>
      <c r="AG10" s="496"/>
      <c r="AH10" s="496"/>
      <c r="AI10" s="497"/>
      <c r="AJ10" s="497"/>
      <c r="AK10" s="497"/>
      <c r="AL10" s="497"/>
      <c r="AM10" s="496" t="s">
        <v>1647</v>
      </c>
      <c r="AN10" s="497"/>
      <c r="AO10" s="497"/>
      <c r="AP10" s="497"/>
      <c r="AQ10" s="497"/>
      <c r="AR10" s="497"/>
      <c r="AS10" s="497"/>
      <c r="AT10" s="497"/>
      <c r="AU10" s="497"/>
      <c r="AV10" s="496" t="s">
        <v>3631</v>
      </c>
      <c r="AW10" s="496" t="s">
        <v>2427</v>
      </c>
      <c r="AX10" s="496" t="s">
        <v>3529</v>
      </c>
      <c r="AY10" s="496" t="s">
        <v>3530</v>
      </c>
      <c r="AZ10" s="496" t="s">
        <v>3531</v>
      </c>
      <c r="BA10" s="496" t="s">
        <v>3532</v>
      </c>
      <c r="BB10" s="496"/>
      <c r="BC10" s="496"/>
      <c r="BD10" s="496"/>
      <c r="BE10" s="496"/>
      <c r="BF10" s="496"/>
      <c r="BG10" s="496"/>
      <c r="BH10" s="496"/>
      <c r="BI10" s="496"/>
      <c r="BJ10" s="496"/>
      <c r="BK10" s="496"/>
      <c r="BL10" s="496"/>
      <c r="BM10" s="496"/>
      <c r="BN10" s="496"/>
      <c r="BO10" s="496"/>
      <c r="BP10" s="496"/>
      <c r="BQ10" s="496"/>
      <c r="BR10" s="496"/>
      <c r="BS10" s="496"/>
      <c r="BT10" s="496"/>
      <c r="BU10" s="496"/>
      <c r="BV10" s="496"/>
      <c r="BW10" s="2353"/>
      <c r="BX10" s="2353"/>
      <c r="BY10" s="2353"/>
      <c r="BZ10" s="2353"/>
      <c r="CA10" s="496"/>
      <c r="CB10" s="496"/>
      <c r="CC10" s="496"/>
      <c r="CD10" s="496"/>
      <c r="CE10" s="496"/>
      <c r="CF10" s="496"/>
      <c r="CG10" s="496"/>
      <c r="CH10" s="496"/>
      <c r="CI10" s="496"/>
      <c r="CJ10" s="496"/>
      <c r="CK10" s="496"/>
      <c r="CL10" s="496"/>
      <c r="CM10" s="496"/>
      <c r="CN10" s="496"/>
      <c r="CO10" s="496"/>
      <c r="CP10" s="496"/>
      <c r="CQ10" s="496"/>
      <c r="CR10" s="496"/>
      <c r="CS10" s="496"/>
      <c r="CT10" s="524" t="s">
        <v>3793</v>
      </c>
      <c r="CU10" s="498" t="s">
        <v>1999</v>
      </c>
      <c r="CV10" s="498" t="s">
        <v>3809</v>
      </c>
      <c r="CW10" s="1561"/>
      <c r="CY10" s="2058"/>
    </row>
    <row r="11" spans="1:103" ht="18" customHeight="1" x14ac:dyDescent="0.35">
      <c r="B11" s="362">
        <v>8</v>
      </c>
      <c r="C11" s="363" t="s">
        <v>231</v>
      </c>
      <c r="D11" s="523" t="s">
        <v>3622</v>
      </c>
      <c r="E11" s="497"/>
      <c r="F11" s="496" t="s">
        <v>3625</v>
      </c>
      <c r="G11" s="497"/>
      <c r="H11" s="497"/>
      <c r="I11" s="497"/>
      <c r="J11" s="497"/>
      <c r="K11" s="497"/>
      <c r="L11" s="497"/>
      <c r="M11" s="497"/>
      <c r="N11" s="497"/>
      <c r="O11" s="497"/>
      <c r="P11" s="497"/>
      <c r="Q11" s="497"/>
      <c r="R11" s="497">
        <v>1</v>
      </c>
      <c r="S11" s="497"/>
      <c r="T11" s="497"/>
      <c r="U11" s="497"/>
      <c r="V11" s="497"/>
      <c r="W11" s="497"/>
      <c r="X11" s="497"/>
      <c r="Y11" s="497"/>
      <c r="Z11" s="497"/>
      <c r="AA11" s="496" t="s">
        <v>1646</v>
      </c>
      <c r="AB11" s="496"/>
      <c r="AC11" s="496"/>
      <c r="AD11" s="496" t="s">
        <v>3678</v>
      </c>
      <c r="AE11" s="496"/>
      <c r="AF11" s="496" t="s">
        <v>3679</v>
      </c>
      <c r="AG11" s="496"/>
      <c r="AH11" s="496"/>
      <c r="AI11" s="497"/>
      <c r="AJ11" s="497"/>
      <c r="AK11" s="497"/>
      <c r="AL11" s="497"/>
      <c r="AM11" s="496" t="s">
        <v>1647</v>
      </c>
      <c r="AN11" s="497"/>
      <c r="AO11" s="497"/>
      <c r="AP11" s="497"/>
      <c r="AQ11" s="497"/>
      <c r="AR11" s="497"/>
      <c r="AS11" s="496"/>
      <c r="AT11" s="496"/>
      <c r="AU11" s="496"/>
      <c r="AV11" s="496" t="s">
        <v>3631</v>
      </c>
      <c r="AW11" s="496" t="s">
        <v>2427</v>
      </c>
      <c r="AX11" s="496" t="s">
        <v>3529</v>
      </c>
      <c r="AY11" s="496" t="s">
        <v>3530</v>
      </c>
      <c r="AZ11" s="496" t="s">
        <v>3531</v>
      </c>
      <c r="BA11" s="496" t="s">
        <v>3532</v>
      </c>
      <c r="BB11" s="496"/>
      <c r="BC11" s="496"/>
      <c r="BD11" s="496"/>
      <c r="BE11" s="496"/>
      <c r="BF11" s="496"/>
      <c r="BG11" s="496"/>
      <c r="BH11" s="496"/>
      <c r="BI11" s="496"/>
      <c r="BJ11" s="496"/>
      <c r="BK11" s="496"/>
      <c r="BL11" s="496"/>
      <c r="BM11" s="496"/>
      <c r="BN11" s="496"/>
      <c r="BO11" s="496"/>
      <c r="BP11" s="496"/>
      <c r="BQ11" s="496"/>
      <c r="BR11" s="496"/>
      <c r="BS11" s="496"/>
      <c r="BT11" s="496"/>
      <c r="BU11" s="496"/>
      <c r="BV11" s="496"/>
      <c r="BW11" s="2353"/>
      <c r="BX11" s="2353"/>
      <c r="BY11" s="2353"/>
      <c r="BZ11" s="2353"/>
      <c r="CA11" s="496"/>
      <c r="CB11" s="496"/>
      <c r="CC11" s="496"/>
      <c r="CD11" s="496"/>
      <c r="CE11" s="496"/>
      <c r="CF11" s="496"/>
      <c r="CG11" s="496"/>
      <c r="CH11" s="496"/>
      <c r="CI11" s="496"/>
      <c r="CJ11" s="496"/>
      <c r="CK11" s="496"/>
      <c r="CL11" s="496"/>
      <c r="CM11" s="496"/>
      <c r="CN11" s="496"/>
      <c r="CO11" s="496"/>
      <c r="CP11" s="496"/>
      <c r="CQ11" s="496"/>
      <c r="CR11" s="496"/>
      <c r="CS11" s="496"/>
      <c r="CT11" s="524" t="s">
        <v>3806</v>
      </c>
      <c r="CU11" s="498" t="s">
        <v>1999</v>
      </c>
      <c r="CV11" s="498" t="s">
        <v>3809</v>
      </c>
      <c r="CW11" s="1561"/>
      <c r="CY11" s="2058"/>
    </row>
    <row r="12" spans="1:103" ht="18" customHeight="1" x14ac:dyDescent="0.35">
      <c r="B12" s="362">
        <v>9</v>
      </c>
      <c r="C12" s="363" t="s">
        <v>232</v>
      </c>
      <c r="D12" s="523" t="s">
        <v>3676</v>
      </c>
      <c r="E12" s="497"/>
      <c r="F12" s="496" t="s">
        <v>3625</v>
      </c>
      <c r="G12" s="497"/>
      <c r="H12" s="497"/>
      <c r="I12" s="497"/>
      <c r="J12" s="497"/>
      <c r="K12" s="497"/>
      <c r="L12" s="497"/>
      <c r="M12" s="497"/>
      <c r="N12" s="497"/>
      <c r="O12" s="497"/>
      <c r="P12" s="497"/>
      <c r="Q12" s="497"/>
      <c r="R12" s="497">
        <v>1</v>
      </c>
      <c r="S12" s="497"/>
      <c r="T12" s="497"/>
      <c r="U12" s="497"/>
      <c r="V12" s="497"/>
      <c r="W12" s="497"/>
      <c r="X12" s="497"/>
      <c r="Y12" s="497"/>
      <c r="Z12" s="497"/>
      <c r="AA12" s="496" t="s">
        <v>1646</v>
      </c>
      <c r="AB12" s="496"/>
      <c r="AC12" s="496"/>
      <c r="AD12" s="496"/>
      <c r="AE12" s="496"/>
      <c r="AF12" s="496" t="s">
        <v>3680</v>
      </c>
      <c r="AG12" s="496" t="s">
        <v>3681</v>
      </c>
      <c r="AH12" s="496"/>
      <c r="AI12" s="497"/>
      <c r="AJ12" s="497"/>
      <c r="AK12" s="497"/>
      <c r="AL12" s="497"/>
      <c r="AM12" s="496" t="s">
        <v>1647</v>
      </c>
      <c r="AN12" s="497"/>
      <c r="AO12" s="497"/>
      <c r="AP12" s="497"/>
      <c r="AQ12" s="497"/>
      <c r="AR12" s="497"/>
      <c r="AS12" s="496"/>
      <c r="AT12" s="496"/>
      <c r="AU12" s="496"/>
      <c r="AV12" s="496" t="s">
        <v>3631</v>
      </c>
      <c r="AW12" s="496" t="s">
        <v>2427</v>
      </c>
      <c r="AX12" s="496" t="s">
        <v>3529</v>
      </c>
      <c r="AY12" s="496" t="s">
        <v>3530</v>
      </c>
      <c r="AZ12" s="496" t="s">
        <v>3531</v>
      </c>
      <c r="BA12" s="496" t="s">
        <v>3532</v>
      </c>
      <c r="BB12" s="496"/>
      <c r="BC12" s="496"/>
      <c r="BD12" s="496"/>
      <c r="BE12" s="496"/>
      <c r="BF12" s="496"/>
      <c r="BG12" s="496"/>
      <c r="BH12" s="496"/>
      <c r="BI12" s="496"/>
      <c r="BJ12" s="496"/>
      <c r="BK12" s="496"/>
      <c r="BL12" s="496"/>
      <c r="BM12" s="496"/>
      <c r="BN12" s="496"/>
      <c r="BO12" s="496"/>
      <c r="BP12" s="496"/>
      <c r="BQ12" s="496"/>
      <c r="BR12" s="496"/>
      <c r="BS12" s="496"/>
      <c r="BT12" s="496"/>
      <c r="BU12" s="496"/>
      <c r="BV12" s="496"/>
      <c r="BW12" s="2353"/>
      <c r="BX12" s="2353"/>
      <c r="BY12" s="2353"/>
      <c r="BZ12" s="2353"/>
      <c r="CA12" s="496"/>
      <c r="CB12" s="496"/>
      <c r="CC12" s="496"/>
      <c r="CD12" s="496"/>
      <c r="CE12" s="496"/>
      <c r="CF12" s="496"/>
      <c r="CG12" s="496"/>
      <c r="CH12" s="496"/>
      <c r="CI12" s="496"/>
      <c r="CJ12" s="496"/>
      <c r="CK12" s="496"/>
      <c r="CL12" s="496"/>
      <c r="CM12" s="496"/>
      <c r="CN12" s="496"/>
      <c r="CO12" s="496"/>
      <c r="CP12" s="496"/>
      <c r="CQ12" s="496"/>
      <c r="CR12" s="496"/>
      <c r="CS12" s="496"/>
      <c r="CT12" s="524" t="s">
        <v>3807</v>
      </c>
      <c r="CU12" s="498" t="s">
        <v>1999</v>
      </c>
      <c r="CV12" s="498" t="s">
        <v>3809</v>
      </c>
      <c r="CW12" s="1561"/>
      <c r="CY12" s="2058"/>
    </row>
    <row r="13" spans="1:103" ht="18" customHeight="1" x14ac:dyDescent="0.35">
      <c r="B13" s="362">
        <v>10</v>
      </c>
      <c r="C13" s="363" t="s">
        <v>233</v>
      </c>
      <c r="D13" s="523" t="s">
        <v>3677</v>
      </c>
      <c r="E13" s="497"/>
      <c r="F13" s="496" t="s">
        <v>3625</v>
      </c>
      <c r="G13" s="497"/>
      <c r="H13" s="497"/>
      <c r="I13" s="497"/>
      <c r="J13" s="497"/>
      <c r="K13" s="497"/>
      <c r="L13" s="497"/>
      <c r="M13" s="497"/>
      <c r="N13" s="497"/>
      <c r="O13" s="497"/>
      <c r="P13" s="497"/>
      <c r="Q13" s="497"/>
      <c r="R13" s="497">
        <v>1</v>
      </c>
      <c r="S13" s="497"/>
      <c r="T13" s="497"/>
      <c r="U13" s="497"/>
      <c r="V13" s="497"/>
      <c r="W13" s="497"/>
      <c r="X13" s="497"/>
      <c r="Y13" s="497"/>
      <c r="Z13" s="497"/>
      <c r="AA13" s="496" t="s">
        <v>1646</v>
      </c>
      <c r="AB13" s="496"/>
      <c r="AC13" s="496"/>
      <c r="AD13" s="496"/>
      <c r="AE13" s="496"/>
      <c r="AF13" s="496"/>
      <c r="AG13" s="496" t="s">
        <v>3682</v>
      </c>
      <c r="AH13" s="496" t="s">
        <v>3683</v>
      </c>
      <c r="AI13" s="497"/>
      <c r="AJ13" s="497"/>
      <c r="AK13" s="497"/>
      <c r="AL13" s="497"/>
      <c r="AM13" s="496" t="s">
        <v>1647</v>
      </c>
      <c r="AN13" s="497"/>
      <c r="AO13" s="497"/>
      <c r="AP13" s="497"/>
      <c r="AQ13" s="497"/>
      <c r="AR13" s="497"/>
      <c r="AS13" s="496"/>
      <c r="AT13" s="496"/>
      <c r="AU13" s="496"/>
      <c r="AV13" s="496" t="s">
        <v>3631</v>
      </c>
      <c r="AW13" s="496" t="s">
        <v>2427</v>
      </c>
      <c r="AX13" s="496" t="s">
        <v>3529</v>
      </c>
      <c r="AY13" s="496" t="s">
        <v>3530</v>
      </c>
      <c r="AZ13" s="496" t="s">
        <v>3531</v>
      </c>
      <c r="BA13" s="496" t="s">
        <v>3532</v>
      </c>
      <c r="BB13" s="496"/>
      <c r="BC13" s="496"/>
      <c r="BD13" s="496"/>
      <c r="BE13" s="496"/>
      <c r="BF13" s="496"/>
      <c r="BG13" s="496"/>
      <c r="BH13" s="496"/>
      <c r="BI13" s="496"/>
      <c r="BJ13" s="496"/>
      <c r="BK13" s="496"/>
      <c r="BL13" s="496"/>
      <c r="BM13" s="496"/>
      <c r="BN13" s="496"/>
      <c r="BO13" s="496"/>
      <c r="BP13" s="496"/>
      <c r="BQ13" s="496"/>
      <c r="BR13" s="496"/>
      <c r="BS13" s="496"/>
      <c r="BT13" s="496"/>
      <c r="BU13" s="496"/>
      <c r="BV13" s="496"/>
      <c r="BW13" s="2353"/>
      <c r="BX13" s="2353"/>
      <c r="BY13" s="2353"/>
      <c r="BZ13" s="2353"/>
      <c r="CA13" s="496"/>
      <c r="CB13" s="496"/>
      <c r="CC13" s="496"/>
      <c r="CD13" s="496"/>
      <c r="CE13" s="496"/>
      <c r="CF13" s="496"/>
      <c r="CG13" s="496"/>
      <c r="CH13" s="496"/>
      <c r="CI13" s="496"/>
      <c r="CJ13" s="496"/>
      <c r="CK13" s="496"/>
      <c r="CL13" s="496"/>
      <c r="CM13" s="496"/>
      <c r="CN13" s="496"/>
      <c r="CO13" s="496"/>
      <c r="CP13" s="496"/>
      <c r="CQ13" s="496"/>
      <c r="CR13" s="496"/>
      <c r="CS13" s="496"/>
      <c r="CT13" s="524" t="s">
        <v>3808</v>
      </c>
      <c r="CU13" s="498" t="s">
        <v>1999</v>
      </c>
      <c r="CV13" s="498" t="s">
        <v>3809</v>
      </c>
      <c r="CW13" s="1561"/>
      <c r="CY13" s="2058"/>
    </row>
    <row r="14" spans="1:103" ht="18" customHeight="1" x14ac:dyDescent="0.35">
      <c r="B14" s="362">
        <v>11</v>
      </c>
      <c r="C14" s="363" t="s">
        <v>234</v>
      </c>
      <c r="D14" s="523" t="s">
        <v>2150</v>
      </c>
      <c r="E14" s="497" t="s">
        <v>2148</v>
      </c>
      <c r="F14" s="496" t="s">
        <v>1726</v>
      </c>
      <c r="G14" s="497"/>
      <c r="H14" s="497"/>
      <c r="I14" s="497"/>
      <c r="J14" s="497"/>
      <c r="K14" s="497"/>
      <c r="L14" s="497"/>
      <c r="M14" s="497"/>
      <c r="N14" s="497"/>
      <c r="O14" s="497"/>
      <c r="P14" s="497"/>
      <c r="Q14" s="497"/>
      <c r="R14" s="497">
        <v>1</v>
      </c>
      <c r="S14" s="497"/>
      <c r="T14" s="497"/>
      <c r="U14" s="497"/>
      <c r="V14" s="497"/>
      <c r="W14" s="497"/>
      <c r="X14" s="497"/>
      <c r="Y14" s="497"/>
      <c r="Z14" s="497"/>
      <c r="AA14" s="496" t="s">
        <v>1646</v>
      </c>
      <c r="AB14" s="496"/>
      <c r="AC14" s="497"/>
      <c r="AD14" s="497"/>
      <c r="AE14" s="497"/>
      <c r="AF14" s="497"/>
      <c r="AG14" s="497"/>
      <c r="AH14" s="497"/>
      <c r="AI14" s="497"/>
      <c r="AJ14" s="497"/>
      <c r="AK14" s="497"/>
      <c r="AL14" s="497"/>
      <c r="AM14" s="496" t="s">
        <v>1647</v>
      </c>
      <c r="AN14" s="497"/>
      <c r="AO14" s="497"/>
      <c r="AP14" s="497"/>
      <c r="AQ14" s="497"/>
      <c r="AR14" s="497"/>
      <c r="AS14" s="497"/>
      <c r="AT14" s="497"/>
      <c r="AU14" s="497" t="s">
        <v>2152</v>
      </c>
      <c r="AV14" s="525" t="s">
        <v>2154</v>
      </c>
      <c r="AW14" s="496" t="s">
        <v>2427</v>
      </c>
      <c r="AX14" s="496" t="s">
        <v>3529</v>
      </c>
      <c r="AY14" s="496" t="s">
        <v>3530</v>
      </c>
      <c r="AZ14" s="496" t="s">
        <v>3531</v>
      </c>
      <c r="BA14" s="496" t="s">
        <v>3532</v>
      </c>
      <c r="BB14" s="496"/>
      <c r="BC14" s="496"/>
      <c r="BD14" s="496"/>
      <c r="BE14" s="496"/>
      <c r="BF14" s="496"/>
      <c r="BG14" s="496"/>
      <c r="BH14" s="496"/>
      <c r="BI14" s="496"/>
      <c r="BJ14" s="496"/>
      <c r="BK14" s="496"/>
      <c r="BL14" s="496"/>
      <c r="BM14" s="496"/>
      <c r="BN14" s="496"/>
      <c r="BO14" s="496"/>
      <c r="BP14" s="496"/>
      <c r="BQ14" s="496"/>
      <c r="BR14" s="496"/>
      <c r="BS14" s="496"/>
      <c r="BT14" s="496"/>
      <c r="BU14" s="496"/>
      <c r="BV14" s="496"/>
      <c r="BW14" s="2353"/>
      <c r="BX14" s="2353"/>
      <c r="BY14" s="2353"/>
      <c r="BZ14" s="2353"/>
      <c r="CA14" s="496"/>
      <c r="CB14" s="496"/>
      <c r="CC14" s="496"/>
      <c r="CD14" s="496"/>
      <c r="CE14" s="496"/>
      <c r="CF14" s="496"/>
      <c r="CG14" s="496"/>
      <c r="CH14" s="496"/>
      <c r="CI14" s="496"/>
      <c r="CJ14" s="496"/>
      <c r="CK14" s="496"/>
      <c r="CL14" s="496"/>
      <c r="CM14" s="496"/>
      <c r="CN14" s="496"/>
      <c r="CO14" s="496"/>
      <c r="CP14" s="496"/>
      <c r="CQ14" s="496"/>
      <c r="CR14" s="496"/>
      <c r="CS14" s="496"/>
      <c r="CT14" s="524" t="s">
        <v>3559</v>
      </c>
      <c r="CU14" s="498" t="s">
        <v>1999</v>
      </c>
      <c r="CV14" s="498"/>
      <c r="CW14" s="1562"/>
    </row>
    <row r="15" spans="1:103" ht="18" customHeight="1" x14ac:dyDescent="0.35">
      <c r="B15" s="362">
        <v>12</v>
      </c>
      <c r="C15" s="363" t="s">
        <v>235</v>
      </c>
      <c r="D15" s="523" t="s">
        <v>2838</v>
      </c>
      <c r="E15" s="497" t="s">
        <v>2149</v>
      </c>
      <c r="F15" s="496" t="s">
        <v>1726</v>
      </c>
      <c r="G15" s="497"/>
      <c r="H15" s="497"/>
      <c r="I15" s="497"/>
      <c r="J15" s="497"/>
      <c r="K15" s="497"/>
      <c r="L15" s="497"/>
      <c r="M15" s="497"/>
      <c r="N15" s="497"/>
      <c r="O15" s="497"/>
      <c r="P15" s="497"/>
      <c r="Q15" s="497"/>
      <c r="R15" s="497">
        <v>1</v>
      </c>
      <c r="S15" s="497"/>
      <c r="T15" s="497"/>
      <c r="U15" s="497"/>
      <c r="V15" s="497"/>
      <c r="W15" s="497"/>
      <c r="X15" s="497"/>
      <c r="Y15" s="497"/>
      <c r="Z15" s="497"/>
      <c r="AA15" s="496" t="s">
        <v>1646</v>
      </c>
      <c r="AB15" s="496"/>
      <c r="AC15" s="497"/>
      <c r="AD15" s="497"/>
      <c r="AE15" s="497"/>
      <c r="AF15" s="497"/>
      <c r="AG15" s="497"/>
      <c r="AH15" s="497"/>
      <c r="AI15" s="497"/>
      <c r="AJ15" s="497"/>
      <c r="AK15" s="497"/>
      <c r="AL15" s="497"/>
      <c r="AM15" s="496" t="s">
        <v>1647</v>
      </c>
      <c r="AN15" s="497"/>
      <c r="AO15" s="497"/>
      <c r="AP15" s="497"/>
      <c r="AQ15" s="497"/>
      <c r="AR15" s="497"/>
      <c r="AS15" s="497"/>
      <c r="AT15" s="497"/>
      <c r="AU15" s="497" t="s">
        <v>2153</v>
      </c>
      <c r="AV15" s="525" t="s">
        <v>2155</v>
      </c>
      <c r="AW15" s="496" t="s">
        <v>2427</v>
      </c>
      <c r="AX15" s="496" t="s">
        <v>3529</v>
      </c>
      <c r="AY15" s="496" t="s">
        <v>3530</v>
      </c>
      <c r="AZ15" s="496" t="s">
        <v>3531</v>
      </c>
      <c r="BA15" s="496" t="s">
        <v>3532</v>
      </c>
      <c r="BB15" s="496"/>
      <c r="BC15" s="496"/>
      <c r="BD15" s="496"/>
      <c r="BE15" s="496"/>
      <c r="BF15" s="496"/>
      <c r="BG15" s="496"/>
      <c r="BH15" s="496"/>
      <c r="BI15" s="496"/>
      <c r="BJ15" s="496"/>
      <c r="BK15" s="496"/>
      <c r="BL15" s="496"/>
      <c r="BM15" s="496"/>
      <c r="BN15" s="496"/>
      <c r="BO15" s="496"/>
      <c r="BP15" s="496"/>
      <c r="BQ15" s="496"/>
      <c r="BR15" s="496"/>
      <c r="BS15" s="496"/>
      <c r="BT15" s="496"/>
      <c r="BU15" s="496"/>
      <c r="BV15" s="496"/>
      <c r="BW15" s="2353"/>
      <c r="BX15" s="2353"/>
      <c r="BY15" s="2353"/>
      <c r="BZ15" s="2353"/>
      <c r="CA15" s="496"/>
      <c r="CB15" s="496"/>
      <c r="CC15" s="496"/>
      <c r="CD15" s="496"/>
      <c r="CE15" s="496"/>
      <c r="CF15" s="496"/>
      <c r="CG15" s="496"/>
      <c r="CH15" s="496"/>
      <c r="CI15" s="496"/>
      <c r="CJ15" s="496"/>
      <c r="CK15" s="496"/>
      <c r="CL15" s="496"/>
      <c r="CM15" s="496"/>
      <c r="CN15" s="496"/>
      <c r="CO15" s="496"/>
      <c r="CP15" s="496"/>
      <c r="CQ15" s="496"/>
      <c r="CR15" s="496"/>
      <c r="CS15" s="496"/>
      <c r="CT15" s="524" t="s">
        <v>3560</v>
      </c>
      <c r="CU15" s="498" t="s">
        <v>1999</v>
      </c>
      <c r="CV15" s="498"/>
      <c r="CW15" s="1562"/>
    </row>
    <row r="16" spans="1:103" ht="18" x14ac:dyDescent="0.35">
      <c r="B16" s="362">
        <v>13</v>
      </c>
      <c r="C16" s="363" t="s">
        <v>236</v>
      </c>
      <c r="D16" s="523" t="s">
        <v>1649</v>
      </c>
      <c r="E16" s="497"/>
      <c r="F16" s="497"/>
      <c r="G16" s="496" t="s">
        <v>1727</v>
      </c>
      <c r="H16" s="497"/>
      <c r="I16" s="497"/>
      <c r="J16" s="497"/>
      <c r="K16" s="497"/>
      <c r="L16" s="497"/>
      <c r="M16" s="497"/>
      <c r="N16" s="497"/>
      <c r="O16" s="497"/>
      <c r="P16" s="497"/>
      <c r="Q16" s="497"/>
      <c r="R16" s="497">
        <v>1</v>
      </c>
      <c r="S16" s="497"/>
      <c r="T16" s="497"/>
      <c r="U16" s="497"/>
      <c r="V16" s="497"/>
      <c r="W16" s="497"/>
      <c r="X16" s="497"/>
      <c r="Y16" s="497"/>
      <c r="Z16" s="497"/>
      <c r="AA16" s="496" t="s">
        <v>1646</v>
      </c>
      <c r="AB16" s="496"/>
      <c r="AC16" s="497"/>
      <c r="AD16" s="497"/>
      <c r="AE16" s="497"/>
      <c r="AF16" s="497"/>
      <c r="AG16" s="497"/>
      <c r="AH16" s="497"/>
      <c r="AI16" s="497"/>
      <c r="AJ16" s="497"/>
      <c r="AK16" s="497"/>
      <c r="AL16" s="497"/>
      <c r="AM16" s="496" t="s">
        <v>1647</v>
      </c>
      <c r="AN16" s="497"/>
      <c r="AO16" s="497"/>
      <c r="AP16" s="497"/>
      <c r="AQ16" s="497"/>
      <c r="AR16" s="497"/>
      <c r="AS16" s="496" t="s">
        <v>1730</v>
      </c>
      <c r="AT16" s="496"/>
      <c r="AU16" s="496"/>
      <c r="AV16" s="496" t="s">
        <v>1958</v>
      </c>
      <c r="AW16" s="496" t="s">
        <v>2427</v>
      </c>
      <c r="AX16" s="496" t="s">
        <v>3529</v>
      </c>
      <c r="AY16" s="496" t="s">
        <v>3530</v>
      </c>
      <c r="AZ16" s="496" t="s">
        <v>3531</v>
      </c>
      <c r="BA16" s="496" t="s">
        <v>3532</v>
      </c>
      <c r="BB16" s="496"/>
      <c r="BC16" s="496"/>
      <c r="BD16" s="496"/>
      <c r="BE16" s="496"/>
      <c r="BF16" s="496"/>
      <c r="BG16" s="496"/>
      <c r="BH16" s="496"/>
      <c r="BI16" s="496"/>
      <c r="BJ16" s="496"/>
      <c r="BK16" s="496"/>
      <c r="BL16" s="496"/>
      <c r="BM16" s="496"/>
      <c r="BN16" s="496"/>
      <c r="BO16" s="496"/>
      <c r="BP16" s="496"/>
      <c r="BQ16" s="496"/>
      <c r="BR16" s="496"/>
      <c r="BS16" s="496"/>
      <c r="BT16" s="496"/>
      <c r="BU16" s="496"/>
      <c r="BV16" s="496"/>
      <c r="BW16" s="2353"/>
      <c r="BX16" s="2353"/>
      <c r="BY16" s="2353"/>
      <c r="BZ16" s="2353"/>
      <c r="CA16" s="496"/>
      <c r="CB16" s="496"/>
      <c r="CC16" s="496"/>
      <c r="CD16" s="496"/>
      <c r="CE16" s="496"/>
      <c r="CF16" s="496"/>
      <c r="CG16" s="496"/>
      <c r="CH16" s="496"/>
      <c r="CI16" s="496"/>
      <c r="CJ16" s="496"/>
      <c r="CK16" s="496"/>
      <c r="CL16" s="496"/>
      <c r="CM16" s="496"/>
      <c r="CN16" s="496"/>
      <c r="CO16" s="496"/>
      <c r="CP16" s="496"/>
      <c r="CQ16" s="496"/>
      <c r="CR16" s="496"/>
      <c r="CS16" s="496"/>
      <c r="CT16" s="524" t="s">
        <v>3561</v>
      </c>
      <c r="CU16" s="498" t="s">
        <v>1999</v>
      </c>
      <c r="CV16" s="498"/>
      <c r="CW16" s="1561"/>
    </row>
    <row r="17" spans="2:103" ht="18" x14ac:dyDescent="0.25">
      <c r="B17" s="362">
        <v>14</v>
      </c>
      <c r="C17" s="363" t="s">
        <v>237</v>
      </c>
      <c r="D17" s="523" t="s">
        <v>289</v>
      </c>
      <c r="E17" s="497"/>
      <c r="F17" s="497"/>
      <c r="G17" s="497"/>
      <c r="H17" s="497"/>
      <c r="I17" s="497"/>
      <c r="J17" s="497" t="s">
        <v>1650</v>
      </c>
      <c r="K17" s="497"/>
      <c r="L17" s="497"/>
      <c r="M17" s="497"/>
      <c r="N17" s="497"/>
      <c r="O17" s="497"/>
      <c r="P17" s="497" t="s">
        <v>1651</v>
      </c>
      <c r="Q17" s="497"/>
      <c r="R17" s="497">
        <v>-1</v>
      </c>
      <c r="S17" s="497"/>
      <c r="T17" s="497"/>
      <c r="U17" s="497"/>
      <c r="V17" s="497"/>
      <c r="W17" s="497"/>
      <c r="X17" s="497"/>
      <c r="Y17" s="497"/>
      <c r="Z17" s="497"/>
      <c r="AA17" s="496" t="s">
        <v>2127</v>
      </c>
      <c r="AB17" s="496"/>
      <c r="AC17" s="497"/>
      <c r="AD17" s="497"/>
      <c r="AE17" s="497"/>
      <c r="AF17" s="497"/>
      <c r="AG17" s="497"/>
      <c r="AH17" s="497"/>
      <c r="AI17" s="497"/>
      <c r="AJ17" s="497"/>
      <c r="AK17" s="497" t="s">
        <v>1652</v>
      </c>
      <c r="AL17" s="497"/>
      <c r="AM17" s="497"/>
      <c r="AN17" s="497"/>
      <c r="AO17" s="497"/>
      <c r="AP17" s="497"/>
      <c r="AQ17" s="497" t="s">
        <v>1653</v>
      </c>
      <c r="AR17" s="497"/>
      <c r="AS17" s="497"/>
      <c r="AT17" s="497"/>
      <c r="AU17" s="497"/>
      <c r="AV17" s="497" t="s">
        <v>5398</v>
      </c>
      <c r="AW17" s="497"/>
      <c r="AX17" s="496"/>
      <c r="AY17" s="496"/>
      <c r="AZ17" s="496"/>
      <c r="BA17" s="496"/>
      <c r="BB17" s="496"/>
      <c r="BC17" s="496"/>
      <c r="BD17" s="496"/>
      <c r="BE17" s="496"/>
      <c r="BF17" s="496"/>
      <c r="BG17" s="496"/>
      <c r="BH17" s="496"/>
      <c r="BI17" s="496"/>
      <c r="BJ17" s="496"/>
      <c r="BK17" s="496"/>
      <c r="BL17" s="496"/>
      <c r="BM17" s="496"/>
      <c r="BN17" s="496"/>
      <c r="BO17" s="496"/>
      <c r="BP17" s="496"/>
      <c r="BQ17" s="496"/>
      <c r="BR17" s="496"/>
      <c r="BS17" s="496"/>
      <c r="BT17" s="496"/>
      <c r="BU17" s="496"/>
      <c r="BV17" s="496"/>
      <c r="BW17" s="2353"/>
      <c r="BX17" s="2353"/>
      <c r="BY17" s="2353"/>
      <c r="BZ17" s="2353"/>
      <c r="CA17" s="496"/>
      <c r="CB17" s="496"/>
      <c r="CC17" s="496"/>
      <c r="CD17" s="496"/>
      <c r="CE17" s="496"/>
      <c r="CF17" s="496"/>
      <c r="CG17" s="496"/>
      <c r="CH17" s="496"/>
      <c r="CI17" s="496"/>
      <c r="CJ17" s="496"/>
      <c r="CK17" s="496"/>
      <c r="CL17" s="496"/>
      <c r="CM17" s="496"/>
      <c r="CN17" s="496"/>
      <c r="CO17" s="496"/>
      <c r="CP17" s="496"/>
      <c r="CQ17" s="496"/>
      <c r="CR17" s="496"/>
      <c r="CS17" s="496"/>
      <c r="CT17" s="524" t="s">
        <v>2958</v>
      </c>
      <c r="CU17" s="498" t="s">
        <v>1999</v>
      </c>
      <c r="CV17" s="498"/>
      <c r="CW17" s="1561"/>
    </row>
    <row r="18" spans="2:103" ht="18" x14ac:dyDescent="0.25">
      <c r="B18" s="362">
        <v>15</v>
      </c>
      <c r="C18" s="363" t="s">
        <v>238</v>
      </c>
      <c r="D18" s="523" t="s">
        <v>2951</v>
      </c>
      <c r="E18" s="497"/>
      <c r="F18" s="497"/>
      <c r="G18" s="497"/>
      <c r="H18" s="497"/>
      <c r="I18" s="497"/>
      <c r="J18" s="497" t="s">
        <v>1650</v>
      </c>
      <c r="K18" s="497"/>
      <c r="L18" s="497"/>
      <c r="M18" s="497"/>
      <c r="N18" s="497"/>
      <c r="O18" s="497"/>
      <c r="P18" s="497"/>
      <c r="Q18" s="497" t="s">
        <v>1651</v>
      </c>
      <c r="R18" s="497">
        <v>-1</v>
      </c>
      <c r="S18" s="497"/>
      <c r="T18" s="497"/>
      <c r="U18" s="497"/>
      <c r="V18" s="497"/>
      <c r="W18" s="497"/>
      <c r="X18" s="497"/>
      <c r="Y18" s="497"/>
      <c r="Z18" s="497"/>
      <c r="AA18" s="496" t="s">
        <v>2127</v>
      </c>
      <c r="AB18" s="496"/>
      <c r="AC18" s="497"/>
      <c r="AD18" s="497"/>
      <c r="AE18" s="497"/>
      <c r="AF18" s="497"/>
      <c r="AG18" s="497"/>
      <c r="AH18" s="497"/>
      <c r="AI18" s="497"/>
      <c r="AJ18" s="497"/>
      <c r="AK18" s="497" t="s">
        <v>1652</v>
      </c>
      <c r="AL18" s="497"/>
      <c r="AM18" s="497"/>
      <c r="AN18" s="497"/>
      <c r="AO18" s="497"/>
      <c r="AP18" s="497"/>
      <c r="AQ18" s="497" t="s">
        <v>1653</v>
      </c>
      <c r="AR18" s="497"/>
      <c r="AS18" s="497"/>
      <c r="AT18" s="497"/>
      <c r="AU18" s="497"/>
      <c r="AV18" s="497" t="s">
        <v>5398</v>
      </c>
      <c r="AW18" s="497"/>
      <c r="AX18" s="496"/>
      <c r="AY18" s="496"/>
      <c r="AZ18" s="496"/>
      <c r="BA18" s="496"/>
      <c r="BB18" s="496"/>
      <c r="BC18" s="496"/>
      <c r="BD18" s="496"/>
      <c r="BE18" s="496"/>
      <c r="BF18" s="496"/>
      <c r="BG18" s="496"/>
      <c r="BH18" s="496"/>
      <c r="BI18" s="496"/>
      <c r="BJ18" s="496"/>
      <c r="BK18" s="496"/>
      <c r="BL18" s="496"/>
      <c r="BM18" s="496"/>
      <c r="BN18" s="496"/>
      <c r="BO18" s="496"/>
      <c r="BP18" s="496"/>
      <c r="BQ18" s="496"/>
      <c r="BR18" s="496"/>
      <c r="BS18" s="496"/>
      <c r="BT18" s="496"/>
      <c r="BU18" s="496"/>
      <c r="BV18" s="496"/>
      <c r="BW18" s="2353"/>
      <c r="BX18" s="2353"/>
      <c r="BY18" s="2353"/>
      <c r="BZ18" s="2353"/>
      <c r="CA18" s="496"/>
      <c r="CB18" s="496"/>
      <c r="CC18" s="496"/>
      <c r="CD18" s="496"/>
      <c r="CE18" s="496"/>
      <c r="CF18" s="496"/>
      <c r="CG18" s="496"/>
      <c r="CH18" s="496"/>
      <c r="CI18" s="496"/>
      <c r="CJ18" s="496"/>
      <c r="CK18" s="496"/>
      <c r="CL18" s="496"/>
      <c r="CM18" s="496"/>
      <c r="CN18" s="496"/>
      <c r="CO18" s="496"/>
      <c r="CP18" s="496"/>
      <c r="CQ18" s="496"/>
      <c r="CR18" s="496"/>
      <c r="CS18" s="496"/>
      <c r="CT18" s="524" t="s">
        <v>2959</v>
      </c>
      <c r="CU18" s="498" t="s">
        <v>1999</v>
      </c>
      <c r="CV18" s="498"/>
      <c r="CW18" s="1561"/>
    </row>
    <row r="19" spans="2:103" ht="18" x14ac:dyDescent="0.35">
      <c r="B19" s="1563">
        <v>16</v>
      </c>
      <c r="C19" s="526" t="s">
        <v>239</v>
      </c>
      <c r="D19" s="527" t="s">
        <v>2211</v>
      </c>
      <c r="E19" s="499"/>
      <c r="F19" s="499"/>
      <c r="G19" s="528" t="s">
        <v>1655</v>
      </c>
      <c r="H19" s="499"/>
      <c r="I19" s="499"/>
      <c r="J19" s="499"/>
      <c r="K19" s="499"/>
      <c r="L19" s="499"/>
      <c r="M19" s="499"/>
      <c r="N19" s="499"/>
      <c r="O19" s="499"/>
      <c r="P19" s="499"/>
      <c r="Q19" s="499"/>
      <c r="R19" s="499"/>
      <c r="S19" s="499"/>
      <c r="T19" s="499">
        <v>1</v>
      </c>
      <c r="U19" s="499"/>
      <c r="V19" s="499"/>
      <c r="W19" s="499"/>
      <c r="X19" s="499"/>
      <c r="Y19" s="499"/>
      <c r="Z19" s="499"/>
      <c r="AA19" s="499" t="s">
        <v>1646</v>
      </c>
      <c r="AB19" s="499"/>
      <c r="AC19" s="528"/>
      <c r="AD19" s="528" t="s">
        <v>2213</v>
      </c>
      <c r="AE19" s="528"/>
      <c r="AF19" s="528"/>
      <c r="AG19" s="528"/>
      <c r="AH19" s="528" t="s">
        <v>2214</v>
      </c>
      <c r="AI19" s="499"/>
      <c r="AJ19" s="499"/>
      <c r="AK19" s="499"/>
      <c r="AL19" s="499"/>
      <c r="AM19" s="528" t="s">
        <v>1647</v>
      </c>
      <c r="AN19" s="499"/>
      <c r="AO19" s="499"/>
      <c r="AP19" s="499"/>
      <c r="AQ19" s="499"/>
      <c r="AR19" s="499"/>
      <c r="AS19" s="499"/>
      <c r="AT19" s="499"/>
      <c r="AU19" s="499"/>
      <c r="AV19" s="528" t="s">
        <v>1957</v>
      </c>
      <c r="AW19" s="528" t="s">
        <v>2427</v>
      </c>
      <c r="AX19" s="528" t="s">
        <v>3529</v>
      </c>
      <c r="AY19" s="528" t="s">
        <v>3530</v>
      </c>
      <c r="AZ19" s="528" t="s">
        <v>3531</v>
      </c>
      <c r="BA19" s="528" t="s">
        <v>3532</v>
      </c>
      <c r="BB19" s="528"/>
      <c r="BC19" s="528"/>
      <c r="BD19" s="528"/>
      <c r="BE19" s="528"/>
      <c r="BF19" s="528"/>
      <c r="BG19" s="528"/>
      <c r="BH19" s="528"/>
      <c r="BI19" s="528"/>
      <c r="BJ19" s="528"/>
      <c r="BK19" s="528"/>
      <c r="BL19" s="528"/>
      <c r="BM19" s="528"/>
      <c r="BN19" s="528"/>
      <c r="BO19" s="528"/>
      <c r="BP19" s="528"/>
      <c r="BQ19" s="528"/>
      <c r="BR19" s="528"/>
      <c r="BS19" s="528"/>
      <c r="BT19" s="528"/>
      <c r="BU19" s="528"/>
      <c r="BV19" s="528"/>
      <c r="BW19" s="2354"/>
      <c r="BX19" s="2354"/>
      <c r="BY19" s="2354"/>
      <c r="BZ19" s="2354"/>
      <c r="CA19" s="528"/>
      <c r="CB19" s="528"/>
      <c r="CC19" s="528"/>
      <c r="CD19" s="528"/>
      <c r="CE19" s="528"/>
      <c r="CF19" s="528"/>
      <c r="CG19" s="528"/>
      <c r="CH19" s="528"/>
      <c r="CI19" s="528"/>
      <c r="CJ19" s="528"/>
      <c r="CK19" s="528"/>
      <c r="CL19" s="528"/>
      <c r="CM19" s="528"/>
      <c r="CN19" s="528"/>
      <c r="CO19" s="528"/>
      <c r="CP19" s="528"/>
      <c r="CQ19" s="528"/>
      <c r="CR19" s="528"/>
      <c r="CS19" s="528"/>
      <c r="CT19" s="529" t="s">
        <v>3562</v>
      </c>
      <c r="CU19" s="530" t="s">
        <v>1999</v>
      </c>
      <c r="CV19" s="530"/>
      <c r="CW19" s="1564"/>
    </row>
    <row r="20" spans="2:103" ht="18" x14ac:dyDescent="0.35">
      <c r="B20" s="1563">
        <v>17</v>
      </c>
      <c r="C20" s="526" t="s">
        <v>240</v>
      </c>
      <c r="D20" s="527" t="s">
        <v>1654</v>
      </c>
      <c r="E20" s="499"/>
      <c r="F20" s="499"/>
      <c r="G20" s="528" t="s">
        <v>1655</v>
      </c>
      <c r="H20" s="499"/>
      <c r="I20" s="499"/>
      <c r="J20" s="499"/>
      <c r="K20" s="499"/>
      <c r="L20" s="499"/>
      <c r="M20" s="499"/>
      <c r="N20" s="499"/>
      <c r="O20" s="499"/>
      <c r="P20" s="499"/>
      <c r="Q20" s="499"/>
      <c r="R20" s="499"/>
      <c r="S20" s="499"/>
      <c r="T20" s="499">
        <v>1</v>
      </c>
      <c r="U20" s="499"/>
      <c r="V20" s="499"/>
      <c r="W20" s="499"/>
      <c r="X20" s="499"/>
      <c r="Y20" s="499"/>
      <c r="Z20" s="499"/>
      <c r="AA20" s="499" t="s">
        <v>1646</v>
      </c>
      <c r="AB20" s="499"/>
      <c r="AC20" s="528" t="s">
        <v>2216</v>
      </c>
      <c r="AD20" s="528" t="s">
        <v>2215</v>
      </c>
      <c r="AE20" s="528"/>
      <c r="AF20" s="528"/>
      <c r="AG20" s="528"/>
      <c r="AH20" s="528"/>
      <c r="AI20" s="499"/>
      <c r="AJ20" s="499"/>
      <c r="AK20" s="499"/>
      <c r="AL20" s="499"/>
      <c r="AM20" s="528" t="s">
        <v>1647</v>
      </c>
      <c r="AN20" s="499"/>
      <c r="AO20" s="499"/>
      <c r="AP20" s="499"/>
      <c r="AQ20" s="499"/>
      <c r="AR20" s="499"/>
      <c r="AS20" s="499"/>
      <c r="AT20" s="499"/>
      <c r="AU20" s="499"/>
      <c r="AV20" s="528" t="s">
        <v>1957</v>
      </c>
      <c r="AW20" s="528" t="s">
        <v>2427</v>
      </c>
      <c r="AX20" s="528" t="s">
        <v>3529</v>
      </c>
      <c r="AY20" s="528" t="s">
        <v>3530</v>
      </c>
      <c r="AZ20" s="528" t="s">
        <v>3531</v>
      </c>
      <c r="BA20" s="528" t="s">
        <v>3532</v>
      </c>
      <c r="BB20" s="528"/>
      <c r="BC20" s="528"/>
      <c r="BD20" s="528"/>
      <c r="BE20" s="528"/>
      <c r="BF20" s="528"/>
      <c r="BG20" s="528"/>
      <c r="BH20" s="528"/>
      <c r="BI20" s="528"/>
      <c r="BJ20" s="528"/>
      <c r="BK20" s="528"/>
      <c r="BL20" s="528"/>
      <c r="BM20" s="528"/>
      <c r="BN20" s="528"/>
      <c r="BO20" s="528"/>
      <c r="BP20" s="528"/>
      <c r="BQ20" s="528"/>
      <c r="BR20" s="528"/>
      <c r="BS20" s="528"/>
      <c r="BT20" s="528"/>
      <c r="BU20" s="528"/>
      <c r="BV20" s="528"/>
      <c r="BW20" s="2354"/>
      <c r="BX20" s="2354"/>
      <c r="BY20" s="2354"/>
      <c r="BZ20" s="2354"/>
      <c r="CA20" s="528"/>
      <c r="CB20" s="528"/>
      <c r="CC20" s="528"/>
      <c r="CD20" s="528"/>
      <c r="CE20" s="528"/>
      <c r="CF20" s="528"/>
      <c r="CG20" s="528"/>
      <c r="CH20" s="528"/>
      <c r="CI20" s="528"/>
      <c r="CJ20" s="528"/>
      <c r="CK20" s="528"/>
      <c r="CL20" s="528"/>
      <c r="CM20" s="528"/>
      <c r="CN20" s="528"/>
      <c r="CO20" s="528"/>
      <c r="CP20" s="528"/>
      <c r="CQ20" s="528"/>
      <c r="CR20" s="528"/>
      <c r="CS20" s="528"/>
      <c r="CT20" s="529" t="s">
        <v>3563</v>
      </c>
      <c r="CU20" s="530" t="s">
        <v>1999</v>
      </c>
      <c r="CV20" s="530"/>
      <c r="CW20" s="1564"/>
    </row>
    <row r="21" spans="2:103" ht="18" x14ac:dyDescent="0.25">
      <c r="B21" s="1563">
        <v>18</v>
      </c>
      <c r="C21" s="526" t="s">
        <v>241</v>
      </c>
      <c r="D21" s="527" t="s">
        <v>290</v>
      </c>
      <c r="E21" s="499"/>
      <c r="F21" s="499"/>
      <c r="G21" s="499"/>
      <c r="H21" s="499"/>
      <c r="I21" s="499"/>
      <c r="J21" s="499" t="s">
        <v>1650</v>
      </c>
      <c r="K21" s="499"/>
      <c r="L21" s="499"/>
      <c r="M21" s="499"/>
      <c r="N21" s="499"/>
      <c r="O21" s="499"/>
      <c r="P21" s="499" t="s">
        <v>1651</v>
      </c>
      <c r="Q21" s="499"/>
      <c r="R21" s="499"/>
      <c r="S21" s="499"/>
      <c r="T21" s="499">
        <v>-1</v>
      </c>
      <c r="U21" s="499"/>
      <c r="V21" s="499"/>
      <c r="W21" s="499"/>
      <c r="X21" s="499"/>
      <c r="Y21" s="499"/>
      <c r="Z21" s="499"/>
      <c r="AA21" s="499" t="s">
        <v>2127</v>
      </c>
      <c r="AB21" s="499"/>
      <c r="AC21" s="499"/>
      <c r="AD21" s="499"/>
      <c r="AE21" s="499"/>
      <c r="AF21" s="499"/>
      <c r="AG21" s="499"/>
      <c r="AH21" s="499"/>
      <c r="AI21" s="499"/>
      <c r="AJ21" s="499"/>
      <c r="AK21" s="499" t="s">
        <v>1652</v>
      </c>
      <c r="AL21" s="499"/>
      <c r="AM21" s="499"/>
      <c r="AN21" s="499"/>
      <c r="AO21" s="499"/>
      <c r="AP21" s="499"/>
      <c r="AQ21" s="499" t="s">
        <v>1653</v>
      </c>
      <c r="AR21" s="499"/>
      <c r="AS21" s="499"/>
      <c r="AT21" s="499"/>
      <c r="AU21" s="499"/>
      <c r="AV21" s="499" t="s">
        <v>5398</v>
      </c>
      <c r="AW21" s="499"/>
      <c r="AX21" s="528"/>
      <c r="AY21" s="528"/>
      <c r="AZ21" s="528"/>
      <c r="BA21" s="528"/>
      <c r="BB21" s="528"/>
      <c r="BC21" s="528"/>
      <c r="BD21" s="528"/>
      <c r="BE21" s="528"/>
      <c r="BF21" s="528"/>
      <c r="BG21" s="528"/>
      <c r="BH21" s="528"/>
      <c r="BI21" s="528"/>
      <c r="BJ21" s="528"/>
      <c r="BK21" s="528"/>
      <c r="BL21" s="528"/>
      <c r="BM21" s="528"/>
      <c r="BN21" s="528"/>
      <c r="BO21" s="528"/>
      <c r="BP21" s="528"/>
      <c r="BQ21" s="528"/>
      <c r="BR21" s="528"/>
      <c r="BS21" s="528"/>
      <c r="BT21" s="528"/>
      <c r="BU21" s="528"/>
      <c r="BV21" s="528"/>
      <c r="BW21" s="2354"/>
      <c r="BX21" s="2354"/>
      <c r="BY21" s="2354"/>
      <c r="BZ21" s="2354"/>
      <c r="CA21" s="528"/>
      <c r="CB21" s="528"/>
      <c r="CC21" s="528"/>
      <c r="CD21" s="528"/>
      <c r="CE21" s="528"/>
      <c r="CF21" s="528"/>
      <c r="CG21" s="528"/>
      <c r="CH21" s="528"/>
      <c r="CI21" s="528"/>
      <c r="CJ21" s="528"/>
      <c r="CK21" s="528"/>
      <c r="CL21" s="528"/>
      <c r="CM21" s="528"/>
      <c r="CN21" s="528"/>
      <c r="CO21" s="528"/>
      <c r="CP21" s="528"/>
      <c r="CQ21" s="528"/>
      <c r="CR21" s="528"/>
      <c r="CS21" s="528"/>
      <c r="CT21" s="529" t="s">
        <v>3458</v>
      </c>
      <c r="CU21" s="530" t="s">
        <v>1999</v>
      </c>
      <c r="CV21" s="530"/>
      <c r="CW21" s="1564"/>
    </row>
    <row r="22" spans="2:103" ht="18" x14ac:dyDescent="0.25">
      <c r="B22" s="1563">
        <v>19</v>
      </c>
      <c r="C22" s="526" t="s">
        <v>242</v>
      </c>
      <c r="D22" s="527" t="s">
        <v>2952</v>
      </c>
      <c r="E22" s="499"/>
      <c r="F22" s="499"/>
      <c r="G22" s="499"/>
      <c r="H22" s="499"/>
      <c r="I22" s="499"/>
      <c r="J22" s="499" t="s">
        <v>1650</v>
      </c>
      <c r="K22" s="499"/>
      <c r="L22" s="499"/>
      <c r="M22" s="499"/>
      <c r="N22" s="499"/>
      <c r="O22" s="499"/>
      <c r="P22" s="499"/>
      <c r="Q22" s="499" t="s">
        <v>1651</v>
      </c>
      <c r="R22" s="499"/>
      <c r="S22" s="499"/>
      <c r="T22" s="499">
        <v>-1</v>
      </c>
      <c r="U22" s="499"/>
      <c r="V22" s="499"/>
      <c r="W22" s="499"/>
      <c r="X22" s="499"/>
      <c r="Y22" s="499"/>
      <c r="Z22" s="499"/>
      <c r="AA22" s="499" t="s">
        <v>2127</v>
      </c>
      <c r="AB22" s="499"/>
      <c r="AC22" s="499"/>
      <c r="AD22" s="499"/>
      <c r="AE22" s="499"/>
      <c r="AF22" s="499"/>
      <c r="AG22" s="499"/>
      <c r="AH22" s="499"/>
      <c r="AI22" s="499"/>
      <c r="AJ22" s="499"/>
      <c r="AK22" s="499" t="s">
        <v>1652</v>
      </c>
      <c r="AL22" s="499"/>
      <c r="AM22" s="499"/>
      <c r="AN22" s="499"/>
      <c r="AO22" s="499"/>
      <c r="AP22" s="499"/>
      <c r="AQ22" s="499" t="s">
        <v>1653</v>
      </c>
      <c r="AR22" s="499"/>
      <c r="AS22" s="499"/>
      <c r="AT22" s="499"/>
      <c r="AU22" s="499"/>
      <c r="AV22" s="499" t="s">
        <v>5398</v>
      </c>
      <c r="AW22" s="499"/>
      <c r="AX22" s="528"/>
      <c r="AY22" s="528"/>
      <c r="AZ22" s="528"/>
      <c r="BA22" s="528"/>
      <c r="BB22" s="528"/>
      <c r="BC22" s="528"/>
      <c r="BD22" s="528"/>
      <c r="BE22" s="528"/>
      <c r="BF22" s="528"/>
      <c r="BG22" s="528"/>
      <c r="BH22" s="528"/>
      <c r="BI22" s="528"/>
      <c r="BJ22" s="528"/>
      <c r="BK22" s="528"/>
      <c r="BL22" s="528"/>
      <c r="BM22" s="528"/>
      <c r="BN22" s="528"/>
      <c r="BO22" s="528"/>
      <c r="BP22" s="528"/>
      <c r="BQ22" s="528"/>
      <c r="BR22" s="528"/>
      <c r="BS22" s="528"/>
      <c r="BT22" s="528"/>
      <c r="BU22" s="528"/>
      <c r="BV22" s="528"/>
      <c r="BW22" s="2354"/>
      <c r="BX22" s="2354"/>
      <c r="BY22" s="2354"/>
      <c r="BZ22" s="2354"/>
      <c r="CA22" s="528"/>
      <c r="CB22" s="528"/>
      <c r="CC22" s="528"/>
      <c r="CD22" s="528"/>
      <c r="CE22" s="528"/>
      <c r="CF22" s="528"/>
      <c r="CG22" s="528"/>
      <c r="CH22" s="528"/>
      <c r="CI22" s="528"/>
      <c r="CJ22" s="528"/>
      <c r="CK22" s="528"/>
      <c r="CL22" s="528"/>
      <c r="CM22" s="528"/>
      <c r="CN22" s="528"/>
      <c r="CO22" s="528"/>
      <c r="CP22" s="528"/>
      <c r="CQ22" s="528"/>
      <c r="CR22" s="528"/>
      <c r="CS22" s="528"/>
      <c r="CT22" s="529" t="s">
        <v>3459</v>
      </c>
      <c r="CU22" s="530" t="s">
        <v>1999</v>
      </c>
      <c r="CV22" s="530"/>
      <c r="CW22" s="1564"/>
    </row>
    <row r="23" spans="2:103" ht="18" x14ac:dyDescent="0.25">
      <c r="B23" s="1565">
        <v>20</v>
      </c>
      <c r="C23" s="1566" t="s">
        <v>243</v>
      </c>
      <c r="D23" s="2449" t="s">
        <v>5503</v>
      </c>
      <c r="E23" s="1471"/>
      <c r="F23" s="1471"/>
      <c r="G23" s="1471"/>
      <c r="H23" s="1471"/>
      <c r="I23" s="1471"/>
      <c r="J23" s="1471"/>
      <c r="K23" s="1471"/>
      <c r="L23" s="1471"/>
      <c r="M23" s="1471"/>
      <c r="N23" s="2355" t="s">
        <v>5490</v>
      </c>
      <c r="O23" s="2355" t="s">
        <v>5491</v>
      </c>
      <c r="P23" s="1471"/>
      <c r="Q23" s="1471"/>
      <c r="R23" s="1471"/>
      <c r="S23" s="1471">
        <v>1</v>
      </c>
      <c r="T23" s="1471"/>
      <c r="U23" s="1471"/>
      <c r="V23" s="1471"/>
      <c r="W23" s="1471"/>
      <c r="X23" s="1471"/>
      <c r="Y23" s="1471"/>
      <c r="Z23" s="1471"/>
      <c r="AA23" s="1471" t="s">
        <v>1646</v>
      </c>
      <c r="AB23" s="1471"/>
      <c r="AC23" s="1471"/>
      <c r="AD23" s="1471"/>
      <c r="AE23" s="1471"/>
      <c r="AF23" s="1471"/>
      <c r="AG23" s="1471"/>
      <c r="AH23" s="1471"/>
      <c r="AI23" s="1471"/>
      <c r="AJ23" s="1471"/>
      <c r="AK23" s="1471"/>
      <c r="AL23" s="1471"/>
      <c r="AM23" s="1470" t="s">
        <v>1647</v>
      </c>
      <c r="AN23" s="1471"/>
      <c r="AO23" s="1471"/>
      <c r="AP23" s="1471"/>
      <c r="AQ23" s="1471"/>
      <c r="AR23" s="1471"/>
      <c r="AS23" s="1470" t="s">
        <v>4115</v>
      </c>
      <c r="AT23" s="1470"/>
      <c r="AU23" s="1470"/>
      <c r="AV23" s="1470" t="s">
        <v>4116</v>
      </c>
      <c r="AW23" s="1470" t="s">
        <v>2427</v>
      </c>
      <c r="AX23" s="1470" t="s">
        <v>3529</v>
      </c>
      <c r="AY23" s="1470" t="s">
        <v>3530</v>
      </c>
      <c r="AZ23" s="1470" t="s">
        <v>3531</v>
      </c>
      <c r="BA23" s="1470" t="s">
        <v>3532</v>
      </c>
      <c r="BB23" s="1470"/>
      <c r="BC23" s="1470"/>
      <c r="BD23" s="1470"/>
      <c r="BE23" s="1470"/>
      <c r="BF23" s="1470"/>
      <c r="BG23" s="1470"/>
      <c r="BH23" s="1470"/>
      <c r="BI23" s="1470"/>
      <c r="BJ23" s="1470"/>
      <c r="BK23" s="1470"/>
      <c r="BL23" s="1470"/>
      <c r="BM23" s="1470"/>
      <c r="BN23" s="1470"/>
      <c r="BO23" s="1470"/>
      <c r="BP23" s="1470"/>
      <c r="BQ23" s="1470"/>
      <c r="BR23" s="1470"/>
      <c r="BS23" s="1470"/>
      <c r="BT23" s="1470"/>
      <c r="BU23" s="1470"/>
      <c r="BV23" s="1470"/>
      <c r="BW23" s="2355"/>
      <c r="BX23" s="2355"/>
      <c r="BY23" s="2355"/>
      <c r="BZ23" s="2355"/>
      <c r="CA23" s="1470"/>
      <c r="CB23" s="1470"/>
      <c r="CC23" s="1470"/>
      <c r="CD23" s="1470"/>
      <c r="CE23" s="1470"/>
      <c r="CF23" s="1470"/>
      <c r="CG23" s="1470"/>
      <c r="CH23" s="1470"/>
      <c r="CI23" s="1470"/>
      <c r="CJ23" s="1470"/>
      <c r="CK23" s="1470"/>
      <c r="CL23" s="1470"/>
      <c r="CM23" s="1470"/>
      <c r="CN23" s="1470"/>
      <c r="CO23" s="1470"/>
      <c r="CP23" s="1470"/>
      <c r="CQ23" s="1470"/>
      <c r="CR23" s="1470"/>
      <c r="CS23" s="1470"/>
      <c r="CT23" s="1568" t="s">
        <v>4117</v>
      </c>
      <c r="CU23" s="1471" t="s">
        <v>1999</v>
      </c>
      <c r="CV23" s="1567"/>
      <c r="CW23" s="1569"/>
    </row>
    <row r="24" spans="2:103" ht="18" x14ac:dyDescent="0.25">
      <c r="B24" s="1565">
        <v>21</v>
      </c>
      <c r="C24" s="1566" t="s">
        <v>244</v>
      </c>
      <c r="D24" s="2449" t="s">
        <v>5504</v>
      </c>
      <c r="E24" s="1471"/>
      <c r="F24" s="1471"/>
      <c r="G24" s="1471"/>
      <c r="H24" s="1471"/>
      <c r="I24" s="1471"/>
      <c r="J24" s="1471"/>
      <c r="K24" s="1471"/>
      <c r="L24" s="1471"/>
      <c r="M24" s="1471"/>
      <c r="N24" s="2355" t="s">
        <v>5492</v>
      </c>
      <c r="O24" s="2355" t="s">
        <v>5493</v>
      </c>
      <c r="P24" s="1471"/>
      <c r="Q24" s="1471"/>
      <c r="R24" s="1471"/>
      <c r="S24" s="1471">
        <v>1</v>
      </c>
      <c r="T24" s="1471"/>
      <c r="U24" s="1471"/>
      <c r="V24" s="1471"/>
      <c r="W24" s="1471"/>
      <c r="X24" s="1471"/>
      <c r="Y24" s="1471"/>
      <c r="Z24" s="1471"/>
      <c r="AA24" s="1471" t="s">
        <v>1646</v>
      </c>
      <c r="AB24" s="1470"/>
      <c r="AC24" s="1470"/>
      <c r="AD24" s="1470" t="s">
        <v>4118</v>
      </c>
      <c r="AE24" s="1471"/>
      <c r="AF24" s="1471"/>
      <c r="AG24" s="1471"/>
      <c r="AH24" s="1470" t="s">
        <v>4119</v>
      </c>
      <c r="AI24" s="1470"/>
      <c r="AJ24" s="1470"/>
      <c r="AK24" s="1470"/>
      <c r="AL24" s="1470"/>
      <c r="AM24" s="1470" t="s">
        <v>1647</v>
      </c>
      <c r="AN24" s="1471"/>
      <c r="AO24" s="1471"/>
      <c r="AP24" s="1471"/>
      <c r="AQ24" s="1471"/>
      <c r="AR24" s="1471"/>
      <c r="AS24" s="1470"/>
      <c r="AT24" s="1470"/>
      <c r="AU24" s="1470"/>
      <c r="AV24" s="1470" t="s">
        <v>4120</v>
      </c>
      <c r="AW24" s="1470" t="s">
        <v>2427</v>
      </c>
      <c r="AX24" s="1470" t="s">
        <v>3529</v>
      </c>
      <c r="AY24" s="1470" t="s">
        <v>3530</v>
      </c>
      <c r="AZ24" s="1470" t="s">
        <v>3531</v>
      </c>
      <c r="BA24" s="1470" t="s">
        <v>3532</v>
      </c>
      <c r="BB24" s="1470"/>
      <c r="BC24" s="1470"/>
      <c r="BD24" s="1470"/>
      <c r="BE24" s="1470"/>
      <c r="BF24" s="1470"/>
      <c r="BG24" s="1470"/>
      <c r="BH24" s="1470"/>
      <c r="BI24" s="1470"/>
      <c r="BJ24" s="1470"/>
      <c r="BK24" s="1470"/>
      <c r="BL24" s="1470"/>
      <c r="BM24" s="1470"/>
      <c r="BN24" s="1470"/>
      <c r="BO24" s="1470"/>
      <c r="BP24" s="1470"/>
      <c r="BQ24" s="1470"/>
      <c r="BR24" s="1470"/>
      <c r="BS24" s="1470"/>
      <c r="BT24" s="1470"/>
      <c r="BU24" s="1470"/>
      <c r="BV24" s="1470"/>
      <c r="BW24" s="2355"/>
      <c r="BX24" s="2355"/>
      <c r="BY24" s="2355"/>
      <c r="BZ24" s="2355"/>
      <c r="CA24" s="1470"/>
      <c r="CB24" s="1470"/>
      <c r="CC24" s="1470"/>
      <c r="CD24" s="1470"/>
      <c r="CE24" s="1470"/>
      <c r="CF24" s="1470"/>
      <c r="CG24" s="1470"/>
      <c r="CH24" s="1470"/>
      <c r="CI24" s="1470"/>
      <c r="CJ24" s="1470"/>
      <c r="CK24" s="1470"/>
      <c r="CL24" s="1470"/>
      <c r="CM24" s="1470"/>
      <c r="CN24" s="1470"/>
      <c r="CO24" s="1470"/>
      <c r="CP24" s="1470"/>
      <c r="CQ24" s="1470"/>
      <c r="CR24" s="1470"/>
      <c r="CS24" s="1470"/>
      <c r="CT24" s="1568" t="s">
        <v>4121</v>
      </c>
      <c r="CU24" s="1471" t="s">
        <v>1999</v>
      </c>
      <c r="CV24" s="1567"/>
      <c r="CW24" s="1569"/>
    </row>
    <row r="25" spans="2:103" ht="18" x14ac:dyDescent="0.25">
      <c r="B25" s="1565">
        <v>22</v>
      </c>
      <c r="C25" s="1566" t="s">
        <v>245</v>
      </c>
      <c r="D25" s="2449" t="s">
        <v>5505</v>
      </c>
      <c r="E25" s="1471"/>
      <c r="F25" s="1471"/>
      <c r="G25" s="1471"/>
      <c r="H25" s="1471"/>
      <c r="I25" s="1471"/>
      <c r="J25" s="1471"/>
      <c r="K25" s="1471"/>
      <c r="L25" s="1471"/>
      <c r="M25" s="1471"/>
      <c r="N25" s="2355" t="s">
        <v>5492</v>
      </c>
      <c r="O25" s="2355" t="s">
        <v>5493</v>
      </c>
      <c r="P25" s="1471"/>
      <c r="Q25" s="1471"/>
      <c r="R25" s="1471"/>
      <c r="S25" s="1471">
        <v>1</v>
      </c>
      <c r="T25" s="1471"/>
      <c r="U25" s="1471"/>
      <c r="V25" s="1471"/>
      <c r="W25" s="1471"/>
      <c r="X25" s="1471"/>
      <c r="Y25" s="1471"/>
      <c r="Z25" s="1471"/>
      <c r="AA25" s="1471" t="s">
        <v>1646</v>
      </c>
      <c r="AB25" s="1470"/>
      <c r="AC25" s="1470" t="s">
        <v>4123</v>
      </c>
      <c r="AD25" s="1470" t="s">
        <v>4122</v>
      </c>
      <c r="AE25" s="1471"/>
      <c r="AF25" s="1471"/>
      <c r="AG25" s="1471"/>
      <c r="AH25" s="1470"/>
      <c r="AI25" s="1470"/>
      <c r="AJ25" s="1470"/>
      <c r="AK25" s="1470"/>
      <c r="AL25" s="1470"/>
      <c r="AM25" s="1470" t="s">
        <v>1647</v>
      </c>
      <c r="AN25" s="1471"/>
      <c r="AO25" s="1471"/>
      <c r="AP25" s="1471"/>
      <c r="AQ25" s="1471"/>
      <c r="AR25" s="1471"/>
      <c r="AS25" s="1471"/>
      <c r="AT25" s="1471"/>
      <c r="AU25" s="1471"/>
      <c r="AV25" s="1470" t="s">
        <v>4120</v>
      </c>
      <c r="AW25" s="1470" t="s">
        <v>2427</v>
      </c>
      <c r="AX25" s="1470" t="s">
        <v>3529</v>
      </c>
      <c r="AY25" s="1470" t="s">
        <v>3530</v>
      </c>
      <c r="AZ25" s="1470" t="s">
        <v>3531</v>
      </c>
      <c r="BA25" s="1470" t="s">
        <v>3532</v>
      </c>
      <c r="BB25" s="1470"/>
      <c r="BC25" s="1470"/>
      <c r="BD25" s="1470"/>
      <c r="BE25" s="1470"/>
      <c r="BF25" s="1470"/>
      <c r="BG25" s="1470"/>
      <c r="BH25" s="1470"/>
      <c r="BI25" s="1470"/>
      <c r="BJ25" s="1470"/>
      <c r="BK25" s="1470"/>
      <c r="BL25" s="1470"/>
      <c r="BM25" s="1470"/>
      <c r="BN25" s="1470"/>
      <c r="BO25" s="1470"/>
      <c r="BP25" s="1470"/>
      <c r="BQ25" s="1470"/>
      <c r="BR25" s="1470"/>
      <c r="BS25" s="1470"/>
      <c r="BT25" s="1470"/>
      <c r="BU25" s="1470"/>
      <c r="BV25" s="1470"/>
      <c r="BW25" s="2355"/>
      <c r="BX25" s="2355"/>
      <c r="BY25" s="2355"/>
      <c r="BZ25" s="2355"/>
      <c r="CA25" s="1470"/>
      <c r="CB25" s="1470"/>
      <c r="CC25" s="1470"/>
      <c r="CD25" s="1470"/>
      <c r="CE25" s="1470"/>
      <c r="CF25" s="1470"/>
      <c r="CG25" s="1470"/>
      <c r="CH25" s="1470"/>
      <c r="CI25" s="1470"/>
      <c r="CJ25" s="1470"/>
      <c r="CK25" s="1470"/>
      <c r="CL25" s="1470"/>
      <c r="CM25" s="1470"/>
      <c r="CN25" s="1470"/>
      <c r="CO25" s="1470"/>
      <c r="CP25" s="1470"/>
      <c r="CQ25" s="1470"/>
      <c r="CR25" s="1470"/>
      <c r="CS25" s="1470"/>
      <c r="CT25" s="1568" t="s">
        <v>4124</v>
      </c>
      <c r="CU25" s="1471" t="s">
        <v>1999</v>
      </c>
      <c r="CV25" s="1567"/>
      <c r="CW25" s="1570"/>
    </row>
    <row r="26" spans="2:103" s="68" customFormat="1" ht="18" x14ac:dyDescent="0.25">
      <c r="B26" s="1565">
        <v>23</v>
      </c>
      <c r="C26" s="1566" t="s">
        <v>246</v>
      </c>
      <c r="D26" s="1567" t="s">
        <v>4125</v>
      </c>
      <c r="E26" s="1471"/>
      <c r="F26" s="1471"/>
      <c r="G26" s="1471"/>
      <c r="H26" s="1471"/>
      <c r="I26" s="1471"/>
      <c r="J26" s="1471"/>
      <c r="K26" s="1471"/>
      <c r="L26" s="1471"/>
      <c r="M26" s="1471"/>
      <c r="N26" s="1470"/>
      <c r="O26" s="1470"/>
      <c r="P26" s="1471"/>
      <c r="Q26" s="1471"/>
      <c r="R26" s="1471"/>
      <c r="S26" s="1470" t="s">
        <v>4126</v>
      </c>
      <c r="T26" s="1471"/>
      <c r="U26" s="1471"/>
      <c r="V26" s="1471"/>
      <c r="W26" s="1471"/>
      <c r="X26" s="1471"/>
      <c r="Y26" s="1471"/>
      <c r="Z26" s="1471"/>
      <c r="AA26" s="1471" t="s">
        <v>4127</v>
      </c>
      <c r="AB26" s="1470"/>
      <c r="AC26" s="1470"/>
      <c r="AD26" s="1470"/>
      <c r="AE26" s="1471"/>
      <c r="AF26" s="1471"/>
      <c r="AG26" s="1471"/>
      <c r="AH26" s="1471"/>
      <c r="AI26" s="1471"/>
      <c r="AJ26" s="1471"/>
      <c r="AK26" s="1471"/>
      <c r="AL26" s="1471"/>
      <c r="AM26" s="1470" t="s">
        <v>4128</v>
      </c>
      <c r="AN26" s="1471">
        <v>1</v>
      </c>
      <c r="AO26" s="1471"/>
      <c r="AP26" s="1471"/>
      <c r="AQ26" s="1471"/>
      <c r="AR26" s="1471"/>
      <c r="AS26" s="1470" t="s">
        <v>4126</v>
      </c>
      <c r="AT26" s="1471"/>
      <c r="AU26" s="1471"/>
      <c r="AV26" s="1470" t="s">
        <v>4129</v>
      </c>
      <c r="AW26" s="1470" t="s">
        <v>4130</v>
      </c>
      <c r="AX26" s="1470" t="s">
        <v>4131</v>
      </c>
      <c r="AY26" s="1470" t="s">
        <v>4132</v>
      </c>
      <c r="AZ26" s="1470" t="s">
        <v>4133</v>
      </c>
      <c r="BA26" s="1470" t="s">
        <v>4134</v>
      </c>
      <c r="BB26" s="1470" t="s">
        <v>4135</v>
      </c>
      <c r="BC26" s="1470"/>
      <c r="BD26" s="1470"/>
      <c r="BE26" s="1470"/>
      <c r="BF26" s="1470"/>
      <c r="BG26" s="1470"/>
      <c r="BH26" s="1470"/>
      <c r="BI26" s="1470"/>
      <c r="BJ26" s="1470"/>
      <c r="BK26" s="1470"/>
      <c r="BL26" s="1470"/>
      <c r="BM26" s="1470"/>
      <c r="BN26" s="1470"/>
      <c r="BO26" s="1470"/>
      <c r="BP26" s="1470"/>
      <c r="BQ26" s="1470"/>
      <c r="BR26" s="1470"/>
      <c r="BS26" s="1470"/>
      <c r="BT26" s="1470"/>
      <c r="BU26" s="1470"/>
      <c r="BV26" s="1470"/>
      <c r="BW26" s="2355"/>
      <c r="BX26" s="2355"/>
      <c r="BY26" s="2355"/>
      <c r="BZ26" s="2355"/>
      <c r="CA26" s="1470"/>
      <c r="CB26" s="1470"/>
      <c r="CC26" s="1470"/>
      <c r="CD26" s="1470"/>
      <c r="CE26" s="1470"/>
      <c r="CF26" s="1470"/>
      <c r="CG26" s="1470"/>
      <c r="CH26" s="1470"/>
      <c r="CI26" s="1470"/>
      <c r="CJ26" s="1470"/>
      <c r="CK26" s="1470"/>
      <c r="CL26" s="1470"/>
      <c r="CM26" s="1470"/>
      <c r="CN26" s="1470"/>
      <c r="CO26" s="1470"/>
      <c r="CP26" s="1470"/>
      <c r="CQ26" s="1470"/>
      <c r="CR26" s="1470"/>
      <c r="CS26" s="1470"/>
      <c r="CT26" s="1568" t="s">
        <v>4136</v>
      </c>
      <c r="CU26" s="1471" t="s">
        <v>3636</v>
      </c>
      <c r="CV26" s="1567"/>
      <c r="CW26" s="1570"/>
      <c r="CX26" s="2059"/>
    </row>
    <row r="27" spans="2:103" s="68" customFormat="1" ht="18" x14ac:dyDescent="0.25">
      <c r="B27" s="1565">
        <v>24</v>
      </c>
      <c r="C27" s="1566" t="s">
        <v>247</v>
      </c>
      <c r="D27" s="1567" t="s">
        <v>4137</v>
      </c>
      <c r="E27" s="1471"/>
      <c r="F27" s="1471"/>
      <c r="G27" s="1471"/>
      <c r="H27" s="1471"/>
      <c r="I27" s="1471"/>
      <c r="J27" s="1471"/>
      <c r="K27" s="1471"/>
      <c r="L27" s="1471"/>
      <c r="M27" s="1471"/>
      <c r="N27" s="1470"/>
      <c r="O27" s="1470"/>
      <c r="P27" s="1471"/>
      <c r="Q27" s="1471"/>
      <c r="R27" s="1471"/>
      <c r="S27" s="1470" t="s">
        <v>4138</v>
      </c>
      <c r="T27" s="1471"/>
      <c r="U27" s="1471"/>
      <c r="V27" s="1471"/>
      <c r="W27" s="1471"/>
      <c r="X27" s="1471"/>
      <c r="Y27" s="1471"/>
      <c r="Z27" s="1471"/>
      <c r="AA27" s="1471" t="s">
        <v>4139</v>
      </c>
      <c r="AB27" s="1470"/>
      <c r="AC27" s="1470"/>
      <c r="AD27" s="1470" t="s">
        <v>4140</v>
      </c>
      <c r="AE27" s="1471"/>
      <c r="AF27" s="1471"/>
      <c r="AG27" s="1471"/>
      <c r="AH27" s="1470" t="s">
        <v>4141</v>
      </c>
      <c r="AI27" s="1470"/>
      <c r="AJ27" s="1470"/>
      <c r="AK27" s="1470"/>
      <c r="AL27" s="1470"/>
      <c r="AM27" s="1470" t="s">
        <v>4142</v>
      </c>
      <c r="AN27" s="1471">
        <v>1</v>
      </c>
      <c r="AO27" s="1471"/>
      <c r="AP27" s="1471"/>
      <c r="AQ27" s="1471"/>
      <c r="AR27" s="1471"/>
      <c r="AS27" s="1471"/>
      <c r="AT27" s="1471"/>
      <c r="AU27" s="1471"/>
      <c r="AV27" s="1470" t="s">
        <v>4143</v>
      </c>
      <c r="AW27" s="1470" t="s">
        <v>4144</v>
      </c>
      <c r="AX27" s="1470" t="s">
        <v>4145</v>
      </c>
      <c r="AY27" s="1470" t="s">
        <v>4146</v>
      </c>
      <c r="AZ27" s="1470" t="s">
        <v>4147</v>
      </c>
      <c r="BA27" s="1470" t="s">
        <v>4148</v>
      </c>
      <c r="BB27" s="1470" t="s">
        <v>4135</v>
      </c>
      <c r="BC27" s="1470"/>
      <c r="BD27" s="1470"/>
      <c r="BE27" s="1470"/>
      <c r="BF27" s="1470"/>
      <c r="BG27" s="1470"/>
      <c r="BH27" s="1470"/>
      <c r="BI27" s="1470"/>
      <c r="BJ27" s="1470"/>
      <c r="BK27" s="1470"/>
      <c r="BL27" s="1470"/>
      <c r="BM27" s="1470"/>
      <c r="BN27" s="1470"/>
      <c r="BO27" s="1470"/>
      <c r="BP27" s="1470"/>
      <c r="BQ27" s="1470"/>
      <c r="BR27" s="1470"/>
      <c r="BS27" s="1470"/>
      <c r="BT27" s="1470"/>
      <c r="BU27" s="1470"/>
      <c r="BV27" s="1470"/>
      <c r="BW27" s="2355"/>
      <c r="BX27" s="2355"/>
      <c r="BY27" s="2355"/>
      <c r="BZ27" s="2355"/>
      <c r="CA27" s="1470"/>
      <c r="CB27" s="1470"/>
      <c r="CC27" s="1470"/>
      <c r="CD27" s="1470"/>
      <c r="CE27" s="1470"/>
      <c r="CF27" s="1470"/>
      <c r="CG27" s="1470"/>
      <c r="CH27" s="1470"/>
      <c r="CI27" s="1470"/>
      <c r="CJ27" s="1470"/>
      <c r="CK27" s="1470"/>
      <c r="CL27" s="1470"/>
      <c r="CM27" s="1470"/>
      <c r="CN27" s="1470"/>
      <c r="CO27" s="1470"/>
      <c r="CP27" s="1470"/>
      <c r="CQ27" s="1470"/>
      <c r="CR27" s="1470"/>
      <c r="CS27" s="1470"/>
      <c r="CT27" s="1568" t="s">
        <v>4149</v>
      </c>
      <c r="CU27" s="1471" t="s">
        <v>3636</v>
      </c>
      <c r="CV27" s="1567"/>
      <c r="CW27" s="1570"/>
      <c r="CX27" s="2059"/>
    </row>
    <row r="28" spans="2:103" s="68" customFormat="1" ht="18" x14ac:dyDescent="0.25">
      <c r="B28" s="1565">
        <v>25</v>
      </c>
      <c r="C28" s="1566" t="s">
        <v>248</v>
      </c>
      <c r="D28" s="1567" t="s">
        <v>4150</v>
      </c>
      <c r="E28" s="1471"/>
      <c r="F28" s="1471"/>
      <c r="G28" s="1471"/>
      <c r="H28" s="1471"/>
      <c r="I28" s="1471"/>
      <c r="J28" s="1471"/>
      <c r="K28" s="1471"/>
      <c r="L28" s="1471"/>
      <c r="M28" s="1471"/>
      <c r="N28" s="1470"/>
      <c r="O28" s="1470"/>
      <c r="P28" s="1471"/>
      <c r="Q28" s="1471"/>
      <c r="R28" s="1471"/>
      <c r="S28" s="1470" t="s">
        <v>4138</v>
      </c>
      <c r="T28" s="1471"/>
      <c r="U28" s="1471"/>
      <c r="V28" s="1471"/>
      <c r="W28" s="1471"/>
      <c r="X28" s="1471"/>
      <c r="Y28" s="1471"/>
      <c r="Z28" s="1471"/>
      <c r="AA28" s="1471" t="s">
        <v>4139</v>
      </c>
      <c r="AB28" s="1470"/>
      <c r="AC28" s="1470" t="s">
        <v>4152</v>
      </c>
      <c r="AD28" s="1470" t="s">
        <v>4151</v>
      </c>
      <c r="AE28" s="1471"/>
      <c r="AF28" s="1471"/>
      <c r="AG28" s="1471"/>
      <c r="AH28" s="1471"/>
      <c r="AI28" s="1471"/>
      <c r="AJ28" s="1471"/>
      <c r="AK28" s="1471"/>
      <c r="AL28" s="1471"/>
      <c r="AM28" s="1470" t="s">
        <v>4142</v>
      </c>
      <c r="AN28" s="1471">
        <v>1</v>
      </c>
      <c r="AO28" s="1471"/>
      <c r="AP28" s="1471"/>
      <c r="AQ28" s="1471"/>
      <c r="AR28" s="1471"/>
      <c r="AS28" s="1471"/>
      <c r="AT28" s="1471"/>
      <c r="AU28" s="1471"/>
      <c r="AV28" s="1470" t="s">
        <v>4143</v>
      </c>
      <c r="AW28" s="1470" t="s">
        <v>4144</v>
      </c>
      <c r="AX28" s="1470" t="s">
        <v>4145</v>
      </c>
      <c r="AY28" s="1470" t="s">
        <v>4146</v>
      </c>
      <c r="AZ28" s="1470" t="s">
        <v>4147</v>
      </c>
      <c r="BA28" s="1470" t="s">
        <v>4148</v>
      </c>
      <c r="BB28" s="1470" t="s">
        <v>4135</v>
      </c>
      <c r="BC28" s="1470"/>
      <c r="BD28" s="1470"/>
      <c r="BE28" s="1470"/>
      <c r="BF28" s="1470"/>
      <c r="BG28" s="1470"/>
      <c r="BH28" s="1470"/>
      <c r="BI28" s="1470"/>
      <c r="BJ28" s="1470"/>
      <c r="BK28" s="1470"/>
      <c r="BL28" s="1470"/>
      <c r="BM28" s="1470"/>
      <c r="BN28" s="1470"/>
      <c r="BO28" s="1470"/>
      <c r="BP28" s="1470"/>
      <c r="BQ28" s="1470"/>
      <c r="BR28" s="1470"/>
      <c r="BS28" s="1470"/>
      <c r="BT28" s="1470"/>
      <c r="BU28" s="1470"/>
      <c r="BV28" s="1470"/>
      <c r="BW28" s="2355"/>
      <c r="BX28" s="2355"/>
      <c r="BY28" s="2355"/>
      <c r="BZ28" s="2355"/>
      <c r="CA28" s="1470"/>
      <c r="CB28" s="1470"/>
      <c r="CC28" s="1470"/>
      <c r="CD28" s="1470"/>
      <c r="CE28" s="1470"/>
      <c r="CF28" s="1470"/>
      <c r="CG28" s="1470"/>
      <c r="CH28" s="1470"/>
      <c r="CI28" s="1470"/>
      <c r="CJ28" s="1470"/>
      <c r="CK28" s="1470"/>
      <c r="CL28" s="1470"/>
      <c r="CM28" s="1470"/>
      <c r="CN28" s="1470"/>
      <c r="CO28" s="1470"/>
      <c r="CP28" s="1470"/>
      <c r="CQ28" s="1470"/>
      <c r="CR28" s="1470"/>
      <c r="CS28" s="1470"/>
      <c r="CT28" s="1568" t="s">
        <v>4153</v>
      </c>
      <c r="CU28" s="1471" t="s">
        <v>3636</v>
      </c>
      <c r="CV28" s="1567"/>
      <c r="CW28" s="1570"/>
      <c r="CX28" s="2059"/>
    </row>
    <row r="29" spans="2:103" ht="18" x14ac:dyDescent="0.25">
      <c r="B29" s="1565">
        <v>26</v>
      </c>
      <c r="C29" s="1566" t="s">
        <v>249</v>
      </c>
      <c r="D29" s="1567" t="s">
        <v>1656</v>
      </c>
      <c r="E29" s="1471"/>
      <c r="F29" s="1471"/>
      <c r="G29" s="1471"/>
      <c r="H29" s="1471"/>
      <c r="I29" s="1471"/>
      <c r="J29" s="1471"/>
      <c r="K29" s="1471"/>
      <c r="L29" s="1471"/>
      <c r="M29" s="1471"/>
      <c r="N29" s="2355" t="s">
        <v>5488</v>
      </c>
      <c r="O29" s="1470"/>
      <c r="P29" s="1471"/>
      <c r="Q29" s="1471"/>
      <c r="R29" s="1471"/>
      <c r="S29" s="1471">
        <v>1</v>
      </c>
      <c r="T29" s="1471"/>
      <c r="U29" s="1471"/>
      <c r="V29" s="1471"/>
      <c r="W29" s="1471"/>
      <c r="X29" s="1471"/>
      <c r="Y29" s="1471"/>
      <c r="Z29" s="1471"/>
      <c r="AA29" s="1471" t="s">
        <v>1646</v>
      </c>
      <c r="AB29" s="1471"/>
      <c r="AC29" s="1471"/>
      <c r="AD29" s="1471"/>
      <c r="AE29" s="1471"/>
      <c r="AF29" s="1471"/>
      <c r="AG29" s="1471"/>
      <c r="AH29" s="1471"/>
      <c r="AI29" s="1471"/>
      <c r="AJ29" s="1471"/>
      <c r="AK29" s="1471"/>
      <c r="AL29" s="1471"/>
      <c r="AM29" s="1470"/>
      <c r="AN29" s="1470" t="s">
        <v>1647</v>
      </c>
      <c r="AO29" s="1471"/>
      <c r="AP29" s="1471"/>
      <c r="AQ29" s="1471"/>
      <c r="AR29" s="1471"/>
      <c r="AS29" s="1470" t="s">
        <v>5499</v>
      </c>
      <c r="AT29" s="1470"/>
      <c r="AU29" s="1470"/>
      <c r="AV29" s="1470" t="s">
        <v>5501</v>
      </c>
      <c r="AW29" s="1470" t="s">
        <v>2427</v>
      </c>
      <c r="AX29" s="1470" t="s">
        <v>3529</v>
      </c>
      <c r="AY29" s="1470" t="s">
        <v>3530</v>
      </c>
      <c r="AZ29" s="1470" t="s">
        <v>3537</v>
      </c>
      <c r="BA29" s="1470" t="s">
        <v>3538</v>
      </c>
      <c r="BB29" s="1470" t="s">
        <v>1657</v>
      </c>
      <c r="BC29" s="1470"/>
      <c r="BD29" s="1470"/>
      <c r="BE29" s="1470"/>
      <c r="BF29" s="1470"/>
      <c r="BG29" s="1470"/>
      <c r="BH29" s="1470"/>
      <c r="BI29" s="1470"/>
      <c r="BJ29" s="1470"/>
      <c r="BK29" s="1470"/>
      <c r="BL29" s="1470"/>
      <c r="BM29" s="1470"/>
      <c r="BN29" s="1470"/>
      <c r="BO29" s="1470"/>
      <c r="BP29" s="1470"/>
      <c r="BQ29" s="1470"/>
      <c r="BR29" s="1470"/>
      <c r="BS29" s="1470"/>
      <c r="BT29" s="1470"/>
      <c r="BU29" s="1470"/>
      <c r="BV29" s="1470"/>
      <c r="BW29" s="2355"/>
      <c r="BX29" s="2355"/>
      <c r="BY29" s="2355"/>
      <c r="BZ29" s="2355"/>
      <c r="CA29" s="1470"/>
      <c r="CB29" s="1470"/>
      <c r="CC29" s="1470"/>
      <c r="CD29" s="1470"/>
      <c r="CE29" s="1470"/>
      <c r="CF29" s="1470"/>
      <c r="CG29" s="1470"/>
      <c r="CH29" s="1470"/>
      <c r="CI29" s="1470"/>
      <c r="CJ29" s="1470"/>
      <c r="CK29" s="1470"/>
      <c r="CL29" s="1470"/>
      <c r="CM29" s="1470"/>
      <c r="CN29" s="1470"/>
      <c r="CO29" s="1470"/>
      <c r="CP29" s="1470"/>
      <c r="CQ29" s="1470"/>
      <c r="CR29" s="1470"/>
      <c r="CS29" s="1470"/>
      <c r="CT29" s="1567" t="s">
        <v>4154</v>
      </c>
      <c r="CU29" s="1471" t="s">
        <v>1999</v>
      </c>
      <c r="CV29" s="1567"/>
      <c r="CW29" s="1570"/>
      <c r="CY29" s="2058"/>
    </row>
    <row r="30" spans="2:103" ht="18" x14ac:dyDescent="0.25">
      <c r="B30" s="1565">
        <v>27</v>
      </c>
      <c r="C30" s="1566" t="s">
        <v>250</v>
      </c>
      <c r="D30" s="1567" t="s">
        <v>2212</v>
      </c>
      <c r="E30" s="1471"/>
      <c r="F30" s="1471"/>
      <c r="G30" s="1471"/>
      <c r="H30" s="1471"/>
      <c r="I30" s="1471"/>
      <c r="J30" s="1471"/>
      <c r="K30" s="1471"/>
      <c r="L30" s="1471"/>
      <c r="M30" s="1471"/>
      <c r="N30" s="2355" t="s">
        <v>5489</v>
      </c>
      <c r="O30" s="1470"/>
      <c r="P30" s="1471"/>
      <c r="Q30" s="1471"/>
      <c r="R30" s="1471"/>
      <c r="S30" s="1471">
        <v>1</v>
      </c>
      <c r="T30" s="1471"/>
      <c r="U30" s="1471"/>
      <c r="V30" s="1471"/>
      <c r="W30" s="1471"/>
      <c r="X30" s="1471"/>
      <c r="Y30" s="1471"/>
      <c r="Z30" s="1471"/>
      <c r="AA30" s="1471" t="s">
        <v>1646</v>
      </c>
      <c r="AB30" s="1470"/>
      <c r="AC30" s="1470"/>
      <c r="AD30" s="1470" t="s">
        <v>5494</v>
      </c>
      <c r="AE30" s="1471"/>
      <c r="AF30" s="1471"/>
      <c r="AG30" s="1471"/>
      <c r="AH30" s="1470" t="s">
        <v>5497</v>
      </c>
      <c r="AI30" s="1470"/>
      <c r="AJ30" s="1470"/>
      <c r="AK30" s="1470"/>
      <c r="AL30" s="1470"/>
      <c r="AM30" s="1470"/>
      <c r="AN30" s="1470" t="s">
        <v>1647</v>
      </c>
      <c r="AO30" s="1471"/>
      <c r="AP30" s="1471"/>
      <c r="AQ30" s="1471"/>
      <c r="AR30" s="1471"/>
      <c r="AS30" s="1470"/>
      <c r="AT30" s="1470"/>
      <c r="AU30" s="1470"/>
      <c r="AV30" s="1470" t="s">
        <v>5502</v>
      </c>
      <c r="AW30" s="1470" t="s">
        <v>2427</v>
      </c>
      <c r="AX30" s="1470" t="s">
        <v>3529</v>
      </c>
      <c r="AY30" s="1470" t="s">
        <v>3530</v>
      </c>
      <c r="AZ30" s="1470" t="s">
        <v>3537</v>
      </c>
      <c r="BA30" s="1470" t="s">
        <v>3538</v>
      </c>
      <c r="BB30" s="1470" t="s">
        <v>1657</v>
      </c>
      <c r="BC30" s="1470"/>
      <c r="BD30" s="1470"/>
      <c r="BE30" s="1470"/>
      <c r="BF30" s="1470"/>
      <c r="BG30" s="1470"/>
      <c r="BH30" s="1470"/>
      <c r="BI30" s="1470"/>
      <c r="BJ30" s="1470"/>
      <c r="BK30" s="1470"/>
      <c r="BL30" s="1470"/>
      <c r="BM30" s="1470"/>
      <c r="BN30" s="1470"/>
      <c r="BO30" s="1470"/>
      <c r="BP30" s="1470"/>
      <c r="BQ30" s="1470"/>
      <c r="BR30" s="1470"/>
      <c r="BS30" s="1470"/>
      <c r="BT30" s="1470"/>
      <c r="BU30" s="1470"/>
      <c r="BV30" s="1470"/>
      <c r="BW30" s="2355"/>
      <c r="BX30" s="2355"/>
      <c r="BY30" s="2355"/>
      <c r="BZ30" s="2355"/>
      <c r="CA30" s="1470"/>
      <c r="CB30" s="1470"/>
      <c r="CC30" s="1470"/>
      <c r="CD30" s="1470"/>
      <c r="CE30" s="1470"/>
      <c r="CF30" s="1470"/>
      <c r="CG30" s="1470"/>
      <c r="CH30" s="1470"/>
      <c r="CI30" s="1470"/>
      <c r="CJ30" s="1470"/>
      <c r="CK30" s="1470"/>
      <c r="CL30" s="1470"/>
      <c r="CM30" s="1470"/>
      <c r="CN30" s="1470"/>
      <c r="CO30" s="1470"/>
      <c r="CP30" s="1470"/>
      <c r="CQ30" s="1470"/>
      <c r="CR30" s="1470"/>
      <c r="CS30" s="1470"/>
      <c r="CT30" s="1567" t="s">
        <v>4155</v>
      </c>
      <c r="CU30" s="1471" t="s">
        <v>1999</v>
      </c>
      <c r="CV30" s="1567"/>
      <c r="CW30" s="1570"/>
      <c r="CY30" s="2058"/>
    </row>
    <row r="31" spans="2:103" ht="18" x14ac:dyDescent="0.25">
      <c r="B31" s="1565">
        <v>28</v>
      </c>
      <c r="C31" s="1566" t="s">
        <v>251</v>
      </c>
      <c r="D31" s="1567" t="s">
        <v>1658</v>
      </c>
      <c r="E31" s="1471"/>
      <c r="F31" s="1471"/>
      <c r="G31" s="1471"/>
      <c r="H31" s="1471"/>
      <c r="I31" s="1471"/>
      <c r="J31" s="1471"/>
      <c r="K31" s="1471"/>
      <c r="L31" s="1471"/>
      <c r="M31" s="1471"/>
      <c r="N31" s="2355" t="s">
        <v>5489</v>
      </c>
      <c r="O31" s="1470"/>
      <c r="P31" s="1471"/>
      <c r="Q31" s="1471"/>
      <c r="R31" s="1471"/>
      <c r="S31" s="1471">
        <v>1</v>
      </c>
      <c r="T31" s="1471"/>
      <c r="U31" s="1471"/>
      <c r="V31" s="1471"/>
      <c r="W31" s="1471"/>
      <c r="X31" s="1471"/>
      <c r="Y31" s="1471"/>
      <c r="Z31" s="1471"/>
      <c r="AA31" s="1471" t="s">
        <v>1646</v>
      </c>
      <c r="AB31" s="1470"/>
      <c r="AC31" s="1470" t="s">
        <v>5496</v>
      </c>
      <c r="AD31" s="1470" t="s">
        <v>5495</v>
      </c>
      <c r="AE31" s="1471"/>
      <c r="AF31" s="1471"/>
      <c r="AG31" s="1471"/>
      <c r="AH31" s="1470"/>
      <c r="AI31" s="1470"/>
      <c r="AJ31" s="1470"/>
      <c r="AK31" s="1470"/>
      <c r="AL31" s="1470"/>
      <c r="AM31" s="1470"/>
      <c r="AN31" s="1470" t="s">
        <v>1647</v>
      </c>
      <c r="AO31" s="1471"/>
      <c r="AP31" s="1471"/>
      <c r="AQ31" s="1471"/>
      <c r="AR31" s="1471"/>
      <c r="AS31" s="1471"/>
      <c r="AT31" s="1471"/>
      <c r="AU31" s="1471"/>
      <c r="AV31" s="1470" t="s">
        <v>5502</v>
      </c>
      <c r="AW31" s="1470" t="s">
        <v>2427</v>
      </c>
      <c r="AX31" s="1470" t="s">
        <v>3529</v>
      </c>
      <c r="AY31" s="1470" t="s">
        <v>3530</v>
      </c>
      <c r="AZ31" s="1470" t="s">
        <v>3537</v>
      </c>
      <c r="BA31" s="1470" t="s">
        <v>3538</v>
      </c>
      <c r="BB31" s="1470" t="s">
        <v>1657</v>
      </c>
      <c r="BC31" s="1470"/>
      <c r="BD31" s="1470"/>
      <c r="BE31" s="1470"/>
      <c r="BF31" s="1470"/>
      <c r="BG31" s="1470"/>
      <c r="BH31" s="1470"/>
      <c r="BI31" s="1470"/>
      <c r="BJ31" s="1470"/>
      <c r="BK31" s="1470"/>
      <c r="BL31" s="1470"/>
      <c r="BM31" s="1470"/>
      <c r="BN31" s="1470"/>
      <c r="BO31" s="1470"/>
      <c r="BP31" s="1470"/>
      <c r="BQ31" s="1470"/>
      <c r="BR31" s="1470"/>
      <c r="BS31" s="1470"/>
      <c r="BT31" s="1470"/>
      <c r="BU31" s="1470"/>
      <c r="BV31" s="1470"/>
      <c r="BW31" s="2355"/>
      <c r="BX31" s="2355"/>
      <c r="BY31" s="2355"/>
      <c r="BZ31" s="2355"/>
      <c r="CA31" s="1470"/>
      <c r="CB31" s="1470"/>
      <c r="CC31" s="1470"/>
      <c r="CD31" s="1470"/>
      <c r="CE31" s="1470"/>
      <c r="CF31" s="1470"/>
      <c r="CG31" s="1470"/>
      <c r="CH31" s="1470"/>
      <c r="CI31" s="1470"/>
      <c r="CJ31" s="1470"/>
      <c r="CK31" s="1470"/>
      <c r="CL31" s="1470"/>
      <c r="CM31" s="1470"/>
      <c r="CN31" s="1470"/>
      <c r="CO31" s="1470"/>
      <c r="CP31" s="1470"/>
      <c r="CQ31" s="1470"/>
      <c r="CR31" s="1470"/>
      <c r="CS31" s="1470"/>
      <c r="CT31" s="1567" t="s">
        <v>4156</v>
      </c>
      <c r="CU31" s="1471" t="s">
        <v>1999</v>
      </c>
      <c r="CV31" s="1567"/>
      <c r="CW31" s="1570"/>
      <c r="CY31" s="2058"/>
    </row>
    <row r="32" spans="2:103" ht="18" x14ac:dyDescent="0.25">
      <c r="B32" s="1565">
        <v>29</v>
      </c>
      <c r="C32" s="1566" t="s">
        <v>252</v>
      </c>
      <c r="D32" s="1567" t="s">
        <v>4157</v>
      </c>
      <c r="E32" s="1471">
        <v>-1</v>
      </c>
      <c r="F32" s="1471"/>
      <c r="G32" s="1471"/>
      <c r="H32" s="1471"/>
      <c r="I32" s="1471"/>
      <c r="J32" s="1471"/>
      <c r="K32" s="1471"/>
      <c r="L32" s="1471"/>
      <c r="M32" s="1471"/>
      <c r="N32" s="1471">
        <v>1</v>
      </c>
      <c r="O32" s="1471"/>
      <c r="P32" s="1471"/>
      <c r="Q32" s="1471"/>
      <c r="R32" s="1471"/>
      <c r="S32" s="1471"/>
      <c r="T32" s="1471"/>
      <c r="U32" s="1471"/>
      <c r="V32" s="1471"/>
      <c r="W32" s="1471"/>
      <c r="X32" s="1471"/>
      <c r="Y32" s="1471"/>
      <c r="Z32" s="1471"/>
      <c r="AA32" s="1471"/>
      <c r="AB32" s="1470"/>
      <c r="AC32" s="1470"/>
      <c r="AD32" s="1470"/>
      <c r="AE32" s="1471"/>
      <c r="AF32" s="1471"/>
      <c r="AG32" s="1471"/>
      <c r="AH32" s="1470"/>
      <c r="AI32" s="1470"/>
      <c r="AJ32" s="1470"/>
      <c r="AK32" s="1470"/>
      <c r="AL32" s="1470"/>
      <c r="AM32" s="1471" t="s">
        <v>1659</v>
      </c>
      <c r="AN32" s="1470" t="s">
        <v>1660</v>
      </c>
      <c r="AO32" s="1471"/>
      <c r="AP32" s="1471"/>
      <c r="AQ32" s="1471"/>
      <c r="AR32" s="1471"/>
      <c r="AS32" s="1471"/>
      <c r="AT32" s="1471"/>
      <c r="AU32" s="1471"/>
      <c r="AV32" s="1471" t="s">
        <v>1961</v>
      </c>
      <c r="AW32" s="1471"/>
      <c r="AX32" s="1471"/>
      <c r="AY32" s="1471"/>
      <c r="AZ32" s="1470" t="s">
        <v>1661</v>
      </c>
      <c r="BA32" s="1470" t="s">
        <v>1662</v>
      </c>
      <c r="BB32" s="1470" t="s">
        <v>1663</v>
      </c>
      <c r="BC32" s="1471"/>
      <c r="BD32" s="1471"/>
      <c r="BE32" s="1471"/>
      <c r="BF32" s="1471"/>
      <c r="BG32" s="1471"/>
      <c r="BH32" s="1471"/>
      <c r="BI32" s="1471"/>
      <c r="BJ32" s="1471"/>
      <c r="BK32" s="1471"/>
      <c r="BL32" s="1471"/>
      <c r="BM32" s="1471"/>
      <c r="BN32" s="1471"/>
      <c r="BO32" s="1471"/>
      <c r="BP32" s="1471"/>
      <c r="BQ32" s="1471"/>
      <c r="BR32" s="1471"/>
      <c r="BS32" s="1471"/>
      <c r="BT32" s="1470"/>
      <c r="BU32" s="1471"/>
      <c r="BV32" s="1471"/>
      <c r="BW32" s="2356"/>
      <c r="BX32" s="2356"/>
      <c r="BY32" s="2356"/>
      <c r="BZ32" s="2356"/>
      <c r="CA32" s="1471"/>
      <c r="CB32" s="1471"/>
      <c r="CC32" s="1471"/>
      <c r="CD32" s="1471"/>
      <c r="CE32" s="1471"/>
      <c r="CF32" s="1471"/>
      <c r="CG32" s="1471"/>
      <c r="CH32" s="1471"/>
      <c r="CI32" s="1471"/>
      <c r="CJ32" s="1471"/>
      <c r="CK32" s="1471"/>
      <c r="CL32" s="1471"/>
      <c r="CM32" s="1471"/>
      <c r="CN32" s="1471"/>
      <c r="CO32" s="1471"/>
      <c r="CP32" s="1471"/>
      <c r="CQ32" s="1471"/>
      <c r="CR32" s="1471"/>
      <c r="CS32" s="1471"/>
      <c r="CT32" s="1567" t="s">
        <v>4158</v>
      </c>
      <c r="CU32" s="1471" t="s">
        <v>1999</v>
      </c>
      <c r="CV32" s="1567"/>
      <c r="CW32" s="1570"/>
    </row>
    <row r="33" spans="1:103" ht="18" x14ac:dyDescent="0.25">
      <c r="B33" s="1565">
        <v>30</v>
      </c>
      <c r="C33" s="1566" t="s">
        <v>1359</v>
      </c>
      <c r="D33" s="2449" t="s">
        <v>5498</v>
      </c>
      <c r="E33" s="1471">
        <v>-1</v>
      </c>
      <c r="F33" s="1471"/>
      <c r="G33" s="1471"/>
      <c r="H33" s="1471"/>
      <c r="I33" s="1471"/>
      <c r="J33" s="1471"/>
      <c r="K33" s="1471"/>
      <c r="L33" s="1471"/>
      <c r="M33" s="1471"/>
      <c r="N33" s="1471"/>
      <c r="O33" s="1471">
        <v>1</v>
      </c>
      <c r="P33" s="1471"/>
      <c r="Q33" s="1471"/>
      <c r="R33" s="1471"/>
      <c r="S33" s="1471"/>
      <c r="T33" s="1471"/>
      <c r="U33" s="1471"/>
      <c r="V33" s="1471"/>
      <c r="W33" s="1471"/>
      <c r="X33" s="1471"/>
      <c r="Y33" s="1471"/>
      <c r="Z33" s="1471"/>
      <c r="AA33" s="1471"/>
      <c r="AB33" s="1470"/>
      <c r="AC33" s="1470"/>
      <c r="AD33" s="1470"/>
      <c r="AE33" s="1471"/>
      <c r="AF33" s="1471"/>
      <c r="AG33" s="1471"/>
      <c r="AH33" s="1471"/>
      <c r="AI33" s="1471"/>
      <c r="AJ33" s="1471"/>
      <c r="AK33" s="1471"/>
      <c r="AL33" s="1471"/>
      <c r="AM33" s="1471"/>
      <c r="AN33" s="1470"/>
      <c r="AO33" s="1471"/>
      <c r="AP33" s="1471"/>
      <c r="AQ33" s="1471"/>
      <c r="AR33" s="1471"/>
      <c r="AS33" s="1471"/>
      <c r="AT33" s="1471"/>
      <c r="AU33" s="1471"/>
      <c r="AV33" s="2356" t="s">
        <v>1961</v>
      </c>
      <c r="AW33" s="1470"/>
      <c r="AX33" s="1470"/>
      <c r="AY33" s="1470"/>
      <c r="AZ33" s="1470"/>
      <c r="BA33" s="1470"/>
      <c r="BB33" s="1470"/>
      <c r="BC33" s="1471"/>
      <c r="BD33" s="1471"/>
      <c r="BE33" s="1471"/>
      <c r="BF33" s="1471"/>
      <c r="BG33" s="1471"/>
      <c r="BH33" s="1471"/>
      <c r="BI33" s="1471"/>
      <c r="BJ33" s="1471"/>
      <c r="BK33" s="1471"/>
      <c r="BL33" s="1471"/>
      <c r="BM33" s="1471"/>
      <c r="BN33" s="1471"/>
      <c r="BO33" s="1471"/>
      <c r="BP33" s="1471"/>
      <c r="BQ33" s="1471"/>
      <c r="BR33" s="1471"/>
      <c r="BS33" s="1471"/>
      <c r="BT33" s="1471"/>
      <c r="BU33" s="1471"/>
      <c r="BV33" s="1471"/>
      <c r="BW33" s="2356"/>
      <c r="BX33" s="2356"/>
      <c r="BY33" s="2356"/>
      <c r="BZ33" s="2356"/>
      <c r="CA33" s="1471"/>
      <c r="CB33" s="1471"/>
      <c r="CC33" s="1471"/>
      <c r="CD33" s="1471"/>
      <c r="CE33" s="1471"/>
      <c r="CF33" s="1471"/>
      <c r="CG33" s="1471"/>
      <c r="CH33" s="1471"/>
      <c r="CI33" s="1471"/>
      <c r="CJ33" s="1471"/>
      <c r="CK33" s="1471"/>
      <c r="CL33" s="1471"/>
      <c r="CM33" s="1471"/>
      <c r="CN33" s="1471"/>
      <c r="CO33" s="1471"/>
      <c r="CP33" s="1471"/>
      <c r="CQ33" s="1471"/>
      <c r="CR33" s="1471"/>
      <c r="CS33" s="1471"/>
      <c r="CT33" s="2449" t="s">
        <v>5481</v>
      </c>
      <c r="CU33" s="1471" t="s">
        <v>1999</v>
      </c>
      <c r="CV33" s="1567"/>
      <c r="CW33" s="1570"/>
    </row>
    <row r="34" spans="1:103" ht="18" x14ac:dyDescent="0.25">
      <c r="B34" s="1565">
        <v>31</v>
      </c>
      <c r="C34" s="1566" t="s">
        <v>1360</v>
      </c>
      <c r="D34" s="1567" t="s">
        <v>4159</v>
      </c>
      <c r="E34" s="1471"/>
      <c r="F34" s="1471"/>
      <c r="G34" s="1471"/>
      <c r="H34" s="1471"/>
      <c r="I34" s="1471"/>
      <c r="J34" s="1471"/>
      <c r="K34" s="1471"/>
      <c r="L34" s="1471"/>
      <c r="M34" s="1471"/>
      <c r="N34" s="2355" t="s">
        <v>5486</v>
      </c>
      <c r="O34" s="2355" t="s">
        <v>5487</v>
      </c>
      <c r="P34" s="1471"/>
      <c r="Q34" s="1471"/>
      <c r="R34" s="1471"/>
      <c r="S34" s="1471"/>
      <c r="T34" s="1471"/>
      <c r="U34" s="1471"/>
      <c r="V34" s="1471"/>
      <c r="W34" s="1471"/>
      <c r="X34" s="1471"/>
      <c r="Y34" s="1471"/>
      <c r="Z34" s="1471"/>
      <c r="AA34" s="1471"/>
      <c r="AB34" s="1471"/>
      <c r="AC34" s="1471"/>
      <c r="AD34" s="1471"/>
      <c r="AE34" s="1471"/>
      <c r="AF34" s="1471"/>
      <c r="AG34" s="1471"/>
      <c r="AH34" s="1471"/>
      <c r="AI34" s="1471"/>
      <c r="AJ34" s="1471"/>
      <c r="AK34" s="1471"/>
      <c r="AL34" s="1471"/>
      <c r="AM34" s="1471"/>
      <c r="AN34" s="1470"/>
      <c r="AO34" s="1471"/>
      <c r="AP34" s="1471"/>
      <c r="AQ34" s="1471"/>
      <c r="AR34" s="1471"/>
      <c r="AS34" s="1471">
        <v>-1</v>
      </c>
      <c r="AT34" s="1471"/>
      <c r="AU34" s="1471"/>
      <c r="AV34" s="1471" t="s">
        <v>4160</v>
      </c>
      <c r="AW34" s="1471"/>
      <c r="AX34" s="1471"/>
      <c r="AY34" s="1471"/>
      <c r="AZ34" s="1470"/>
      <c r="BA34" s="1470"/>
      <c r="BB34" s="1470"/>
      <c r="BC34" s="1471"/>
      <c r="BD34" s="1471"/>
      <c r="BE34" s="1471"/>
      <c r="BF34" s="1471"/>
      <c r="BG34" s="1471"/>
      <c r="BH34" s="1471"/>
      <c r="BI34" s="1471"/>
      <c r="BJ34" s="1471"/>
      <c r="BK34" s="1471"/>
      <c r="BL34" s="1471"/>
      <c r="BM34" s="1471"/>
      <c r="BN34" s="1471"/>
      <c r="BO34" s="1471"/>
      <c r="BP34" s="1471"/>
      <c r="BQ34" s="1471"/>
      <c r="BR34" s="1471"/>
      <c r="BS34" s="1471"/>
      <c r="BT34" s="1471"/>
      <c r="BU34" s="1471"/>
      <c r="BV34" s="1471"/>
      <c r="BW34" s="2356"/>
      <c r="BX34" s="2356"/>
      <c r="BY34" s="2356"/>
      <c r="BZ34" s="2356"/>
      <c r="CA34" s="1471"/>
      <c r="CB34" s="1471"/>
      <c r="CC34" s="1471"/>
      <c r="CD34" s="1471"/>
      <c r="CE34" s="1471"/>
      <c r="CF34" s="1471"/>
      <c r="CG34" s="1471"/>
      <c r="CH34" s="1471"/>
      <c r="CI34" s="1471"/>
      <c r="CJ34" s="1471"/>
      <c r="CK34" s="1471"/>
      <c r="CL34" s="1471"/>
      <c r="CM34" s="1471"/>
      <c r="CN34" s="1471"/>
      <c r="CO34" s="1471"/>
      <c r="CP34" s="1471"/>
      <c r="CQ34" s="1471"/>
      <c r="CR34" s="1471"/>
      <c r="CS34" s="1471"/>
      <c r="CT34" s="1567" t="s">
        <v>4161</v>
      </c>
      <c r="CU34" s="1471" t="s">
        <v>1999</v>
      </c>
      <c r="CV34" s="1567"/>
      <c r="CW34" s="1570"/>
    </row>
    <row r="35" spans="1:103" ht="18" x14ac:dyDescent="0.25">
      <c r="B35" s="1565">
        <v>32</v>
      </c>
      <c r="C35" s="1566" t="s">
        <v>253</v>
      </c>
      <c r="D35" s="1567" t="s">
        <v>4162</v>
      </c>
      <c r="E35" s="1471"/>
      <c r="F35" s="1471"/>
      <c r="G35" s="1471"/>
      <c r="H35" s="1471"/>
      <c r="I35" s="1471"/>
      <c r="J35" s="1471"/>
      <c r="K35" s="1471"/>
      <c r="L35" s="1471"/>
      <c r="M35" s="1471"/>
      <c r="N35" s="2355" t="s">
        <v>5486</v>
      </c>
      <c r="O35" s="2355" t="s">
        <v>5487</v>
      </c>
      <c r="P35" s="1471"/>
      <c r="Q35" s="1471"/>
      <c r="R35" s="1471"/>
      <c r="S35" s="1471"/>
      <c r="T35" s="1471"/>
      <c r="U35" s="1471"/>
      <c r="V35" s="1471"/>
      <c r="W35" s="1471"/>
      <c r="X35" s="1471"/>
      <c r="Y35" s="1471"/>
      <c r="Z35" s="1471"/>
      <c r="AA35" s="1471"/>
      <c r="AB35" s="1470"/>
      <c r="AC35" s="1470"/>
      <c r="AD35" s="1470" t="s">
        <v>2400</v>
      </c>
      <c r="AE35" s="1471"/>
      <c r="AF35" s="1471"/>
      <c r="AG35" s="1471"/>
      <c r="AH35" s="1470" t="s">
        <v>2401</v>
      </c>
      <c r="AI35" s="1470"/>
      <c r="AJ35" s="1470"/>
      <c r="AK35" s="1470"/>
      <c r="AL35" s="1470"/>
      <c r="AM35" s="1471"/>
      <c r="AN35" s="1470"/>
      <c r="AO35" s="1471"/>
      <c r="AP35" s="1471"/>
      <c r="AQ35" s="1471"/>
      <c r="AR35" s="1471"/>
      <c r="AS35" s="1471"/>
      <c r="AT35" s="1471"/>
      <c r="AU35" s="1471"/>
      <c r="AV35" s="1471" t="s">
        <v>4160</v>
      </c>
      <c r="AW35" s="1471"/>
      <c r="AX35" s="1471"/>
      <c r="AY35" s="1471"/>
      <c r="AZ35" s="1470"/>
      <c r="BA35" s="1470"/>
      <c r="BB35" s="1470"/>
      <c r="BC35" s="1471"/>
      <c r="BD35" s="1471"/>
      <c r="BE35" s="1471"/>
      <c r="BF35" s="1471"/>
      <c r="BG35" s="1471"/>
      <c r="BH35" s="1471"/>
      <c r="BI35" s="1471"/>
      <c r="BJ35" s="1471"/>
      <c r="BK35" s="1471"/>
      <c r="BL35" s="1471"/>
      <c r="BM35" s="1471"/>
      <c r="BN35" s="1471"/>
      <c r="BO35" s="1471"/>
      <c r="BP35" s="1471"/>
      <c r="BQ35" s="1471"/>
      <c r="BR35" s="1471"/>
      <c r="BS35" s="1471"/>
      <c r="BT35" s="1471"/>
      <c r="BU35" s="1471"/>
      <c r="BV35" s="1471"/>
      <c r="BW35" s="2356"/>
      <c r="BX35" s="2356"/>
      <c r="BY35" s="2356"/>
      <c r="BZ35" s="2356"/>
      <c r="CA35" s="1471"/>
      <c r="CB35" s="1471"/>
      <c r="CC35" s="1471"/>
      <c r="CD35" s="1471"/>
      <c r="CE35" s="1471"/>
      <c r="CF35" s="1471"/>
      <c r="CG35" s="1471"/>
      <c r="CH35" s="1471"/>
      <c r="CI35" s="1471"/>
      <c r="CJ35" s="1471"/>
      <c r="CK35" s="1471"/>
      <c r="CL35" s="1471"/>
      <c r="CM35" s="1471"/>
      <c r="CN35" s="1471"/>
      <c r="CO35" s="1471"/>
      <c r="CP35" s="1471"/>
      <c r="CQ35" s="1471"/>
      <c r="CR35" s="1471"/>
      <c r="CS35" s="1471"/>
      <c r="CT35" s="1567" t="s">
        <v>4163</v>
      </c>
      <c r="CU35" s="1471" t="s">
        <v>1999</v>
      </c>
      <c r="CV35" s="1567"/>
      <c r="CW35" s="1570"/>
    </row>
    <row r="36" spans="1:103" ht="18" x14ac:dyDescent="0.25">
      <c r="B36" s="1565">
        <v>33</v>
      </c>
      <c r="C36" s="1566" t="s">
        <v>254</v>
      </c>
      <c r="D36" s="1567" t="s">
        <v>4164</v>
      </c>
      <c r="E36" s="1471"/>
      <c r="F36" s="1471"/>
      <c r="G36" s="1471"/>
      <c r="H36" s="1471"/>
      <c r="I36" s="1471"/>
      <c r="J36" s="1471"/>
      <c r="K36" s="1471"/>
      <c r="L36" s="1471"/>
      <c r="M36" s="1471"/>
      <c r="N36" s="2355" t="s">
        <v>5486</v>
      </c>
      <c r="O36" s="2355" t="s">
        <v>5487</v>
      </c>
      <c r="P36" s="1471"/>
      <c r="Q36" s="1471"/>
      <c r="R36" s="1471"/>
      <c r="S36" s="1471"/>
      <c r="T36" s="1471"/>
      <c r="U36" s="1471"/>
      <c r="V36" s="1471"/>
      <c r="W36" s="1471"/>
      <c r="X36" s="1471"/>
      <c r="Y36" s="1471"/>
      <c r="Z36" s="1471"/>
      <c r="AA36" s="1471"/>
      <c r="AB36" s="1470"/>
      <c r="AC36" s="1470" t="s">
        <v>2402</v>
      </c>
      <c r="AD36" s="1470" t="s">
        <v>2403</v>
      </c>
      <c r="AE36" s="1471"/>
      <c r="AF36" s="1471"/>
      <c r="AG36" s="1471"/>
      <c r="AH36" s="1470"/>
      <c r="AI36" s="1470"/>
      <c r="AJ36" s="1470"/>
      <c r="AK36" s="1470"/>
      <c r="AL36" s="1470"/>
      <c r="AM36" s="1471"/>
      <c r="AN36" s="1470"/>
      <c r="AO36" s="1471"/>
      <c r="AP36" s="1471"/>
      <c r="AQ36" s="1471"/>
      <c r="AR36" s="1471"/>
      <c r="AS36" s="1471"/>
      <c r="AT36" s="1471"/>
      <c r="AU36" s="1471"/>
      <c r="AV36" s="1471" t="s">
        <v>4160</v>
      </c>
      <c r="AW36" s="1471"/>
      <c r="AX36" s="1471"/>
      <c r="AY36" s="1471"/>
      <c r="AZ36" s="1470"/>
      <c r="BA36" s="1470"/>
      <c r="BB36" s="1470"/>
      <c r="BC36" s="1471"/>
      <c r="BD36" s="1471"/>
      <c r="BE36" s="1471"/>
      <c r="BF36" s="1471"/>
      <c r="BG36" s="1471"/>
      <c r="BH36" s="1471"/>
      <c r="BI36" s="1471"/>
      <c r="BJ36" s="1471"/>
      <c r="BK36" s="1471"/>
      <c r="BL36" s="1471"/>
      <c r="BM36" s="1471"/>
      <c r="BN36" s="1471"/>
      <c r="BO36" s="1471"/>
      <c r="BP36" s="1471"/>
      <c r="BQ36" s="1471"/>
      <c r="BR36" s="1471"/>
      <c r="BS36" s="1471"/>
      <c r="BT36" s="1471"/>
      <c r="BU36" s="1471"/>
      <c r="BV36" s="1471"/>
      <c r="BW36" s="2356"/>
      <c r="BX36" s="2356"/>
      <c r="BY36" s="2356"/>
      <c r="BZ36" s="2356"/>
      <c r="CA36" s="1471"/>
      <c r="CB36" s="1471"/>
      <c r="CC36" s="1471"/>
      <c r="CD36" s="1471"/>
      <c r="CE36" s="1471"/>
      <c r="CF36" s="1471"/>
      <c r="CG36" s="1471"/>
      <c r="CH36" s="1471"/>
      <c r="CI36" s="1471"/>
      <c r="CJ36" s="1471"/>
      <c r="CK36" s="1471"/>
      <c r="CL36" s="1471"/>
      <c r="CM36" s="1471"/>
      <c r="CN36" s="1471"/>
      <c r="CO36" s="1471"/>
      <c r="CP36" s="1471"/>
      <c r="CQ36" s="1471"/>
      <c r="CR36" s="1471"/>
      <c r="CS36" s="1471"/>
      <c r="CT36" s="1567" t="s">
        <v>4165</v>
      </c>
      <c r="CU36" s="1471" t="s">
        <v>1999</v>
      </c>
      <c r="CV36" s="1567"/>
      <c r="CW36" s="1570"/>
    </row>
    <row r="37" spans="1:103" ht="18" x14ac:dyDescent="0.25">
      <c r="B37" s="1565">
        <v>34</v>
      </c>
      <c r="C37" s="1566" t="s">
        <v>292</v>
      </c>
      <c r="D37" s="1567" t="s">
        <v>2174</v>
      </c>
      <c r="E37" s="1471">
        <v>1</v>
      </c>
      <c r="F37" s="1471"/>
      <c r="G37" s="1471"/>
      <c r="H37" s="1471"/>
      <c r="I37" s="1471"/>
      <c r="J37" s="1471"/>
      <c r="K37" s="1471"/>
      <c r="L37" s="1471"/>
      <c r="M37" s="1471"/>
      <c r="N37" s="1471"/>
      <c r="O37" s="1471">
        <v>-1</v>
      </c>
      <c r="P37" s="1471"/>
      <c r="Q37" s="1471"/>
      <c r="R37" s="1471"/>
      <c r="S37" s="1471"/>
      <c r="T37" s="1471"/>
      <c r="U37" s="1471"/>
      <c r="V37" s="1471"/>
      <c r="W37" s="1471"/>
      <c r="X37" s="1471"/>
      <c r="Y37" s="1471"/>
      <c r="Z37" s="1471"/>
      <c r="AA37" s="1471"/>
      <c r="AB37" s="1470"/>
      <c r="AC37" s="1470"/>
      <c r="AD37" s="1470"/>
      <c r="AE37" s="1471"/>
      <c r="AF37" s="1471"/>
      <c r="AG37" s="1471"/>
      <c r="AH37" s="1470"/>
      <c r="AI37" s="1470"/>
      <c r="AJ37" s="1470"/>
      <c r="AK37" s="1470"/>
      <c r="AL37" s="1470"/>
      <c r="AM37" s="1471"/>
      <c r="AN37" s="1470"/>
      <c r="AO37" s="1471"/>
      <c r="AP37" s="1471"/>
      <c r="AQ37" s="1471"/>
      <c r="AR37" s="1471"/>
      <c r="AS37" s="1471"/>
      <c r="AT37" s="1471"/>
      <c r="AU37" s="1471"/>
      <c r="AV37" s="2356" t="s">
        <v>5500</v>
      </c>
      <c r="AW37" s="1470"/>
      <c r="AX37" s="1470"/>
      <c r="AY37" s="1470"/>
      <c r="AZ37" s="1470"/>
      <c r="BA37" s="1470"/>
      <c r="BB37" s="1470"/>
      <c r="BC37" s="1471"/>
      <c r="BD37" s="1471"/>
      <c r="BE37" s="1471"/>
      <c r="BF37" s="1471"/>
      <c r="BG37" s="1471"/>
      <c r="BH37" s="1471"/>
      <c r="BI37" s="1471"/>
      <c r="BJ37" s="1471"/>
      <c r="BK37" s="1471"/>
      <c r="BL37" s="1471"/>
      <c r="BM37" s="1471"/>
      <c r="BN37" s="1471"/>
      <c r="BO37" s="1471"/>
      <c r="BP37" s="1471"/>
      <c r="BQ37" s="1471"/>
      <c r="BR37" s="1471"/>
      <c r="BS37" s="1471"/>
      <c r="BT37" s="1471"/>
      <c r="BU37" s="1471"/>
      <c r="BV37" s="1471"/>
      <c r="BW37" s="2356"/>
      <c r="BX37" s="2356"/>
      <c r="BY37" s="2356"/>
      <c r="BZ37" s="2356"/>
      <c r="CA37" s="1471"/>
      <c r="CB37" s="1471"/>
      <c r="CC37" s="1471"/>
      <c r="CD37" s="1471"/>
      <c r="CE37" s="1471"/>
      <c r="CF37" s="1471"/>
      <c r="CG37" s="1471"/>
      <c r="CH37" s="1471"/>
      <c r="CI37" s="1471"/>
      <c r="CJ37" s="1471"/>
      <c r="CK37" s="1471"/>
      <c r="CL37" s="1471"/>
      <c r="CM37" s="1471"/>
      <c r="CN37" s="1471"/>
      <c r="CO37" s="1471"/>
      <c r="CP37" s="1471"/>
      <c r="CQ37" s="1471"/>
      <c r="CR37" s="1471"/>
      <c r="CS37" s="1471"/>
      <c r="CT37" s="2449" t="s">
        <v>5482</v>
      </c>
      <c r="CU37" s="1471" t="s">
        <v>1999</v>
      </c>
      <c r="CV37" s="1567"/>
      <c r="CW37" s="1570"/>
    </row>
    <row r="38" spans="1:103" ht="18" x14ac:dyDescent="0.25">
      <c r="B38" s="1565">
        <v>35</v>
      </c>
      <c r="C38" s="1566" t="s">
        <v>298</v>
      </c>
      <c r="D38" s="1567" t="s">
        <v>2177</v>
      </c>
      <c r="E38" s="1471"/>
      <c r="F38" s="1471"/>
      <c r="G38" s="1471"/>
      <c r="H38" s="1471"/>
      <c r="I38" s="1471"/>
      <c r="J38" s="1471"/>
      <c r="K38" s="1471"/>
      <c r="L38" s="1471"/>
      <c r="M38" s="1471"/>
      <c r="N38" s="1471"/>
      <c r="O38" s="1471"/>
      <c r="P38" s="1471"/>
      <c r="Q38" s="1471"/>
      <c r="R38" s="1471"/>
      <c r="S38" s="1471"/>
      <c r="T38" s="1471"/>
      <c r="U38" s="1471"/>
      <c r="V38" s="1471"/>
      <c r="W38" s="1471"/>
      <c r="X38" s="1471"/>
      <c r="Y38" s="1471"/>
      <c r="Z38" s="1471"/>
      <c r="AA38" s="1471"/>
      <c r="AB38" s="1471"/>
      <c r="AC38" s="1471"/>
      <c r="AD38" s="1471"/>
      <c r="AE38" s="1471"/>
      <c r="AF38" s="1471"/>
      <c r="AG38" s="1471"/>
      <c r="AH38" s="1471"/>
      <c r="AI38" s="1471"/>
      <c r="AJ38" s="1471"/>
      <c r="AK38" s="1471"/>
      <c r="AL38" s="1471"/>
      <c r="AM38" s="1471">
        <v>1</v>
      </c>
      <c r="AN38" s="1471">
        <v>-1</v>
      </c>
      <c r="AO38" s="1471"/>
      <c r="AP38" s="1471"/>
      <c r="AQ38" s="1471"/>
      <c r="AR38" s="1471"/>
      <c r="AS38" s="1471"/>
      <c r="AT38" s="1471"/>
      <c r="AU38" s="1471"/>
      <c r="AV38" s="1471"/>
      <c r="AW38" s="1471"/>
      <c r="AX38" s="1471"/>
      <c r="AY38" s="1471"/>
      <c r="AZ38" s="1470" t="s">
        <v>1664</v>
      </c>
      <c r="BA38" s="1470" t="s">
        <v>1665</v>
      </c>
      <c r="BB38" s="1470" t="s">
        <v>1666</v>
      </c>
      <c r="BC38" s="1471"/>
      <c r="BD38" s="1471"/>
      <c r="BE38" s="1471"/>
      <c r="BF38" s="1471"/>
      <c r="BG38" s="1471"/>
      <c r="BH38" s="1471"/>
      <c r="BI38" s="1471"/>
      <c r="BJ38" s="1471"/>
      <c r="BK38" s="1471"/>
      <c r="BL38" s="1471"/>
      <c r="BM38" s="1471"/>
      <c r="BN38" s="1471"/>
      <c r="BO38" s="1471"/>
      <c r="BP38" s="1471"/>
      <c r="BQ38" s="1471"/>
      <c r="BR38" s="1471"/>
      <c r="BS38" s="1471"/>
      <c r="BT38" s="1471"/>
      <c r="BU38" s="1471"/>
      <c r="BV38" s="1471"/>
      <c r="BW38" s="2356"/>
      <c r="BX38" s="2356"/>
      <c r="BY38" s="2356"/>
      <c r="BZ38" s="2356"/>
      <c r="CA38" s="1471"/>
      <c r="CB38" s="1471"/>
      <c r="CC38" s="1471"/>
      <c r="CD38" s="1471"/>
      <c r="CE38" s="1471"/>
      <c r="CF38" s="1471"/>
      <c r="CG38" s="1471"/>
      <c r="CH38" s="1471"/>
      <c r="CI38" s="1471"/>
      <c r="CJ38" s="1471"/>
      <c r="CK38" s="1471"/>
      <c r="CL38" s="1471"/>
      <c r="CM38" s="1471"/>
      <c r="CN38" s="1471"/>
      <c r="CO38" s="1471"/>
      <c r="CP38" s="1471"/>
      <c r="CQ38" s="1471"/>
      <c r="CR38" s="1471"/>
      <c r="CS38" s="1471"/>
      <c r="CT38" s="1567" t="s">
        <v>4166</v>
      </c>
      <c r="CU38" s="1471" t="s">
        <v>1999</v>
      </c>
      <c r="CV38" s="1567"/>
      <c r="CW38" s="1570"/>
    </row>
    <row r="39" spans="1:103" ht="18" x14ac:dyDescent="0.25">
      <c r="B39" s="1565">
        <v>36</v>
      </c>
      <c r="C39" s="1566" t="s">
        <v>4569</v>
      </c>
      <c r="D39" s="1567" t="s">
        <v>3043</v>
      </c>
      <c r="E39" s="1471" t="s">
        <v>4167</v>
      </c>
      <c r="F39" s="1470" t="s">
        <v>4168</v>
      </c>
      <c r="G39" s="1471"/>
      <c r="H39" s="1471"/>
      <c r="I39" s="1471"/>
      <c r="J39" s="1471"/>
      <c r="K39" s="1471"/>
      <c r="L39" s="1471"/>
      <c r="M39" s="1471"/>
      <c r="N39" s="1470">
        <v>1</v>
      </c>
      <c r="O39" s="1470"/>
      <c r="P39" s="1471"/>
      <c r="Q39" s="1471"/>
      <c r="R39" s="1471"/>
      <c r="S39" s="1471"/>
      <c r="T39" s="1471"/>
      <c r="U39" s="1471"/>
      <c r="V39" s="1471"/>
      <c r="W39" s="1471"/>
      <c r="X39" s="1471"/>
      <c r="Y39" s="1471"/>
      <c r="Z39" s="1471"/>
      <c r="AA39" s="1471"/>
      <c r="AB39" s="1470"/>
      <c r="AC39" s="1470"/>
      <c r="AD39" s="1470"/>
      <c r="AE39" s="1471"/>
      <c r="AF39" s="1471"/>
      <c r="AG39" s="1471"/>
      <c r="AH39" s="1470"/>
      <c r="AI39" s="1470"/>
      <c r="AJ39" s="1470"/>
      <c r="AK39" s="1470"/>
      <c r="AL39" s="1470"/>
      <c r="AM39" s="1471"/>
      <c r="AN39" s="1470"/>
      <c r="AO39" s="1471"/>
      <c r="AP39" s="1471"/>
      <c r="AQ39" s="1471"/>
      <c r="AR39" s="1471"/>
      <c r="AS39" s="1471"/>
      <c r="AT39" s="1471"/>
      <c r="AU39" s="1471" t="s">
        <v>4169</v>
      </c>
      <c r="AV39" s="1471" t="s">
        <v>5528</v>
      </c>
      <c r="AW39" s="1470" t="s">
        <v>2427</v>
      </c>
      <c r="AX39" s="1470" t="s">
        <v>3529</v>
      </c>
      <c r="AY39" s="1470" t="s">
        <v>3530</v>
      </c>
      <c r="AZ39" s="1470" t="s">
        <v>3531</v>
      </c>
      <c r="BA39" s="1470" t="s">
        <v>3532</v>
      </c>
      <c r="BB39" s="1470"/>
      <c r="BC39" s="1470"/>
      <c r="BD39" s="1470"/>
      <c r="BE39" s="1470"/>
      <c r="BF39" s="1470"/>
      <c r="BG39" s="1470"/>
      <c r="BH39" s="1470"/>
      <c r="BI39" s="1470"/>
      <c r="BJ39" s="1470"/>
      <c r="BK39" s="1470"/>
      <c r="BL39" s="1470"/>
      <c r="BM39" s="1470"/>
      <c r="BN39" s="1470"/>
      <c r="BO39" s="1470"/>
      <c r="BP39" s="1470"/>
      <c r="BQ39" s="1470"/>
      <c r="BR39" s="1470"/>
      <c r="BS39" s="1470"/>
      <c r="BT39" s="1471"/>
      <c r="BU39" s="1470"/>
      <c r="BV39" s="1470"/>
      <c r="BW39" s="2355"/>
      <c r="BX39" s="2355"/>
      <c r="BY39" s="2355"/>
      <c r="BZ39" s="2355"/>
      <c r="CA39" s="1470"/>
      <c r="CB39" s="1470"/>
      <c r="CC39" s="1470"/>
      <c r="CD39" s="1470"/>
      <c r="CE39" s="1470"/>
      <c r="CF39" s="1470"/>
      <c r="CG39" s="1470"/>
      <c r="CH39" s="1470"/>
      <c r="CI39" s="1470"/>
      <c r="CJ39" s="1470"/>
      <c r="CK39" s="1470"/>
      <c r="CL39" s="1470"/>
      <c r="CM39" s="1470"/>
      <c r="CN39" s="1470"/>
      <c r="CO39" s="1470"/>
      <c r="CP39" s="1470"/>
      <c r="CQ39" s="1470"/>
      <c r="CR39" s="1470"/>
      <c r="CS39" s="1470"/>
      <c r="CT39" s="1567" t="s">
        <v>4170</v>
      </c>
      <c r="CU39" s="1471" t="s">
        <v>1999</v>
      </c>
      <c r="CV39" s="1567"/>
      <c r="CW39" s="1570"/>
      <c r="CY39" s="2058"/>
    </row>
    <row r="40" spans="1:103" ht="18" x14ac:dyDescent="0.25">
      <c r="B40" s="1565">
        <v>37</v>
      </c>
      <c r="C40" s="1566" t="s">
        <v>4570</v>
      </c>
      <c r="D40" s="1567" t="s">
        <v>3044</v>
      </c>
      <c r="E40" s="1471" t="s">
        <v>4171</v>
      </c>
      <c r="F40" s="1470" t="s">
        <v>4168</v>
      </c>
      <c r="G40" s="1471"/>
      <c r="H40" s="1471"/>
      <c r="I40" s="1471"/>
      <c r="J40" s="1471"/>
      <c r="K40" s="1471"/>
      <c r="L40" s="1471"/>
      <c r="M40" s="1471"/>
      <c r="N40" s="1470">
        <v>1</v>
      </c>
      <c r="O40" s="1470"/>
      <c r="P40" s="1471"/>
      <c r="Q40" s="1471"/>
      <c r="R40" s="1471"/>
      <c r="S40" s="1471"/>
      <c r="T40" s="1471"/>
      <c r="U40" s="1471"/>
      <c r="V40" s="1471"/>
      <c r="W40" s="1471"/>
      <c r="X40" s="1471"/>
      <c r="Y40" s="1471"/>
      <c r="Z40" s="1471"/>
      <c r="AA40" s="1471"/>
      <c r="AB40" s="1470"/>
      <c r="AC40" s="1470"/>
      <c r="AD40" s="1470"/>
      <c r="AE40" s="1471"/>
      <c r="AF40" s="1471"/>
      <c r="AG40" s="1471"/>
      <c r="AH40" s="1470"/>
      <c r="AI40" s="1470"/>
      <c r="AJ40" s="1470"/>
      <c r="AK40" s="1470"/>
      <c r="AL40" s="1470"/>
      <c r="AM40" s="1471"/>
      <c r="AN40" s="1470"/>
      <c r="AO40" s="1471"/>
      <c r="AP40" s="1471"/>
      <c r="AQ40" s="1471"/>
      <c r="AR40" s="1471"/>
      <c r="AS40" s="1471"/>
      <c r="AT40" s="1471"/>
      <c r="AU40" s="1471" t="s">
        <v>4172</v>
      </c>
      <c r="AV40" s="1471" t="s">
        <v>5529</v>
      </c>
      <c r="AW40" s="1470" t="s">
        <v>2427</v>
      </c>
      <c r="AX40" s="1470" t="s">
        <v>3529</v>
      </c>
      <c r="AY40" s="1470" t="s">
        <v>3530</v>
      </c>
      <c r="AZ40" s="1470" t="s">
        <v>3531</v>
      </c>
      <c r="BA40" s="1470" t="s">
        <v>3532</v>
      </c>
      <c r="BB40" s="1470"/>
      <c r="BC40" s="1470"/>
      <c r="BD40" s="1470"/>
      <c r="BE40" s="1470"/>
      <c r="BF40" s="1470"/>
      <c r="BG40" s="1470"/>
      <c r="BH40" s="1470"/>
      <c r="BI40" s="1470"/>
      <c r="BJ40" s="1470"/>
      <c r="BK40" s="1470"/>
      <c r="BL40" s="1470"/>
      <c r="BM40" s="1470"/>
      <c r="BN40" s="1470"/>
      <c r="BO40" s="1470"/>
      <c r="BP40" s="1470"/>
      <c r="BQ40" s="1470"/>
      <c r="BR40" s="1470"/>
      <c r="BS40" s="1470"/>
      <c r="BT40" s="1471"/>
      <c r="BU40" s="1470"/>
      <c r="BV40" s="1470"/>
      <c r="BW40" s="2355"/>
      <c r="BX40" s="2355"/>
      <c r="BY40" s="2355"/>
      <c r="BZ40" s="2355"/>
      <c r="CA40" s="1470"/>
      <c r="CB40" s="1470"/>
      <c r="CC40" s="1470"/>
      <c r="CD40" s="1470"/>
      <c r="CE40" s="1470"/>
      <c r="CF40" s="1470"/>
      <c r="CG40" s="1470"/>
      <c r="CH40" s="1470"/>
      <c r="CI40" s="1470"/>
      <c r="CJ40" s="1470"/>
      <c r="CK40" s="1470"/>
      <c r="CL40" s="1470"/>
      <c r="CM40" s="1470"/>
      <c r="CN40" s="1470"/>
      <c r="CO40" s="1470"/>
      <c r="CP40" s="1470"/>
      <c r="CQ40" s="1470"/>
      <c r="CR40" s="1470"/>
      <c r="CS40" s="1470"/>
      <c r="CT40" s="1567" t="s">
        <v>4173</v>
      </c>
      <c r="CU40" s="1471" t="s">
        <v>1999</v>
      </c>
      <c r="CV40" s="1567"/>
      <c r="CW40" s="1570"/>
      <c r="CY40" s="2058"/>
    </row>
    <row r="41" spans="1:103" ht="18" x14ac:dyDescent="0.25">
      <c r="B41" s="1565">
        <v>38</v>
      </c>
      <c r="C41" s="1566" t="s">
        <v>4571</v>
      </c>
      <c r="D41" s="1567" t="s">
        <v>4174</v>
      </c>
      <c r="E41" s="1470" t="s">
        <v>4175</v>
      </c>
      <c r="F41" s="1471"/>
      <c r="G41" s="1471"/>
      <c r="H41" s="1471"/>
      <c r="I41" s="1471"/>
      <c r="J41" s="1471" t="s">
        <v>1650</v>
      </c>
      <c r="K41" s="1471"/>
      <c r="L41" s="1471"/>
      <c r="M41" s="1471"/>
      <c r="N41" s="2355" t="s">
        <v>5484</v>
      </c>
      <c r="O41" s="2355" t="s">
        <v>5485</v>
      </c>
      <c r="P41" s="1471" t="s">
        <v>1651</v>
      </c>
      <c r="Q41" s="1471"/>
      <c r="R41" s="1471"/>
      <c r="S41" s="1471">
        <v>-1</v>
      </c>
      <c r="T41" s="1471"/>
      <c r="U41" s="1471"/>
      <c r="V41" s="1471"/>
      <c r="W41" s="1471"/>
      <c r="X41" s="1471"/>
      <c r="Y41" s="1471"/>
      <c r="Z41" s="1471"/>
      <c r="AA41" s="1471" t="s">
        <v>2127</v>
      </c>
      <c r="AB41" s="1471"/>
      <c r="AC41" s="1471"/>
      <c r="AD41" s="1471"/>
      <c r="AE41" s="1471"/>
      <c r="AF41" s="1471"/>
      <c r="AG41" s="1471"/>
      <c r="AH41" s="1471"/>
      <c r="AI41" s="1471"/>
      <c r="AJ41" s="1471"/>
      <c r="AK41" s="1471" t="s">
        <v>1652</v>
      </c>
      <c r="AL41" s="1471"/>
      <c r="AM41" s="1470" t="s">
        <v>4176</v>
      </c>
      <c r="AN41" s="1470" t="s">
        <v>4177</v>
      </c>
      <c r="AO41" s="1471"/>
      <c r="AP41" s="1471"/>
      <c r="AQ41" s="1471" t="s">
        <v>1653</v>
      </c>
      <c r="AR41" s="1471"/>
      <c r="AS41" s="1471"/>
      <c r="AT41" s="1471"/>
      <c r="AU41" s="1471"/>
      <c r="AV41" s="1471" t="s">
        <v>5399</v>
      </c>
      <c r="AW41" s="1471"/>
      <c r="AX41" s="1470"/>
      <c r="AY41" s="1470"/>
      <c r="AZ41" s="1470" t="s">
        <v>5400</v>
      </c>
      <c r="BA41" s="1470" t="s">
        <v>5401</v>
      </c>
      <c r="BB41" s="1470" t="s">
        <v>4178</v>
      </c>
      <c r="BC41" s="1471"/>
      <c r="BD41" s="1471"/>
      <c r="BE41" s="1471"/>
      <c r="BF41" s="1471"/>
      <c r="BG41" s="1471"/>
      <c r="BH41" s="1471"/>
      <c r="BI41" s="1471"/>
      <c r="BJ41" s="1471"/>
      <c r="BK41" s="1471"/>
      <c r="BL41" s="1471"/>
      <c r="BM41" s="1471"/>
      <c r="BN41" s="1471"/>
      <c r="BO41" s="1471"/>
      <c r="BP41" s="1471"/>
      <c r="BQ41" s="1471"/>
      <c r="BR41" s="1471"/>
      <c r="BS41" s="1471"/>
      <c r="BT41" s="1471"/>
      <c r="BU41" s="1471"/>
      <c r="BV41" s="1471"/>
      <c r="BW41" s="2356"/>
      <c r="BX41" s="2356"/>
      <c r="BY41" s="2356"/>
      <c r="BZ41" s="2356"/>
      <c r="CA41" s="1471"/>
      <c r="CB41" s="1471"/>
      <c r="CC41" s="1471"/>
      <c r="CD41" s="1471"/>
      <c r="CE41" s="1471"/>
      <c r="CF41" s="1471"/>
      <c r="CG41" s="1471"/>
      <c r="CH41" s="1471"/>
      <c r="CI41" s="1471"/>
      <c r="CJ41" s="1471"/>
      <c r="CK41" s="1471"/>
      <c r="CL41" s="1471"/>
      <c r="CM41" s="1471"/>
      <c r="CN41" s="1471"/>
      <c r="CO41" s="1471"/>
      <c r="CP41" s="1471"/>
      <c r="CQ41" s="1471"/>
      <c r="CR41" s="1471"/>
      <c r="CS41" s="1471"/>
      <c r="CT41" s="1567" t="s">
        <v>4179</v>
      </c>
      <c r="CU41" s="1471" t="s">
        <v>1999</v>
      </c>
      <c r="CV41" s="1567"/>
      <c r="CW41" s="1570"/>
    </row>
    <row r="42" spans="1:103" ht="18" x14ac:dyDescent="0.25">
      <c r="B42" s="1565">
        <v>39</v>
      </c>
      <c r="C42" s="1566" t="s">
        <v>4572</v>
      </c>
      <c r="D42" s="1567" t="s">
        <v>4180</v>
      </c>
      <c r="E42" s="1470" t="s">
        <v>4175</v>
      </c>
      <c r="F42" s="1471"/>
      <c r="G42" s="1471"/>
      <c r="H42" s="1471"/>
      <c r="I42" s="1471"/>
      <c r="J42" s="1471" t="s">
        <v>1650</v>
      </c>
      <c r="K42" s="1471"/>
      <c r="L42" s="1471"/>
      <c r="M42" s="1471"/>
      <c r="N42" s="2355" t="s">
        <v>5484</v>
      </c>
      <c r="O42" s="2355" t="s">
        <v>5485</v>
      </c>
      <c r="P42" s="1471"/>
      <c r="Q42" s="1471" t="s">
        <v>1651</v>
      </c>
      <c r="R42" s="1471"/>
      <c r="S42" s="1471">
        <v>-1</v>
      </c>
      <c r="T42" s="1471"/>
      <c r="U42" s="1471"/>
      <c r="V42" s="1471"/>
      <c r="W42" s="1471"/>
      <c r="X42" s="1471"/>
      <c r="Y42" s="1471"/>
      <c r="Z42" s="1471"/>
      <c r="AA42" s="1471" t="s">
        <v>2127</v>
      </c>
      <c r="AB42" s="1471"/>
      <c r="AC42" s="1471"/>
      <c r="AD42" s="1471"/>
      <c r="AE42" s="1471"/>
      <c r="AF42" s="1471"/>
      <c r="AG42" s="1471"/>
      <c r="AH42" s="1471"/>
      <c r="AI42" s="1471"/>
      <c r="AJ42" s="1471"/>
      <c r="AK42" s="1471" t="s">
        <v>1652</v>
      </c>
      <c r="AL42" s="1471"/>
      <c r="AM42" s="1470" t="s">
        <v>4176</v>
      </c>
      <c r="AN42" s="1470" t="s">
        <v>4177</v>
      </c>
      <c r="AO42" s="1471"/>
      <c r="AP42" s="1471"/>
      <c r="AQ42" s="1471" t="s">
        <v>1653</v>
      </c>
      <c r="AR42" s="1471"/>
      <c r="AS42" s="1471"/>
      <c r="AT42" s="1471"/>
      <c r="AU42" s="1471"/>
      <c r="AV42" s="1471" t="s">
        <v>5399</v>
      </c>
      <c r="AW42" s="1471"/>
      <c r="AX42" s="1470"/>
      <c r="AY42" s="1470"/>
      <c r="AZ42" s="1470" t="s">
        <v>5400</v>
      </c>
      <c r="BA42" s="1470" t="s">
        <v>5401</v>
      </c>
      <c r="BB42" s="1470" t="s">
        <v>4178</v>
      </c>
      <c r="BC42" s="1471"/>
      <c r="BD42" s="1471"/>
      <c r="BE42" s="1471"/>
      <c r="BF42" s="1471"/>
      <c r="BG42" s="1471"/>
      <c r="BH42" s="1471"/>
      <c r="BI42" s="1471"/>
      <c r="BJ42" s="1471"/>
      <c r="BK42" s="1471"/>
      <c r="BL42" s="1471"/>
      <c r="BM42" s="1471"/>
      <c r="BN42" s="1471"/>
      <c r="BO42" s="1471"/>
      <c r="BP42" s="1471"/>
      <c r="BQ42" s="1471"/>
      <c r="BR42" s="1471"/>
      <c r="BS42" s="1471"/>
      <c r="BT42" s="1471"/>
      <c r="BU42" s="1471"/>
      <c r="BV42" s="1471"/>
      <c r="BW42" s="2356"/>
      <c r="BX42" s="2356"/>
      <c r="BY42" s="2356"/>
      <c r="BZ42" s="2356"/>
      <c r="CA42" s="1471"/>
      <c r="CB42" s="1471"/>
      <c r="CC42" s="1471"/>
      <c r="CD42" s="1471"/>
      <c r="CE42" s="1471"/>
      <c r="CF42" s="1471"/>
      <c r="CG42" s="1471"/>
      <c r="CH42" s="1471"/>
      <c r="CI42" s="1471"/>
      <c r="CJ42" s="1471"/>
      <c r="CK42" s="1471"/>
      <c r="CL42" s="1471"/>
      <c r="CM42" s="1471"/>
      <c r="CN42" s="1471"/>
      <c r="CO42" s="1471"/>
      <c r="CP42" s="1471"/>
      <c r="CQ42" s="1471"/>
      <c r="CR42" s="1471"/>
      <c r="CS42" s="1471"/>
      <c r="CT42" s="2449" t="s">
        <v>5483</v>
      </c>
      <c r="CU42" s="1471" t="s">
        <v>1999</v>
      </c>
      <c r="CV42" s="1567"/>
      <c r="CW42" s="1570"/>
    </row>
    <row r="43" spans="1:103" s="68" customFormat="1" ht="18.75" thickBot="1" x14ac:dyDescent="0.3">
      <c r="A43"/>
      <c r="B43" s="1492">
        <v>40</v>
      </c>
      <c r="C43" s="1493" t="s">
        <v>4573</v>
      </c>
      <c r="D43" s="1494" t="s">
        <v>4849</v>
      </c>
      <c r="E43" s="1495"/>
      <c r="F43" s="1495"/>
      <c r="G43" s="1495"/>
      <c r="H43" s="1495"/>
      <c r="I43" s="1495"/>
      <c r="J43" s="1495"/>
      <c r="K43" s="1495"/>
      <c r="L43" s="1495"/>
      <c r="M43" s="1495"/>
      <c r="N43" s="1495"/>
      <c r="O43" s="1495"/>
      <c r="P43" s="1495"/>
      <c r="Q43" s="1495"/>
      <c r="R43" s="1496"/>
      <c r="S43" s="1495"/>
      <c r="T43" s="1495"/>
      <c r="U43" s="1495"/>
      <c r="V43" s="1495"/>
      <c r="W43" s="1495"/>
      <c r="X43" s="1496"/>
      <c r="Y43" s="1495"/>
      <c r="Z43" s="1495"/>
      <c r="AA43" s="1495"/>
      <c r="AB43" s="1495"/>
      <c r="AC43" s="1495"/>
      <c r="AD43" s="1495"/>
      <c r="AE43" s="1496"/>
      <c r="AF43" s="1495"/>
      <c r="AG43" s="1495"/>
      <c r="AH43" s="1495"/>
      <c r="AI43" s="1495"/>
      <c r="AJ43" s="1495"/>
      <c r="AK43" s="1495"/>
      <c r="AL43" s="1495"/>
      <c r="AM43" s="1495"/>
      <c r="AN43" s="1495"/>
      <c r="AO43" s="1495"/>
      <c r="AP43" s="1495"/>
      <c r="AQ43" s="1495"/>
      <c r="AR43" s="1495"/>
      <c r="AS43" s="1495"/>
      <c r="AT43" s="1496"/>
      <c r="AU43" s="1495"/>
      <c r="AV43" s="1496"/>
      <c r="AW43" s="1495"/>
      <c r="AX43" s="1495"/>
      <c r="AY43" s="1496"/>
      <c r="AZ43" s="1496"/>
      <c r="BA43" s="1495"/>
      <c r="BB43" s="1496"/>
      <c r="BC43" s="1496"/>
      <c r="BD43" s="1495"/>
      <c r="BE43" s="1495"/>
      <c r="BF43" s="1496"/>
      <c r="BG43" s="1496"/>
      <c r="BH43" s="1495"/>
      <c r="BI43" s="1496"/>
      <c r="BJ43" s="1496"/>
      <c r="BK43" s="1496"/>
      <c r="BL43" s="1496"/>
      <c r="BM43" s="1496"/>
      <c r="BN43" s="1496"/>
      <c r="BO43" s="1496"/>
      <c r="BP43" s="1496"/>
      <c r="BQ43" s="1496"/>
      <c r="BR43" s="1496"/>
      <c r="BS43" s="1496"/>
      <c r="BT43" s="1496"/>
      <c r="BU43" s="1496"/>
      <c r="BV43" s="1496"/>
      <c r="BW43" s="1496"/>
      <c r="BX43" s="1496"/>
      <c r="BY43" s="1496"/>
      <c r="BZ43" s="1496"/>
      <c r="CA43" s="1496"/>
      <c r="CB43" s="1496"/>
      <c r="CC43" s="1496">
        <v>1</v>
      </c>
      <c r="CD43" s="1496"/>
      <c r="CE43" s="1496"/>
      <c r="CF43" s="1496"/>
      <c r="CG43" s="1496"/>
      <c r="CH43" s="1496"/>
      <c r="CI43" s="1496"/>
      <c r="CJ43" s="1496"/>
      <c r="CK43" s="1497"/>
      <c r="CL43" s="1497"/>
      <c r="CM43" s="1498"/>
      <c r="CN43" s="1497"/>
      <c r="CO43" s="1497"/>
      <c r="CP43" s="1498"/>
      <c r="CQ43" s="1498"/>
      <c r="CR43" s="1498"/>
      <c r="CS43" s="1498"/>
      <c r="CT43" s="1497" t="s">
        <v>4850</v>
      </c>
      <c r="CU43" s="1498" t="s">
        <v>4851</v>
      </c>
      <c r="CV43" s="1497"/>
      <c r="CW43" s="1499"/>
    </row>
    <row r="44" spans="1:103" ht="18" x14ac:dyDescent="0.25">
      <c r="B44" s="1571">
        <v>41</v>
      </c>
      <c r="C44" s="531" t="s">
        <v>4574</v>
      </c>
      <c r="D44" s="532" t="s">
        <v>3877</v>
      </c>
      <c r="E44" s="533"/>
      <c r="F44" s="500"/>
      <c r="G44" s="500"/>
      <c r="H44" s="500"/>
      <c r="I44" s="500"/>
      <c r="J44" s="500"/>
      <c r="K44" s="500"/>
      <c r="L44" s="500"/>
      <c r="M44" s="500"/>
      <c r="N44" s="533"/>
      <c r="O44" s="533"/>
      <c r="P44" s="500"/>
      <c r="Q44" s="500"/>
      <c r="R44" s="500"/>
      <c r="S44" s="500"/>
      <c r="T44" s="500"/>
      <c r="U44" s="500"/>
      <c r="V44" s="500"/>
      <c r="W44" s="500"/>
      <c r="X44" s="500"/>
      <c r="Y44" s="500"/>
      <c r="Z44" s="500"/>
      <c r="AA44" s="500">
        <v>-1</v>
      </c>
      <c r="AB44" s="500">
        <v>1</v>
      </c>
      <c r="AC44" s="533"/>
      <c r="AD44" s="533"/>
      <c r="AE44" s="533"/>
      <c r="AF44" s="533"/>
      <c r="AG44" s="533"/>
      <c r="AH44" s="500"/>
      <c r="AI44" s="500"/>
      <c r="AJ44" s="500"/>
      <c r="AK44" s="500"/>
      <c r="AL44" s="500"/>
      <c r="AM44" s="533"/>
      <c r="AN44" s="533"/>
      <c r="AO44" s="500"/>
      <c r="AP44" s="500"/>
      <c r="AQ44" s="500"/>
      <c r="AR44" s="500"/>
      <c r="AS44" s="533" t="s">
        <v>3864</v>
      </c>
      <c r="AT44" s="500"/>
      <c r="AU44" s="500"/>
      <c r="AV44" s="533"/>
      <c r="AW44" s="533"/>
      <c r="AX44" s="533"/>
      <c r="AY44" s="533"/>
      <c r="AZ44" s="533"/>
      <c r="BA44" s="533"/>
      <c r="BB44" s="520"/>
      <c r="BC44" s="500"/>
      <c r="BD44" s="500"/>
      <c r="BE44" s="500"/>
      <c r="BF44" s="500"/>
      <c r="BG44" s="500"/>
      <c r="BH44" s="500"/>
      <c r="BI44" s="500"/>
      <c r="BJ44" s="500"/>
      <c r="BK44" s="500"/>
      <c r="BL44" s="500"/>
      <c r="BM44" s="500"/>
      <c r="BN44" s="500"/>
      <c r="BO44" s="500"/>
      <c r="BP44" s="500"/>
      <c r="BQ44" s="500"/>
      <c r="BR44" s="500"/>
      <c r="BS44" s="500"/>
      <c r="BT44" s="500"/>
      <c r="BU44" s="500"/>
      <c r="BV44" s="500"/>
      <c r="BW44" s="2357"/>
      <c r="BX44" s="2357"/>
      <c r="BY44" s="2357"/>
      <c r="BZ44" s="2357"/>
      <c r="CA44" s="500"/>
      <c r="CB44" s="500"/>
      <c r="CC44" s="500"/>
      <c r="CD44" s="500"/>
      <c r="CE44" s="500"/>
      <c r="CF44" s="500"/>
      <c r="CG44" s="500"/>
      <c r="CH44" s="500"/>
      <c r="CI44" s="500"/>
      <c r="CJ44" s="500"/>
      <c r="CK44" s="500"/>
      <c r="CL44" s="500"/>
      <c r="CM44" s="500"/>
      <c r="CN44" s="500"/>
      <c r="CO44" s="500"/>
      <c r="CP44" s="500"/>
      <c r="CQ44" s="500"/>
      <c r="CR44" s="500"/>
      <c r="CS44" s="500"/>
      <c r="CT44" s="522" t="s">
        <v>4725</v>
      </c>
      <c r="CU44" s="520" t="s">
        <v>1999</v>
      </c>
      <c r="CV44" s="520"/>
      <c r="CW44" s="1572"/>
    </row>
    <row r="45" spans="1:103" ht="18" x14ac:dyDescent="0.25">
      <c r="B45" s="1571">
        <v>42</v>
      </c>
      <c r="C45" s="531" t="s">
        <v>4575</v>
      </c>
      <c r="D45" s="532" t="s">
        <v>3857</v>
      </c>
      <c r="E45" s="533"/>
      <c r="F45" s="500"/>
      <c r="G45" s="500"/>
      <c r="H45" s="500"/>
      <c r="I45" s="500"/>
      <c r="J45" s="500"/>
      <c r="K45" s="500"/>
      <c r="L45" s="500"/>
      <c r="M45" s="500"/>
      <c r="N45" s="533"/>
      <c r="O45" s="533"/>
      <c r="P45" s="500"/>
      <c r="Q45" s="500"/>
      <c r="R45" s="500"/>
      <c r="S45" s="500"/>
      <c r="T45" s="500"/>
      <c r="U45" s="500">
        <v>1</v>
      </c>
      <c r="V45" s="500"/>
      <c r="W45" s="500"/>
      <c r="X45" s="500"/>
      <c r="Y45" s="500"/>
      <c r="Z45" s="500"/>
      <c r="AA45" s="533" t="s">
        <v>1646</v>
      </c>
      <c r="AB45" s="533" t="s">
        <v>3863</v>
      </c>
      <c r="AC45" s="533"/>
      <c r="AD45" s="533"/>
      <c r="AE45" s="533" t="s">
        <v>2197</v>
      </c>
      <c r="AF45" s="533"/>
      <c r="AG45" s="533"/>
      <c r="AH45" s="500"/>
      <c r="AI45" s="500"/>
      <c r="AJ45" s="500"/>
      <c r="AK45" s="500"/>
      <c r="AL45" s="500"/>
      <c r="AM45" s="533" t="s">
        <v>1647</v>
      </c>
      <c r="AN45" s="533"/>
      <c r="AO45" s="500"/>
      <c r="AP45" s="500"/>
      <c r="AQ45" s="500"/>
      <c r="AR45" s="500"/>
      <c r="AS45" s="533" t="s">
        <v>3865</v>
      </c>
      <c r="AT45" s="500"/>
      <c r="AU45" s="500"/>
      <c r="AV45" s="533" t="s">
        <v>1667</v>
      </c>
      <c r="AW45" s="533" t="s">
        <v>2427</v>
      </c>
      <c r="AX45" s="533" t="s">
        <v>3529</v>
      </c>
      <c r="AY45" s="533" t="s">
        <v>3530</v>
      </c>
      <c r="AZ45" s="533" t="s">
        <v>3531</v>
      </c>
      <c r="BA45" s="533" t="s">
        <v>3532</v>
      </c>
      <c r="BB45" s="520"/>
      <c r="BC45" s="500"/>
      <c r="BD45" s="500"/>
      <c r="BE45" s="500"/>
      <c r="BF45" s="500"/>
      <c r="BG45" s="500"/>
      <c r="BH45" s="500"/>
      <c r="BI45" s="500"/>
      <c r="BJ45" s="500"/>
      <c r="BK45" s="500"/>
      <c r="BL45" s="500"/>
      <c r="BM45" s="500"/>
      <c r="BN45" s="500"/>
      <c r="BO45" s="500"/>
      <c r="BP45" s="500"/>
      <c r="BQ45" s="500"/>
      <c r="BR45" s="500"/>
      <c r="BS45" s="500"/>
      <c r="BT45" s="500"/>
      <c r="BU45" s="500"/>
      <c r="BV45" s="500"/>
      <c r="BW45" s="2357"/>
      <c r="BX45" s="2357"/>
      <c r="BY45" s="2357"/>
      <c r="BZ45" s="2357"/>
      <c r="CA45" s="500"/>
      <c r="CB45" s="500"/>
      <c r="CC45" s="500"/>
      <c r="CD45" s="500"/>
      <c r="CE45" s="500"/>
      <c r="CF45" s="500"/>
      <c r="CG45" s="500"/>
      <c r="CH45" s="500"/>
      <c r="CI45" s="500"/>
      <c r="CJ45" s="500"/>
      <c r="CK45" s="500"/>
      <c r="CL45" s="500"/>
      <c r="CM45" s="500"/>
      <c r="CN45" s="500"/>
      <c r="CO45" s="500"/>
      <c r="CP45" s="500"/>
      <c r="CQ45" s="500"/>
      <c r="CR45" s="500"/>
      <c r="CS45" s="500"/>
      <c r="CT45" s="522" t="s">
        <v>5089</v>
      </c>
      <c r="CU45" s="520" t="s">
        <v>1999</v>
      </c>
      <c r="CV45" s="520"/>
      <c r="CW45" s="1572"/>
    </row>
    <row r="46" spans="1:103" ht="18" x14ac:dyDescent="0.25">
      <c r="B46" s="1571">
        <v>43</v>
      </c>
      <c r="C46" s="531" t="s">
        <v>4576</v>
      </c>
      <c r="D46" s="532" t="s">
        <v>3858</v>
      </c>
      <c r="E46" s="533"/>
      <c r="F46" s="500"/>
      <c r="G46" s="500"/>
      <c r="H46" s="500"/>
      <c r="I46" s="500"/>
      <c r="J46" s="500"/>
      <c r="K46" s="500"/>
      <c r="L46" s="500"/>
      <c r="M46" s="500"/>
      <c r="N46" s="533"/>
      <c r="O46" s="533"/>
      <c r="P46" s="500"/>
      <c r="Q46" s="500"/>
      <c r="R46" s="500"/>
      <c r="S46" s="500"/>
      <c r="T46" s="500"/>
      <c r="U46" s="500"/>
      <c r="V46" s="500"/>
      <c r="W46" s="500"/>
      <c r="X46" s="500"/>
      <c r="Y46" s="500"/>
      <c r="Z46" s="500"/>
      <c r="AA46" s="500"/>
      <c r="AB46" s="500"/>
      <c r="AC46" s="533"/>
      <c r="AD46" s="533">
        <v>1</v>
      </c>
      <c r="AE46" s="533">
        <v>-1</v>
      </c>
      <c r="AF46" s="533"/>
      <c r="AG46" s="533"/>
      <c r="AH46" s="500"/>
      <c r="AI46" s="500"/>
      <c r="AJ46" s="500"/>
      <c r="AK46" s="500"/>
      <c r="AL46" s="500"/>
      <c r="AM46" s="533"/>
      <c r="AN46" s="533"/>
      <c r="AO46" s="500"/>
      <c r="AP46" s="500"/>
      <c r="AQ46" s="500"/>
      <c r="AR46" s="500"/>
      <c r="AS46" s="533" t="s">
        <v>3866</v>
      </c>
      <c r="AT46" s="500"/>
      <c r="AU46" s="500"/>
      <c r="AV46" s="533"/>
      <c r="AW46" s="533"/>
      <c r="AX46" s="533"/>
      <c r="AY46" s="533"/>
      <c r="AZ46" s="533"/>
      <c r="BA46" s="533"/>
      <c r="BB46" s="520"/>
      <c r="BC46" s="500"/>
      <c r="BD46" s="500"/>
      <c r="BE46" s="500"/>
      <c r="BF46" s="500"/>
      <c r="BG46" s="500"/>
      <c r="BH46" s="500"/>
      <c r="BI46" s="500"/>
      <c r="BJ46" s="500"/>
      <c r="BK46" s="500"/>
      <c r="BL46" s="500"/>
      <c r="BM46" s="500"/>
      <c r="BN46" s="500"/>
      <c r="BO46" s="500"/>
      <c r="BP46" s="500"/>
      <c r="BQ46" s="500"/>
      <c r="BR46" s="500"/>
      <c r="BS46" s="500"/>
      <c r="BT46" s="500"/>
      <c r="BU46" s="500"/>
      <c r="BV46" s="500"/>
      <c r="BW46" s="2357"/>
      <c r="BX46" s="2357"/>
      <c r="BY46" s="2357"/>
      <c r="BZ46" s="2357"/>
      <c r="CA46" s="500"/>
      <c r="CB46" s="500"/>
      <c r="CC46" s="500"/>
      <c r="CD46" s="500"/>
      <c r="CE46" s="500"/>
      <c r="CF46" s="500"/>
      <c r="CG46" s="500"/>
      <c r="CH46" s="500"/>
      <c r="CI46" s="500"/>
      <c r="CJ46" s="500"/>
      <c r="CK46" s="500"/>
      <c r="CL46" s="500"/>
      <c r="CM46" s="500"/>
      <c r="CN46" s="500"/>
      <c r="CO46" s="500"/>
      <c r="CP46" s="500"/>
      <c r="CQ46" s="500"/>
      <c r="CR46" s="500"/>
      <c r="CS46" s="500"/>
      <c r="CT46" s="522" t="s">
        <v>4726</v>
      </c>
      <c r="CU46" s="520" t="s">
        <v>1999</v>
      </c>
      <c r="CV46" s="520"/>
      <c r="CW46" s="1572"/>
    </row>
    <row r="47" spans="1:103" ht="18" x14ac:dyDescent="0.25">
      <c r="B47" s="1571">
        <v>44</v>
      </c>
      <c r="C47" s="531" t="s">
        <v>4577</v>
      </c>
      <c r="D47" s="532" t="s">
        <v>3924</v>
      </c>
      <c r="E47" s="533"/>
      <c r="F47" s="500"/>
      <c r="G47" s="500"/>
      <c r="H47" s="500"/>
      <c r="I47" s="500"/>
      <c r="J47" s="500"/>
      <c r="K47" s="500"/>
      <c r="L47" s="500"/>
      <c r="M47" s="500"/>
      <c r="N47" s="533"/>
      <c r="O47" s="533"/>
      <c r="P47" s="500"/>
      <c r="Q47" s="500"/>
      <c r="R47" s="500"/>
      <c r="S47" s="500"/>
      <c r="T47" s="500"/>
      <c r="U47" s="500"/>
      <c r="V47" s="500"/>
      <c r="W47" s="500"/>
      <c r="X47" s="500"/>
      <c r="Y47" s="500"/>
      <c r="Z47" s="500"/>
      <c r="AA47" s="500"/>
      <c r="AB47" s="500">
        <v>-1</v>
      </c>
      <c r="AC47" s="533"/>
      <c r="AD47" s="533">
        <v>1</v>
      </c>
      <c r="AE47" s="533">
        <v>-4</v>
      </c>
      <c r="AF47" s="533"/>
      <c r="AG47" s="533">
        <v>4</v>
      </c>
      <c r="AH47" s="500"/>
      <c r="AI47" s="500"/>
      <c r="AJ47" s="500"/>
      <c r="AK47" s="500"/>
      <c r="AL47" s="500"/>
      <c r="AM47" s="533"/>
      <c r="AN47" s="533"/>
      <c r="AO47" s="500"/>
      <c r="AP47" s="500"/>
      <c r="AQ47" s="500"/>
      <c r="AR47" s="500"/>
      <c r="AS47" s="533"/>
      <c r="AT47" s="500"/>
      <c r="AU47" s="500"/>
      <c r="AV47" s="533"/>
      <c r="AW47" s="533"/>
      <c r="AX47" s="533"/>
      <c r="AY47" s="533"/>
      <c r="AZ47" s="533"/>
      <c r="BA47" s="533"/>
      <c r="BB47" s="520"/>
      <c r="BC47" s="500"/>
      <c r="BD47" s="500"/>
      <c r="BE47" s="500"/>
      <c r="BF47" s="500"/>
      <c r="BG47" s="500"/>
      <c r="BH47" s="500"/>
      <c r="BI47" s="500"/>
      <c r="BJ47" s="500"/>
      <c r="BK47" s="500"/>
      <c r="BL47" s="500"/>
      <c r="BM47" s="500"/>
      <c r="BN47" s="500"/>
      <c r="BO47" s="500"/>
      <c r="BP47" s="500"/>
      <c r="BQ47" s="500"/>
      <c r="BR47" s="500"/>
      <c r="BS47" s="500"/>
      <c r="BT47" s="500"/>
      <c r="BU47" s="500"/>
      <c r="BV47" s="500"/>
      <c r="BW47" s="2357"/>
      <c r="BX47" s="2357"/>
      <c r="BY47" s="2357"/>
      <c r="BZ47" s="2357"/>
      <c r="CA47" s="500"/>
      <c r="CB47" s="500"/>
      <c r="CC47" s="500"/>
      <c r="CD47" s="500"/>
      <c r="CE47" s="500"/>
      <c r="CF47" s="500"/>
      <c r="CG47" s="500"/>
      <c r="CH47" s="500"/>
      <c r="CI47" s="500"/>
      <c r="CJ47" s="500"/>
      <c r="CK47" s="500"/>
      <c r="CL47" s="500"/>
      <c r="CM47" s="500"/>
      <c r="CN47" s="500"/>
      <c r="CO47" s="500"/>
      <c r="CP47" s="500"/>
      <c r="CQ47" s="500"/>
      <c r="CR47" s="500"/>
      <c r="CS47" s="500"/>
      <c r="CT47" s="522" t="s">
        <v>4749</v>
      </c>
      <c r="CU47" s="520" t="s">
        <v>3636</v>
      </c>
      <c r="CV47" s="520"/>
      <c r="CW47" s="1572"/>
    </row>
    <row r="48" spans="1:103" ht="18" x14ac:dyDescent="0.25">
      <c r="B48" s="1571">
        <v>45</v>
      </c>
      <c r="C48" s="531" t="s">
        <v>441</v>
      </c>
      <c r="D48" s="532" t="s">
        <v>3925</v>
      </c>
      <c r="E48" s="533"/>
      <c r="F48" s="500"/>
      <c r="G48" s="500"/>
      <c r="H48" s="500"/>
      <c r="I48" s="500"/>
      <c r="J48" s="500"/>
      <c r="K48" s="500"/>
      <c r="L48" s="500"/>
      <c r="M48" s="500"/>
      <c r="N48" s="533"/>
      <c r="O48" s="533"/>
      <c r="P48" s="500"/>
      <c r="Q48" s="500"/>
      <c r="R48" s="500"/>
      <c r="S48" s="500"/>
      <c r="T48" s="500"/>
      <c r="U48" s="500"/>
      <c r="V48" s="500"/>
      <c r="W48" s="500"/>
      <c r="X48" s="500"/>
      <c r="Y48" s="500"/>
      <c r="Z48" s="500"/>
      <c r="AA48" s="500"/>
      <c r="AB48" s="500">
        <v>-1</v>
      </c>
      <c r="AC48" s="533"/>
      <c r="AD48" s="533">
        <v>-1</v>
      </c>
      <c r="AE48" s="533"/>
      <c r="AF48" s="533"/>
      <c r="AG48" s="533">
        <v>2</v>
      </c>
      <c r="AH48" s="500"/>
      <c r="AI48" s="500"/>
      <c r="AJ48" s="500"/>
      <c r="AK48" s="500"/>
      <c r="AL48" s="500"/>
      <c r="AM48" s="533"/>
      <c r="AN48" s="533"/>
      <c r="AO48" s="500"/>
      <c r="AP48" s="500"/>
      <c r="AQ48" s="500"/>
      <c r="AR48" s="500"/>
      <c r="AS48" s="533"/>
      <c r="AT48" s="500"/>
      <c r="AU48" s="500"/>
      <c r="AV48" s="533"/>
      <c r="AW48" s="533"/>
      <c r="AX48" s="533"/>
      <c r="AY48" s="533"/>
      <c r="AZ48" s="533"/>
      <c r="BA48" s="533"/>
      <c r="BB48" s="520"/>
      <c r="BC48" s="500"/>
      <c r="BD48" s="500"/>
      <c r="BE48" s="500"/>
      <c r="BF48" s="500"/>
      <c r="BG48" s="500"/>
      <c r="BH48" s="500"/>
      <c r="BI48" s="500"/>
      <c r="BJ48" s="500"/>
      <c r="BK48" s="500"/>
      <c r="BL48" s="500"/>
      <c r="BM48" s="500"/>
      <c r="BN48" s="500"/>
      <c r="BO48" s="500"/>
      <c r="BP48" s="500"/>
      <c r="BQ48" s="500"/>
      <c r="BR48" s="500"/>
      <c r="BS48" s="500"/>
      <c r="BT48" s="500"/>
      <c r="BU48" s="500"/>
      <c r="BV48" s="500"/>
      <c r="BW48" s="2357"/>
      <c r="BX48" s="2357"/>
      <c r="BY48" s="2357"/>
      <c r="BZ48" s="2357"/>
      <c r="CA48" s="500"/>
      <c r="CB48" s="500"/>
      <c r="CC48" s="500"/>
      <c r="CD48" s="500"/>
      <c r="CE48" s="500"/>
      <c r="CF48" s="500"/>
      <c r="CG48" s="500"/>
      <c r="CH48" s="500"/>
      <c r="CI48" s="500"/>
      <c r="CJ48" s="500"/>
      <c r="CK48" s="500"/>
      <c r="CL48" s="500"/>
      <c r="CM48" s="500"/>
      <c r="CN48" s="500"/>
      <c r="CO48" s="500"/>
      <c r="CP48" s="500"/>
      <c r="CQ48" s="500"/>
      <c r="CR48" s="500"/>
      <c r="CS48" s="500"/>
      <c r="CT48" s="522" t="s">
        <v>4750</v>
      </c>
      <c r="CU48" s="520" t="s">
        <v>3636</v>
      </c>
      <c r="CV48" s="520"/>
      <c r="CW48" s="1572"/>
    </row>
    <row r="49" spans="2:101" ht="18" x14ac:dyDescent="0.25">
      <c r="B49" s="1571">
        <v>46</v>
      </c>
      <c r="C49" s="531" t="s">
        <v>442</v>
      </c>
      <c r="D49" s="532" t="s">
        <v>2201</v>
      </c>
      <c r="E49" s="533"/>
      <c r="F49" s="500"/>
      <c r="G49" s="500"/>
      <c r="H49" s="500"/>
      <c r="I49" s="500"/>
      <c r="J49" s="500" t="s">
        <v>1650</v>
      </c>
      <c r="K49" s="500"/>
      <c r="L49" s="500"/>
      <c r="M49" s="500"/>
      <c r="N49" s="533"/>
      <c r="O49" s="533"/>
      <c r="P49" s="500" t="s">
        <v>1651</v>
      </c>
      <c r="Q49" s="500"/>
      <c r="R49" s="500"/>
      <c r="S49" s="500"/>
      <c r="T49" s="500"/>
      <c r="U49" s="500">
        <v>-1</v>
      </c>
      <c r="V49" s="500"/>
      <c r="W49" s="500"/>
      <c r="X49" s="500"/>
      <c r="Y49" s="500"/>
      <c r="Z49" s="500"/>
      <c r="AA49" s="500" t="s">
        <v>2127</v>
      </c>
      <c r="AB49" s="500"/>
      <c r="AC49" s="500"/>
      <c r="AD49" s="500"/>
      <c r="AE49" s="500"/>
      <c r="AF49" s="500"/>
      <c r="AG49" s="500"/>
      <c r="AH49" s="500"/>
      <c r="AI49" s="500"/>
      <c r="AJ49" s="500"/>
      <c r="AK49" s="500" t="s">
        <v>1652</v>
      </c>
      <c r="AL49" s="500"/>
      <c r="AM49" s="500"/>
      <c r="AN49" s="533"/>
      <c r="AO49" s="500"/>
      <c r="AP49" s="500"/>
      <c r="AQ49" s="500" t="s">
        <v>1653</v>
      </c>
      <c r="AR49" s="500"/>
      <c r="AS49" s="500"/>
      <c r="AT49" s="500"/>
      <c r="AU49" s="500"/>
      <c r="AV49" s="500" t="s">
        <v>5398</v>
      </c>
      <c r="AW49" s="533"/>
      <c r="AX49" s="533"/>
      <c r="AY49" s="533"/>
      <c r="AZ49" s="533"/>
      <c r="BA49" s="533"/>
      <c r="BB49" s="533"/>
      <c r="BC49" s="500"/>
      <c r="BD49" s="500"/>
      <c r="BE49" s="500"/>
      <c r="BF49" s="500"/>
      <c r="BG49" s="500"/>
      <c r="BH49" s="500"/>
      <c r="BI49" s="500"/>
      <c r="BJ49" s="500"/>
      <c r="BK49" s="500"/>
      <c r="BL49" s="500"/>
      <c r="BM49" s="500"/>
      <c r="BN49" s="500"/>
      <c r="BO49" s="500"/>
      <c r="BP49" s="500"/>
      <c r="BQ49" s="500"/>
      <c r="BR49" s="500"/>
      <c r="BS49" s="500"/>
      <c r="BT49" s="500"/>
      <c r="BU49" s="500"/>
      <c r="BV49" s="500"/>
      <c r="BW49" s="2357"/>
      <c r="BX49" s="2357"/>
      <c r="BY49" s="2357"/>
      <c r="BZ49" s="2357"/>
      <c r="CA49" s="500"/>
      <c r="CB49" s="500"/>
      <c r="CC49" s="500"/>
      <c r="CD49" s="500"/>
      <c r="CE49" s="500"/>
      <c r="CF49" s="500"/>
      <c r="CG49" s="500"/>
      <c r="CH49" s="500"/>
      <c r="CI49" s="500"/>
      <c r="CJ49" s="500"/>
      <c r="CK49" s="500"/>
      <c r="CL49" s="500"/>
      <c r="CM49" s="500"/>
      <c r="CN49" s="500"/>
      <c r="CO49" s="500"/>
      <c r="CP49" s="500"/>
      <c r="CQ49" s="500"/>
      <c r="CR49" s="500"/>
      <c r="CS49" s="500"/>
      <c r="CT49" s="522" t="s">
        <v>4307</v>
      </c>
      <c r="CU49" s="522" t="s">
        <v>1999</v>
      </c>
      <c r="CV49" s="522"/>
      <c r="CW49" s="1573"/>
    </row>
    <row r="50" spans="2:101" ht="18" x14ac:dyDescent="0.25">
      <c r="B50" s="1571">
        <v>47</v>
      </c>
      <c r="C50" s="531" t="s">
        <v>465</v>
      </c>
      <c r="D50" s="532" t="s">
        <v>2953</v>
      </c>
      <c r="E50" s="533"/>
      <c r="F50" s="500"/>
      <c r="G50" s="500"/>
      <c r="H50" s="500"/>
      <c r="I50" s="500"/>
      <c r="J50" s="500" t="s">
        <v>1650</v>
      </c>
      <c r="K50" s="500"/>
      <c r="L50" s="500"/>
      <c r="M50" s="500"/>
      <c r="N50" s="533"/>
      <c r="O50" s="533"/>
      <c r="P50" s="500"/>
      <c r="Q50" s="500" t="s">
        <v>1651</v>
      </c>
      <c r="R50" s="500"/>
      <c r="S50" s="500"/>
      <c r="T50" s="500"/>
      <c r="U50" s="500">
        <v>-1</v>
      </c>
      <c r="V50" s="500"/>
      <c r="W50" s="500"/>
      <c r="X50" s="500"/>
      <c r="Y50" s="500"/>
      <c r="Z50" s="500"/>
      <c r="AA50" s="500" t="s">
        <v>2127</v>
      </c>
      <c r="AB50" s="500"/>
      <c r="AC50" s="500"/>
      <c r="AD50" s="500"/>
      <c r="AE50" s="500"/>
      <c r="AF50" s="500"/>
      <c r="AG50" s="500"/>
      <c r="AH50" s="500"/>
      <c r="AI50" s="500"/>
      <c r="AJ50" s="500"/>
      <c r="AK50" s="500" t="s">
        <v>1652</v>
      </c>
      <c r="AL50" s="500"/>
      <c r="AM50" s="500"/>
      <c r="AN50" s="533"/>
      <c r="AO50" s="500"/>
      <c r="AP50" s="500"/>
      <c r="AQ50" s="500" t="s">
        <v>1653</v>
      </c>
      <c r="AR50" s="500"/>
      <c r="AS50" s="500"/>
      <c r="AT50" s="500"/>
      <c r="AU50" s="500"/>
      <c r="AV50" s="500" t="s">
        <v>5398</v>
      </c>
      <c r="AW50" s="533"/>
      <c r="AX50" s="533"/>
      <c r="AY50" s="533"/>
      <c r="AZ50" s="533"/>
      <c r="BA50" s="533"/>
      <c r="BB50" s="533"/>
      <c r="BC50" s="500"/>
      <c r="BD50" s="500"/>
      <c r="BE50" s="500"/>
      <c r="BF50" s="500"/>
      <c r="BG50" s="500"/>
      <c r="BH50" s="500"/>
      <c r="BI50" s="500"/>
      <c r="BJ50" s="500"/>
      <c r="BK50" s="500"/>
      <c r="BL50" s="500"/>
      <c r="BM50" s="500"/>
      <c r="BN50" s="500"/>
      <c r="BO50" s="500"/>
      <c r="BP50" s="500"/>
      <c r="BQ50" s="500"/>
      <c r="BR50" s="500"/>
      <c r="BS50" s="500"/>
      <c r="BT50" s="500"/>
      <c r="BU50" s="500"/>
      <c r="BV50" s="500"/>
      <c r="BW50" s="2357"/>
      <c r="BX50" s="2357"/>
      <c r="BY50" s="2357"/>
      <c r="BZ50" s="2357"/>
      <c r="CA50" s="500"/>
      <c r="CB50" s="500"/>
      <c r="CC50" s="500"/>
      <c r="CD50" s="500"/>
      <c r="CE50" s="500"/>
      <c r="CF50" s="500"/>
      <c r="CG50" s="500"/>
      <c r="CH50" s="500"/>
      <c r="CI50" s="500"/>
      <c r="CJ50" s="500"/>
      <c r="CK50" s="500"/>
      <c r="CL50" s="500"/>
      <c r="CM50" s="500"/>
      <c r="CN50" s="500"/>
      <c r="CO50" s="500"/>
      <c r="CP50" s="500"/>
      <c r="CQ50" s="500"/>
      <c r="CR50" s="500"/>
      <c r="CS50" s="500"/>
      <c r="CT50" s="522" t="s">
        <v>4308</v>
      </c>
      <c r="CU50" s="522" t="s">
        <v>1999</v>
      </c>
      <c r="CV50" s="522"/>
      <c r="CW50" s="1573"/>
    </row>
    <row r="51" spans="2:101" ht="18" x14ac:dyDescent="0.25">
      <c r="B51" s="1574">
        <v>48</v>
      </c>
      <c r="C51" s="534" t="s">
        <v>466</v>
      </c>
      <c r="D51" s="535" t="s">
        <v>2202</v>
      </c>
      <c r="E51" s="501"/>
      <c r="F51" s="501"/>
      <c r="G51" s="501"/>
      <c r="H51" s="501"/>
      <c r="I51" s="501"/>
      <c r="J51" s="501"/>
      <c r="K51" s="501"/>
      <c r="L51" s="501"/>
      <c r="M51" s="501"/>
      <c r="N51" s="501"/>
      <c r="O51" s="501"/>
      <c r="P51" s="501"/>
      <c r="Q51" s="501"/>
      <c r="R51" s="501"/>
      <c r="S51" s="501"/>
      <c r="T51" s="501"/>
      <c r="U51" s="501"/>
      <c r="V51" s="501">
        <v>1</v>
      </c>
      <c r="W51" s="501"/>
      <c r="X51" s="501"/>
      <c r="Y51" s="501"/>
      <c r="Z51" s="501"/>
      <c r="AA51" s="501" t="s">
        <v>2198</v>
      </c>
      <c r="AB51" s="501"/>
      <c r="AC51" s="501" t="s">
        <v>2200</v>
      </c>
      <c r="AD51" s="501" t="s">
        <v>2199</v>
      </c>
      <c r="AE51" s="501"/>
      <c r="AF51" s="501"/>
      <c r="AG51" s="501"/>
      <c r="AH51" s="501"/>
      <c r="AI51" s="501"/>
      <c r="AJ51" s="501"/>
      <c r="AK51" s="501"/>
      <c r="AL51" s="501"/>
      <c r="AM51" s="501" t="s">
        <v>1647</v>
      </c>
      <c r="AN51" s="501"/>
      <c r="AO51" s="501"/>
      <c r="AP51" s="501"/>
      <c r="AQ51" s="501"/>
      <c r="AR51" s="501"/>
      <c r="AS51" s="501" t="s">
        <v>2196</v>
      </c>
      <c r="AT51" s="501"/>
      <c r="AU51" s="501"/>
      <c r="AV51" s="501" t="s">
        <v>1667</v>
      </c>
      <c r="AW51" s="501" t="s">
        <v>2427</v>
      </c>
      <c r="AX51" s="501" t="s">
        <v>3529</v>
      </c>
      <c r="AY51" s="501" t="s">
        <v>3530</v>
      </c>
      <c r="AZ51" s="501" t="s">
        <v>3531</v>
      </c>
      <c r="BA51" s="501" t="s">
        <v>3532</v>
      </c>
      <c r="BB51" s="501"/>
      <c r="BC51" s="501"/>
      <c r="BD51" s="501"/>
      <c r="BE51" s="501"/>
      <c r="BF51" s="501"/>
      <c r="BG51" s="501"/>
      <c r="BH51" s="501"/>
      <c r="BI51" s="501"/>
      <c r="BJ51" s="501"/>
      <c r="BK51" s="501"/>
      <c r="BL51" s="501"/>
      <c r="BM51" s="501"/>
      <c r="BN51" s="501"/>
      <c r="BO51" s="501"/>
      <c r="BP51" s="501"/>
      <c r="BQ51" s="501"/>
      <c r="BR51" s="501"/>
      <c r="BS51" s="501"/>
      <c r="BT51" s="501"/>
      <c r="BU51" s="501"/>
      <c r="BV51" s="501"/>
      <c r="BW51" s="2358"/>
      <c r="BX51" s="2358"/>
      <c r="BY51" s="2358"/>
      <c r="BZ51" s="2358"/>
      <c r="CA51" s="501"/>
      <c r="CB51" s="501"/>
      <c r="CC51" s="501"/>
      <c r="CD51" s="501"/>
      <c r="CE51" s="501"/>
      <c r="CF51" s="501"/>
      <c r="CG51" s="501"/>
      <c r="CH51" s="501"/>
      <c r="CI51" s="501"/>
      <c r="CJ51" s="501"/>
      <c r="CK51" s="501"/>
      <c r="CL51" s="501"/>
      <c r="CM51" s="501"/>
      <c r="CN51" s="501"/>
      <c r="CO51" s="501"/>
      <c r="CP51" s="501"/>
      <c r="CQ51" s="501"/>
      <c r="CR51" s="501"/>
      <c r="CS51" s="501"/>
      <c r="CT51" s="536" t="s">
        <v>5266</v>
      </c>
      <c r="CU51" s="536" t="s">
        <v>1999</v>
      </c>
      <c r="CV51" s="536"/>
      <c r="CW51" s="1575"/>
    </row>
    <row r="52" spans="2:101" ht="18" x14ac:dyDescent="0.25">
      <c r="B52" s="1574">
        <v>49</v>
      </c>
      <c r="C52" s="534" t="s">
        <v>467</v>
      </c>
      <c r="D52" s="535" t="s">
        <v>2203</v>
      </c>
      <c r="E52" s="501"/>
      <c r="F52" s="501"/>
      <c r="G52" s="501"/>
      <c r="H52" s="501"/>
      <c r="I52" s="501"/>
      <c r="J52" s="501" t="s">
        <v>1650</v>
      </c>
      <c r="K52" s="501"/>
      <c r="L52" s="501"/>
      <c r="M52" s="501"/>
      <c r="N52" s="501"/>
      <c r="O52" s="501"/>
      <c r="P52" s="501" t="s">
        <v>1651</v>
      </c>
      <c r="Q52" s="501"/>
      <c r="R52" s="501"/>
      <c r="S52" s="501"/>
      <c r="T52" s="501"/>
      <c r="U52" s="501"/>
      <c r="V52" s="501">
        <v>-1</v>
      </c>
      <c r="W52" s="501"/>
      <c r="X52" s="501"/>
      <c r="Y52" s="501"/>
      <c r="Z52" s="501"/>
      <c r="AA52" s="501" t="s">
        <v>2127</v>
      </c>
      <c r="AB52" s="501"/>
      <c r="AC52" s="501"/>
      <c r="AD52" s="501"/>
      <c r="AE52" s="501"/>
      <c r="AF52" s="501"/>
      <c r="AG52" s="501"/>
      <c r="AH52" s="501"/>
      <c r="AI52" s="501"/>
      <c r="AJ52" s="501"/>
      <c r="AK52" s="501" t="s">
        <v>1652</v>
      </c>
      <c r="AL52" s="501"/>
      <c r="AM52" s="501"/>
      <c r="AN52" s="501"/>
      <c r="AO52" s="501"/>
      <c r="AP52" s="501"/>
      <c r="AQ52" s="501" t="s">
        <v>1653</v>
      </c>
      <c r="AR52" s="501"/>
      <c r="AS52" s="501"/>
      <c r="AT52" s="501"/>
      <c r="AU52" s="501"/>
      <c r="AV52" s="501" t="s">
        <v>5398</v>
      </c>
      <c r="AW52" s="501"/>
      <c r="AX52" s="501"/>
      <c r="AY52" s="501"/>
      <c r="AZ52" s="501"/>
      <c r="BA52" s="501"/>
      <c r="BB52" s="501"/>
      <c r="BC52" s="501"/>
      <c r="BD52" s="501"/>
      <c r="BE52" s="501"/>
      <c r="BF52" s="501"/>
      <c r="BG52" s="501"/>
      <c r="BH52" s="501"/>
      <c r="BI52" s="501"/>
      <c r="BJ52" s="501"/>
      <c r="BK52" s="501"/>
      <c r="BL52" s="501"/>
      <c r="BM52" s="501"/>
      <c r="BN52" s="501"/>
      <c r="BO52" s="501"/>
      <c r="BP52" s="501"/>
      <c r="BQ52" s="501"/>
      <c r="BR52" s="501"/>
      <c r="BS52" s="501"/>
      <c r="BT52" s="501"/>
      <c r="BU52" s="501"/>
      <c r="BV52" s="501"/>
      <c r="BW52" s="2358"/>
      <c r="BX52" s="2358"/>
      <c r="BY52" s="2358"/>
      <c r="BZ52" s="2358"/>
      <c r="CA52" s="501"/>
      <c r="CB52" s="501"/>
      <c r="CC52" s="501"/>
      <c r="CD52" s="501"/>
      <c r="CE52" s="501"/>
      <c r="CF52" s="501"/>
      <c r="CG52" s="501"/>
      <c r="CH52" s="501"/>
      <c r="CI52" s="501"/>
      <c r="CJ52" s="501"/>
      <c r="CK52" s="501"/>
      <c r="CL52" s="501"/>
      <c r="CM52" s="501"/>
      <c r="CN52" s="501"/>
      <c r="CO52" s="501"/>
      <c r="CP52" s="501"/>
      <c r="CQ52" s="501"/>
      <c r="CR52" s="501"/>
      <c r="CS52" s="501"/>
      <c r="CT52" s="536" t="s">
        <v>4309</v>
      </c>
      <c r="CU52" s="536" t="s">
        <v>1999</v>
      </c>
      <c r="CV52" s="536"/>
      <c r="CW52" s="1575"/>
    </row>
    <row r="53" spans="2:101" ht="18" x14ac:dyDescent="0.25">
      <c r="B53" s="1574">
        <v>50</v>
      </c>
      <c r="C53" s="534" t="s">
        <v>2111</v>
      </c>
      <c r="D53" s="535" t="s">
        <v>2954</v>
      </c>
      <c r="E53" s="501"/>
      <c r="F53" s="501"/>
      <c r="G53" s="501"/>
      <c r="H53" s="501"/>
      <c r="I53" s="501"/>
      <c r="J53" s="501" t="s">
        <v>1650</v>
      </c>
      <c r="K53" s="501"/>
      <c r="L53" s="501"/>
      <c r="M53" s="501"/>
      <c r="N53" s="501"/>
      <c r="O53" s="501"/>
      <c r="P53" s="501"/>
      <c r="Q53" s="501" t="s">
        <v>1651</v>
      </c>
      <c r="R53" s="501"/>
      <c r="S53" s="501"/>
      <c r="T53" s="501"/>
      <c r="U53" s="501"/>
      <c r="V53" s="501">
        <v>-1</v>
      </c>
      <c r="W53" s="501"/>
      <c r="X53" s="501"/>
      <c r="Y53" s="501"/>
      <c r="Z53" s="501"/>
      <c r="AA53" s="501" t="s">
        <v>2127</v>
      </c>
      <c r="AB53" s="501"/>
      <c r="AC53" s="501"/>
      <c r="AD53" s="501"/>
      <c r="AE53" s="501"/>
      <c r="AF53" s="501"/>
      <c r="AG53" s="501"/>
      <c r="AH53" s="501"/>
      <c r="AI53" s="501"/>
      <c r="AJ53" s="501"/>
      <c r="AK53" s="501" t="s">
        <v>1652</v>
      </c>
      <c r="AL53" s="501"/>
      <c r="AM53" s="501"/>
      <c r="AN53" s="501"/>
      <c r="AO53" s="501"/>
      <c r="AP53" s="501"/>
      <c r="AQ53" s="501" t="s">
        <v>1653</v>
      </c>
      <c r="AR53" s="501"/>
      <c r="AS53" s="501"/>
      <c r="AT53" s="501"/>
      <c r="AU53" s="501"/>
      <c r="AV53" s="501" t="s">
        <v>5398</v>
      </c>
      <c r="AW53" s="501"/>
      <c r="AX53" s="501"/>
      <c r="AY53" s="501"/>
      <c r="AZ53" s="501"/>
      <c r="BA53" s="501"/>
      <c r="BB53" s="501"/>
      <c r="BC53" s="501"/>
      <c r="BD53" s="501"/>
      <c r="BE53" s="501"/>
      <c r="BF53" s="501"/>
      <c r="BG53" s="501"/>
      <c r="BH53" s="501"/>
      <c r="BI53" s="501"/>
      <c r="BJ53" s="501"/>
      <c r="BK53" s="501"/>
      <c r="BL53" s="501"/>
      <c r="BM53" s="501"/>
      <c r="BN53" s="501"/>
      <c r="BO53" s="501"/>
      <c r="BP53" s="501"/>
      <c r="BQ53" s="501"/>
      <c r="BR53" s="501"/>
      <c r="BS53" s="501"/>
      <c r="BT53" s="501"/>
      <c r="BU53" s="501"/>
      <c r="BV53" s="501"/>
      <c r="BW53" s="2358"/>
      <c r="BX53" s="2358"/>
      <c r="BY53" s="2358"/>
      <c r="BZ53" s="2358"/>
      <c r="CA53" s="501"/>
      <c r="CB53" s="501"/>
      <c r="CC53" s="501"/>
      <c r="CD53" s="501"/>
      <c r="CE53" s="501"/>
      <c r="CF53" s="501"/>
      <c r="CG53" s="501"/>
      <c r="CH53" s="501"/>
      <c r="CI53" s="501"/>
      <c r="CJ53" s="501"/>
      <c r="CK53" s="501"/>
      <c r="CL53" s="501"/>
      <c r="CM53" s="501"/>
      <c r="CN53" s="501"/>
      <c r="CO53" s="501"/>
      <c r="CP53" s="501"/>
      <c r="CQ53" s="501"/>
      <c r="CR53" s="501"/>
      <c r="CS53" s="501"/>
      <c r="CT53" s="536" t="s">
        <v>4310</v>
      </c>
      <c r="CU53" s="536" t="s">
        <v>1999</v>
      </c>
      <c r="CV53" s="536"/>
      <c r="CW53" s="1575"/>
    </row>
    <row r="54" spans="2:101" ht="18" x14ac:dyDescent="0.25">
      <c r="B54" s="1782">
        <v>51</v>
      </c>
      <c r="C54" s="1783" t="s">
        <v>2112</v>
      </c>
      <c r="D54" s="1784" t="s">
        <v>5106</v>
      </c>
      <c r="E54" s="1785"/>
      <c r="F54" s="1785"/>
      <c r="G54" s="1785"/>
      <c r="H54" s="1785"/>
      <c r="I54" s="1785"/>
      <c r="J54" s="1785"/>
      <c r="K54" s="1785"/>
      <c r="L54" s="1785"/>
      <c r="M54" s="1785"/>
      <c r="N54" s="1785"/>
      <c r="O54" s="1785"/>
      <c r="P54" s="1785"/>
      <c r="Q54" s="1785"/>
      <c r="R54" s="1785"/>
      <c r="S54" s="1785"/>
      <c r="T54" s="1785"/>
      <c r="U54" s="1785"/>
      <c r="V54" s="1785"/>
      <c r="W54" s="1785"/>
      <c r="X54" s="1785"/>
      <c r="Y54" s="1785"/>
      <c r="Z54" s="1785"/>
      <c r="AA54" s="1785"/>
      <c r="AB54" s="1785">
        <v>-0.5</v>
      </c>
      <c r="AC54" s="1785"/>
      <c r="AD54" s="1785">
        <v>-0.5</v>
      </c>
      <c r="AE54" s="1785"/>
      <c r="AF54" s="1785"/>
      <c r="AG54" s="1785">
        <v>1</v>
      </c>
      <c r="AH54" s="1785"/>
      <c r="AI54" s="1785"/>
      <c r="AJ54" s="1785"/>
      <c r="AK54" s="1785"/>
      <c r="AL54" s="1785"/>
      <c r="AM54" s="1785"/>
      <c r="AN54" s="1785"/>
      <c r="AO54" s="1785"/>
      <c r="AP54" s="1785"/>
      <c r="AQ54" s="1785"/>
      <c r="AR54" s="1785"/>
      <c r="AS54" s="1785"/>
      <c r="AT54" s="1785"/>
      <c r="AU54" s="1785"/>
      <c r="AV54" s="1785"/>
      <c r="AW54" s="1785"/>
      <c r="AX54" s="1785"/>
      <c r="AY54" s="1785"/>
      <c r="AZ54" s="1785"/>
      <c r="BA54" s="1785"/>
      <c r="BB54" s="1785"/>
      <c r="BC54" s="1785"/>
      <c r="BD54" s="1785"/>
      <c r="BE54" s="1785"/>
      <c r="BF54" s="1785"/>
      <c r="BG54" s="1785"/>
      <c r="BH54" s="1785"/>
      <c r="BI54" s="1785"/>
      <c r="BJ54" s="1785"/>
      <c r="BK54" s="1785"/>
      <c r="BL54" s="1785"/>
      <c r="BM54" s="1785"/>
      <c r="BN54" s="1785"/>
      <c r="BO54" s="1785"/>
      <c r="BP54" s="1785"/>
      <c r="BQ54" s="1785"/>
      <c r="BR54" s="1785"/>
      <c r="BS54" s="1785"/>
      <c r="BT54" s="1785"/>
      <c r="BU54" s="1785"/>
      <c r="BV54" s="1785"/>
      <c r="BW54" s="2359"/>
      <c r="BX54" s="2359"/>
      <c r="BY54" s="2359"/>
      <c r="BZ54" s="2359"/>
      <c r="CA54" s="1785"/>
      <c r="CB54" s="1785"/>
      <c r="CC54" s="1785"/>
      <c r="CD54" s="1785"/>
      <c r="CE54" s="1785"/>
      <c r="CF54" s="1785"/>
      <c r="CG54" s="1785"/>
      <c r="CH54" s="1785"/>
      <c r="CI54" s="1785"/>
      <c r="CJ54" s="1785"/>
      <c r="CK54" s="1785"/>
      <c r="CL54" s="1785"/>
      <c r="CM54" s="1785"/>
      <c r="CN54" s="1785"/>
      <c r="CO54" s="1785"/>
      <c r="CP54" s="1785"/>
      <c r="CQ54" s="1785"/>
      <c r="CR54" s="1785"/>
      <c r="CS54" s="1785"/>
      <c r="CT54" s="1786" t="s">
        <v>5133</v>
      </c>
      <c r="CU54" s="1786" t="s">
        <v>1999</v>
      </c>
      <c r="CV54" s="1786"/>
      <c r="CW54" s="1787"/>
    </row>
    <row r="55" spans="2:101" ht="18" x14ac:dyDescent="0.25">
      <c r="B55" s="1782">
        <v>52</v>
      </c>
      <c r="C55" s="1783" t="s">
        <v>2113</v>
      </c>
      <c r="D55" s="1784" t="s">
        <v>5118</v>
      </c>
      <c r="E55" s="1785"/>
      <c r="F55" s="1785"/>
      <c r="G55" s="1785"/>
      <c r="H55" s="1785"/>
      <c r="I55" s="1785"/>
      <c r="J55" s="1785"/>
      <c r="K55" s="1785"/>
      <c r="L55" s="1785"/>
      <c r="M55" s="1785"/>
      <c r="N55" s="1785"/>
      <c r="O55" s="1785"/>
      <c r="P55" s="1785"/>
      <c r="Q55" s="1785"/>
      <c r="R55" s="1785"/>
      <c r="S55" s="1785"/>
      <c r="T55" s="1785"/>
      <c r="U55" s="1785"/>
      <c r="V55" s="1785"/>
      <c r="W55" s="1785"/>
      <c r="X55" s="1785"/>
      <c r="Y55" s="1785"/>
      <c r="Z55" s="1785"/>
      <c r="AA55" s="1785"/>
      <c r="AB55" s="1785">
        <v>-1</v>
      </c>
      <c r="AC55" s="1785"/>
      <c r="AD55" s="1785"/>
      <c r="AE55" s="1785"/>
      <c r="AF55" s="1785"/>
      <c r="AG55" s="1785">
        <v>1</v>
      </c>
      <c r="AH55" s="1785"/>
      <c r="AI55" s="1785"/>
      <c r="AJ55" s="1785"/>
      <c r="AK55" s="1785"/>
      <c r="AL55" s="1785"/>
      <c r="AM55" s="1785"/>
      <c r="AN55" s="1785"/>
      <c r="AO55" s="1785"/>
      <c r="AP55" s="1785"/>
      <c r="AQ55" s="1785"/>
      <c r="AR55" s="1785"/>
      <c r="AS55" s="1800" t="s">
        <v>5121</v>
      </c>
      <c r="AT55" s="1785"/>
      <c r="AU55" s="1785"/>
      <c r="AV55" s="1785"/>
      <c r="AW55" s="1785"/>
      <c r="AX55" s="1785"/>
      <c r="AY55" s="1785"/>
      <c r="AZ55" s="1785"/>
      <c r="BA55" s="1785"/>
      <c r="BB55" s="1785"/>
      <c r="BC55" s="1785"/>
      <c r="BD55" s="1785"/>
      <c r="BE55" s="1785"/>
      <c r="BF55" s="1785"/>
      <c r="BG55" s="1785"/>
      <c r="BH55" s="1785"/>
      <c r="BI55" s="1785"/>
      <c r="BJ55" s="1785"/>
      <c r="BK55" s="1785"/>
      <c r="BL55" s="1785"/>
      <c r="BM55" s="1785"/>
      <c r="BN55" s="1785"/>
      <c r="BO55" s="1785"/>
      <c r="BP55" s="1785"/>
      <c r="BQ55" s="1785"/>
      <c r="BR55" s="1785"/>
      <c r="BS55" s="1785"/>
      <c r="BT55" s="1785"/>
      <c r="BU55" s="1785"/>
      <c r="BV55" s="1785"/>
      <c r="BW55" s="2359"/>
      <c r="BX55" s="2359"/>
      <c r="BY55" s="2359"/>
      <c r="BZ55" s="2359"/>
      <c r="CA55" s="1785"/>
      <c r="CB55" s="1785"/>
      <c r="CC55" s="1785"/>
      <c r="CD55" s="1785"/>
      <c r="CE55" s="1785"/>
      <c r="CF55" s="1785"/>
      <c r="CG55" s="1785"/>
      <c r="CH55" s="1785"/>
      <c r="CI55" s="1785"/>
      <c r="CJ55" s="1785"/>
      <c r="CK55" s="1785"/>
      <c r="CL55" s="1785"/>
      <c r="CM55" s="1785"/>
      <c r="CN55" s="1785"/>
      <c r="CO55" s="1785"/>
      <c r="CP55" s="1785"/>
      <c r="CQ55" s="1785"/>
      <c r="CR55" s="1785"/>
      <c r="CS55" s="1785"/>
      <c r="CT55" s="1786" t="s">
        <v>5519</v>
      </c>
      <c r="CU55" s="1786" t="s">
        <v>1999</v>
      </c>
      <c r="CV55" s="1786"/>
      <c r="CW55" s="1798"/>
    </row>
    <row r="56" spans="2:101" ht="18" x14ac:dyDescent="0.25">
      <c r="B56" s="1782">
        <v>53</v>
      </c>
      <c r="C56" s="1783" t="s">
        <v>2114</v>
      </c>
      <c r="D56" s="1784" t="s">
        <v>5119</v>
      </c>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A56" s="1799">
        <v>1</v>
      </c>
      <c r="AB56" s="1785">
        <v>-2</v>
      </c>
      <c r="AC56" s="1785"/>
      <c r="AD56" s="1785"/>
      <c r="AE56" s="1785"/>
      <c r="AF56" s="1785"/>
      <c r="AG56" s="1785">
        <v>1</v>
      </c>
      <c r="AH56" s="1785"/>
      <c r="AI56" s="1785"/>
      <c r="AJ56" s="1785"/>
      <c r="AK56" s="1785"/>
      <c r="AL56" s="1785"/>
      <c r="AM56" s="1785"/>
      <c r="AN56" s="1785"/>
      <c r="AO56" s="1785"/>
      <c r="AP56" s="1785"/>
      <c r="AQ56" s="1785"/>
      <c r="AR56" s="1785"/>
      <c r="AS56" s="1785"/>
      <c r="AT56" s="1785"/>
      <c r="AU56" s="1785"/>
      <c r="AV56" s="1785"/>
      <c r="AW56" s="1785"/>
      <c r="AX56" s="1785"/>
      <c r="AY56" s="1785"/>
      <c r="AZ56" s="1785"/>
      <c r="BA56" s="1785"/>
      <c r="BB56" s="1785"/>
      <c r="BC56" s="1785"/>
      <c r="BD56" s="1785"/>
      <c r="BE56" s="1785"/>
      <c r="BF56" s="1785"/>
      <c r="BG56" s="1785"/>
      <c r="BH56" s="1785"/>
      <c r="BI56" s="1785"/>
      <c r="BJ56" s="1785"/>
      <c r="BK56" s="1785"/>
      <c r="BL56" s="1785"/>
      <c r="BM56" s="1785"/>
      <c r="BN56" s="1785"/>
      <c r="BO56" s="1785"/>
      <c r="BP56" s="1785"/>
      <c r="BQ56" s="1785"/>
      <c r="BR56" s="1785"/>
      <c r="BS56" s="1785"/>
      <c r="BT56" s="1785"/>
      <c r="BU56" s="1785"/>
      <c r="BV56" s="1785"/>
      <c r="BW56" s="2359"/>
      <c r="BX56" s="2359"/>
      <c r="BY56" s="2359"/>
      <c r="BZ56" s="2359"/>
      <c r="CA56" s="1785"/>
      <c r="CB56" s="1785"/>
      <c r="CC56" s="1785"/>
      <c r="CD56" s="1785"/>
      <c r="CE56" s="1785"/>
      <c r="CF56" s="1785"/>
      <c r="CG56" s="1785"/>
      <c r="CH56" s="1785"/>
      <c r="CI56" s="1785"/>
      <c r="CJ56" s="1785"/>
      <c r="CK56" s="1785"/>
      <c r="CL56" s="1785"/>
      <c r="CM56" s="1785"/>
      <c r="CN56" s="1785"/>
      <c r="CO56" s="1785"/>
      <c r="CP56" s="1785"/>
      <c r="CQ56" s="1785"/>
      <c r="CR56" s="1785"/>
      <c r="CS56" s="1785"/>
      <c r="CT56" s="1786" t="s">
        <v>5563</v>
      </c>
      <c r="CU56" s="1786" t="s">
        <v>1999</v>
      </c>
      <c r="CV56" s="1786"/>
      <c r="CW56" s="1798"/>
    </row>
    <row r="57" spans="2:101" ht="18" x14ac:dyDescent="0.25">
      <c r="B57" s="1576">
        <v>54</v>
      </c>
      <c r="C57" s="537" t="s">
        <v>2115</v>
      </c>
      <c r="D57" s="538" t="s">
        <v>2204</v>
      </c>
      <c r="E57" s="502"/>
      <c r="F57" s="502"/>
      <c r="G57" s="502"/>
      <c r="H57" s="502"/>
      <c r="I57" s="502"/>
      <c r="J57" s="502"/>
      <c r="K57" s="502"/>
      <c r="L57" s="502"/>
      <c r="M57" s="502"/>
      <c r="N57" s="502"/>
      <c r="O57" s="502"/>
      <c r="P57" s="502"/>
      <c r="Q57" s="502"/>
      <c r="R57" s="502"/>
      <c r="S57" s="502"/>
      <c r="T57" s="502"/>
      <c r="U57" s="502"/>
      <c r="V57" s="502"/>
      <c r="W57" s="502">
        <v>1</v>
      </c>
      <c r="X57" s="502"/>
      <c r="Y57" s="502"/>
      <c r="Z57" s="502"/>
      <c r="AA57" s="502" t="s">
        <v>2207</v>
      </c>
      <c r="AB57" s="502"/>
      <c r="AC57" s="502" t="s">
        <v>2209</v>
      </c>
      <c r="AD57" s="502" t="s">
        <v>2208</v>
      </c>
      <c r="AE57" s="502"/>
      <c r="AF57" s="502"/>
      <c r="AG57" s="502"/>
      <c r="AH57" s="502" t="s">
        <v>2210</v>
      </c>
      <c r="AI57" s="502"/>
      <c r="AJ57" s="502"/>
      <c r="AK57" s="502"/>
      <c r="AL57" s="502"/>
      <c r="AM57" s="502" t="s">
        <v>1647</v>
      </c>
      <c r="AN57" s="502"/>
      <c r="AO57" s="502"/>
      <c r="AP57" s="502"/>
      <c r="AQ57" s="502"/>
      <c r="AR57" s="502"/>
      <c r="AS57" s="502"/>
      <c r="AT57" s="502"/>
      <c r="AU57" s="502"/>
      <c r="AV57" s="502" t="s">
        <v>1667</v>
      </c>
      <c r="AW57" s="502" t="s">
        <v>2427</v>
      </c>
      <c r="AX57" s="502" t="s">
        <v>3529</v>
      </c>
      <c r="AY57" s="502" t="s">
        <v>3530</v>
      </c>
      <c r="AZ57" s="502" t="s">
        <v>3531</v>
      </c>
      <c r="BA57" s="502" t="s">
        <v>3532</v>
      </c>
      <c r="BB57" s="502"/>
      <c r="BC57" s="502"/>
      <c r="BD57" s="502"/>
      <c r="BE57" s="502"/>
      <c r="BF57" s="502"/>
      <c r="BG57" s="502"/>
      <c r="BH57" s="502"/>
      <c r="BI57" s="502"/>
      <c r="BJ57" s="502"/>
      <c r="BK57" s="502"/>
      <c r="BL57" s="502"/>
      <c r="BM57" s="502"/>
      <c r="BN57" s="502"/>
      <c r="BO57" s="502"/>
      <c r="BP57" s="502"/>
      <c r="BQ57" s="502"/>
      <c r="BR57" s="502"/>
      <c r="BS57" s="502"/>
      <c r="BT57" s="502"/>
      <c r="BU57" s="502"/>
      <c r="BV57" s="502"/>
      <c r="BW57" s="2360"/>
      <c r="BX57" s="2360"/>
      <c r="BY57" s="2360"/>
      <c r="BZ57" s="2360"/>
      <c r="CA57" s="502"/>
      <c r="CB57" s="502"/>
      <c r="CC57" s="502"/>
      <c r="CD57" s="502"/>
      <c r="CE57" s="502"/>
      <c r="CF57" s="502"/>
      <c r="CG57" s="502"/>
      <c r="CH57" s="502"/>
      <c r="CI57" s="502"/>
      <c r="CJ57" s="502"/>
      <c r="CK57" s="502"/>
      <c r="CL57" s="502"/>
      <c r="CM57" s="502"/>
      <c r="CN57" s="502"/>
      <c r="CO57" s="502"/>
      <c r="CP57" s="502"/>
      <c r="CQ57" s="502"/>
      <c r="CR57" s="502"/>
      <c r="CS57" s="502"/>
      <c r="CT57" s="539" t="s">
        <v>3564</v>
      </c>
      <c r="CU57" s="539" t="s">
        <v>1999</v>
      </c>
      <c r="CV57" s="539"/>
      <c r="CW57" s="1577"/>
    </row>
    <row r="58" spans="2:101" ht="18" x14ac:dyDescent="0.25">
      <c r="B58" s="1576">
        <v>55</v>
      </c>
      <c r="C58" s="537" t="s">
        <v>2116</v>
      </c>
      <c r="D58" s="538" t="s">
        <v>2205</v>
      </c>
      <c r="E58" s="503"/>
      <c r="F58" s="503"/>
      <c r="G58" s="503"/>
      <c r="H58" s="503"/>
      <c r="I58" s="503"/>
      <c r="J58" s="503" t="s">
        <v>1650</v>
      </c>
      <c r="K58" s="503"/>
      <c r="L58" s="503"/>
      <c r="M58" s="503"/>
      <c r="N58" s="503"/>
      <c r="O58" s="503"/>
      <c r="P58" s="503" t="s">
        <v>1651</v>
      </c>
      <c r="Q58" s="503"/>
      <c r="R58" s="503"/>
      <c r="S58" s="503"/>
      <c r="T58" s="503"/>
      <c r="U58" s="503"/>
      <c r="V58" s="503"/>
      <c r="W58" s="503">
        <v>-1</v>
      </c>
      <c r="X58" s="503"/>
      <c r="Y58" s="503"/>
      <c r="Z58" s="503"/>
      <c r="AA58" s="503" t="s">
        <v>2127</v>
      </c>
      <c r="AB58" s="503"/>
      <c r="AC58" s="503"/>
      <c r="AD58" s="503"/>
      <c r="AE58" s="503"/>
      <c r="AF58" s="503"/>
      <c r="AG58" s="503"/>
      <c r="AH58" s="503"/>
      <c r="AI58" s="503"/>
      <c r="AJ58" s="503"/>
      <c r="AK58" s="503" t="s">
        <v>1652</v>
      </c>
      <c r="AL58" s="503"/>
      <c r="AM58" s="503"/>
      <c r="AN58" s="503"/>
      <c r="AO58" s="503"/>
      <c r="AP58" s="503"/>
      <c r="AQ58" s="503" t="s">
        <v>1653</v>
      </c>
      <c r="AR58" s="503"/>
      <c r="AS58" s="503"/>
      <c r="AT58" s="503"/>
      <c r="AU58" s="503"/>
      <c r="AV58" s="502" t="s">
        <v>5398</v>
      </c>
      <c r="AW58" s="503"/>
      <c r="AX58" s="503"/>
      <c r="AY58" s="503"/>
      <c r="AZ58" s="503"/>
      <c r="BA58" s="503"/>
      <c r="BB58" s="503"/>
      <c r="BC58" s="503"/>
      <c r="BD58" s="503"/>
      <c r="BE58" s="503"/>
      <c r="BF58" s="503"/>
      <c r="BG58" s="503"/>
      <c r="BH58" s="503"/>
      <c r="BI58" s="503"/>
      <c r="BJ58" s="503"/>
      <c r="BK58" s="503"/>
      <c r="BL58" s="503"/>
      <c r="BM58" s="503"/>
      <c r="BN58" s="503"/>
      <c r="BO58" s="503"/>
      <c r="BP58" s="503"/>
      <c r="BQ58" s="503"/>
      <c r="BR58" s="503"/>
      <c r="BS58" s="503"/>
      <c r="BT58" s="503"/>
      <c r="BU58" s="503"/>
      <c r="BV58" s="503"/>
      <c r="BW58" s="2361"/>
      <c r="BX58" s="2361"/>
      <c r="BY58" s="2361"/>
      <c r="BZ58" s="2361"/>
      <c r="CA58" s="503"/>
      <c r="CB58" s="503"/>
      <c r="CC58" s="503"/>
      <c r="CD58" s="503"/>
      <c r="CE58" s="503"/>
      <c r="CF58" s="503"/>
      <c r="CG58" s="503"/>
      <c r="CH58" s="503"/>
      <c r="CI58" s="503"/>
      <c r="CJ58" s="503"/>
      <c r="CK58" s="503"/>
      <c r="CL58" s="503"/>
      <c r="CM58" s="503"/>
      <c r="CN58" s="503"/>
      <c r="CO58" s="503"/>
      <c r="CP58" s="503"/>
      <c r="CQ58" s="503"/>
      <c r="CR58" s="503"/>
      <c r="CS58" s="503"/>
      <c r="CT58" s="540" t="s">
        <v>4311</v>
      </c>
      <c r="CU58" s="540" t="s">
        <v>1999</v>
      </c>
      <c r="CV58" s="540"/>
      <c r="CW58" s="1578"/>
    </row>
    <row r="59" spans="2:101" ht="18" x14ac:dyDescent="0.25">
      <c r="B59" s="1576">
        <v>56</v>
      </c>
      <c r="C59" s="537" t="s">
        <v>2117</v>
      </c>
      <c r="D59" s="538" t="s">
        <v>2955</v>
      </c>
      <c r="E59" s="503"/>
      <c r="F59" s="503"/>
      <c r="G59" s="503"/>
      <c r="H59" s="503"/>
      <c r="I59" s="503"/>
      <c r="J59" s="503" t="s">
        <v>1650</v>
      </c>
      <c r="K59" s="503"/>
      <c r="L59" s="503"/>
      <c r="M59" s="503"/>
      <c r="N59" s="503"/>
      <c r="O59" s="503"/>
      <c r="P59" s="503"/>
      <c r="Q59" s="503" t="s">
        <v>1651</v>
      </c>
      <c r="R59" s="503"/>
      <c r="S59" s="503"/>
      <c r="T59" s="503"/>
      <c r="U59" s="503"/>
      <c r="V59" s="503"/>
      <c r="W59" s="503">
        <v>-1</v>
      </c>
      <c r="X59" s="503"/>
      <c r="Y59" s="503"/>
      <c r="Z59" s="503"/>
      <c r="AA59" s="503" t="s">
        <v>2127</v>
      </c>
      <c r="AB59" s="503"/>
      <c r="AC59" s="503"/>
      <c r="AD59" s="503"/>
      <c r="AE59" s="503"/>
      <c r="AF59" s="503"/>
      <c r="AG59" s="503"/>
      <c r="AH59" s="503"/>
      <c r="AI59" s="503"/>
      <c r="AJ59" s="503"/>
      <c r="AK59" s="503" t="s">
        <v>1652</v>
      </c>
      <c r="AL59" s="503"/>
      <c r="AM59" s="503"/>
      <c r="AN59" s="503"/>
      <c r="AO59" s="503"/>
      <c r="AP59" s="503"/>
      <c r="AQ59" s="503" t="s">
        <v>1653</v>
      </c>
      <c r="AR59" s="503"/>
      <c r="AS59" s="503"/>
      <c r="AT59" s="503"/>
      <c r="AU59" s="503"/>
      <c r="AV59" s="502" t="s">
        <v>5398</v>
      </c>
      <c r="AW59" s="503"/>
      <c r="AX59" s="503"/>
      <c r="AY59" s="503"/>
      <c r="AZ59" s="503"/>
      <c r="BA59" s="503"/>
      <c r="BB59" s="503"/>
      <c r="BC59" s="503"/>
      <c r="BD59" s="503"/>
      <c r="BE59" s="503"/>
      <c r="BF59" s="503"/>
      <c r="BG59" s="503"/>
      <c r="BH59" s="503"/>
      <c r="BI59" s="503"/>
      <c r="BJ59" s="503"/>
      <c r="BK59" s="503"/>
      <c r="BL59" s="503"/>
      <c r="BM59" s="503"/>
      <c r="BN59" s="503"/>
      <c r="BO59" s="503"/>
      <c r="BP59" s="503"/>
      <c r="BQ59" s="503"/>
      <c r="BR59" s="503"/>
      <c r="BS59" s="503"/>
      <c r="BT59" s="503"/>
      <c r="BU59" s="503"/>
      <c r="BV59" s="503"/>
      <c r="BW59" s="2361"/>
      <c r="BX59" s="2361"/>
      <c r="BY59" s="2361"/>
      <c r="BZ59" s="2361"/>
      <c r="CA59" s="503"/>
      <c r="CB59" s="503"/>
      <c r="CC59" s="503"/>
      <c r="CD59" s="503"/>
      <c r="CE59" s="503"/>
      <c r="CF59" s="503"/>
      <c r="CG59" s="503"/>
      <c r="CH59" s="503"/>
      <c r="CI59" s="503"/>
      <c r="CJ59" s="503"/>
      <c r="CK59" s="503"/>
      <c r="CL59" s="503"/>
      <c r="CM59" s="503"/>
      <c r="CN59" s="503"/>
      <c r="CO59" s="503"/>
      <c r="CP59" s="503"/>
      <c r="CQ59" s="503"/>
      <c r="CR59" s="503"/>
      <c r="CS59" s="503"/>
      <c r="CT59" s="540" t="s">
        <v>4312</v>
      </c>
      <c r="CU59" s="540" t="s">
        <v>1999</v>
      </c>
      <c r="CV59" s="540"/>
      <c r="CW59" s="1578"/>
    </row>
    <row r="60" spans="2:101" ht="18" x14ac:dyDescent="0.25">
      <c r="B60" s="1579">
        <v>57</v>
      </c>
      <c r="C60" s="541" t="s">
        <v>2118</v>
      </c>
      <c r="D60" s="542" t="s">
        <v>304</v>
      </c>
      <c r="E60" s="543" t="s">
        <v>1668</v>
      </c>
      <c r="F60" s="504"/>
      <c r="G60" s="504"/>
      <c r="H60" s="504"/>
      <c r="I60" s="504"/>
      <c r="J60" s="504"/>
      <c r="K60" s="504"/>
      <c r="L60" s="504"/>
      <c r="M60" s="504"/>
      <c r="N60" s="504"/>
      <c r="O60" s="504"/>
      <c r="P60" s="504"/>
      <c r="Q60" s="504"/>
      <c r="R60" s="504"/>
      <c r="S60" s="504"/>
      <c r="T60" s="504"/>
      <c r="U60" s="504"/>
      <c r="V60" s="504"/>
      <c r="W60" s="504"/>
      <c r="X60" s="504">
        <v>1</v>
      </c>
      <c r="Y60" s="504"/>
      <c r="Z60" s="504"/>
      <c r="AA60" s="504" t="s">
        <v>1646</v>
      </c>
      <c r="AB60" s="504"/>
      <c r="AC60" s="504"/>
      <c r="AD60" s="504"/>
      <c r="AE60" s="504"/>
      <c r="AF60" s="504"/>
      <c r="AG60" s="504"/>
      <c r="AH60" s="504"/>
      <c r="AI60" s="504"/>
      <c r="AJ60" s="504"/>
      <c r="AK60" s="504"/>
      <c r="AL60" s="504"/>
      <c r="AM60" s="543" t="s">
        <v>1647</v>
      </c>
      <c r="AN60" s="504"/>
      <c r="AO60" s="504"/>
      <c r="AP60" s="504"/>
      <c r="AQ60" s="504"/>
      <c r="AR60" s="504"/>
      <c r="AS60" s="504"/>
      <c r="AT60" s="504" t="s">
        <v>1669</v>
      </c>
      <c r="AU60" s="504"/>
      <c r="AV60" s="504" t="s">
        <v>2163</v>
      </c>
      <c r="AW60" s="543" t="s">
        <v>2427</v>
      </c>
      <c r="AX60" s="543" t="s">
        <v>3529</v>
      </c>
      <c r="AY60" s="543" t="s">
        <v>3530</v>
      </c>
      <c r="AZ60" s="543" t="s">
        <v>3531</v>
      </c>
      <c r="BA60" s="543" t="s">
        <v>3532</v>
      </c>
      <c r="BB60" s="543"/>
      <c r="BC60" s="543"/>
      <c r="BD60" s="543"/>
      <c r="BE60" s="543"/>
      <c r="BF60" s="543"/>
      <c r="BG60" s="543"/>
      <c r="BH60" s="543"/>
      <c r="BI60" s="543"/>
      <c r="BJ60" s="543"/>
      <c r="BK60" s="543"/>
      <c r="BL60" s="543"/>
      <c r="BM60" s="543"/>
      <c r="BN60" s="543"/>
      <c r="BO60" s="543"/>
      <c r="BP60" s="543"/>
      <c r="BQ60" s="543"/>
      <c r="BR60" s="543"/>
      <c r="BS60" s="543"/>
      <c r="BT60" s="543"/>
      <c r="BU60" s="543"/>
      <c r="BV60" s="543"/>
      <c r="BW60" s="2362"/>
      <c r="BX60" s="2362"/>
      <c r="BY60" s="2362"/>
      <c r="BZ60" s="2362"/>
      <c r="CA60" s="543"/>
      <c r="CB60" s="543"/>
      <c r="CC60" s="543"/>
      <c r="CD60" s="543"/>
      <c r="CE60" s="543"/>
      <c r="CF60" s="543"/>
      <c r="CG60" s="543"/>
      <c r="CH60" s="543"/>
      <c r="CI60" s="543"/>
      <c r="CJ60" s="543"/>
      <c r="CK60" s="543"/>
      <c r="CL60" s="543"/>
      <c r="CM60" s="543"/>
      <c r="CN60" s="543"/>
      <c r="CO60" s="543"/>
      <c r="CP60" s="543"/>
      <c r="CQ60" s="543"/>
      <c r="CR60" s="543"/>
      <c r="CS60" s="543"/>
      <c r="CT60" s="544" t="s">
        <v>4796</v>
      </c>
      <c r="CU60" s="545" t="s">
        <v>1999</v>
      </c>
      <c r="CV60" s="545" t="s">
        <v>903</v>
      </c>
      <c r="CW60" s="1580"/>
    </row>
    <row r="61" spans="2:101" ht="18" x14ac:dyDescent="0.25">
      <c r="B61" s="1579">
        <v>58</v>
      </c>
      <c r="C61" s="541" t="s">
        <v>2151</v>
      </c>
      <c r="D61" s="542" t="s">
        <v>296</v>
      </c>
      <c r="E61" s="504"/>
      <c r="F61" s="504"/>
      <c r="G61" s="504"/>
      <c r="H61" s="504"/>
      <c r="I61" s="504"/>
      <c r="J61" s="504" t="s">
        <v>1650</v>
      </c>
      <c r="K61" s="504"/>
      <c r="L61" s="504"/>
      <c r="M61" s="504"/>
      <c r="N61" s="504"/>
      <c r="O61" s="504"/>
      <c r="P61" s="504" t="s">
        <v>1651</v>
      </c>
      <c r="Q61" s="504"/>
      <c r="R61" s="504"/>
      <c r="S61" s="504"/>
      <c r="T61" s="504"/>
      <c r="U61" s="504"/>
      <c r="V61" s="504"/>
      <c r="W61" s="504"/>
      <c r="X61" s="504">
        <v>-1</v>
      </c>
      <c r="Y61" s="504"/>
      <c r="Z61" s="504"/>
      <c r="AA61" s="504" t="s">
        <v>2127</v>
      </c>
      <c r="AB61" s="504"/>
      <c r="AC61" s="504"/>
      <c r="AD61" s="504"/>
      <c r="AE61" s="504"/>
      <c r="AF61" s="504"/>
      <c r="AG61" s="504"/>
      <c r="AH61" s="504"/>
      <c r="AI61" s="504"/>
      <c r="AJ61" s="504"/>
      <c r="AK61" s="504" t="s">
        <v>1652</v>
      </c>
      <c r="AL61" s="504"/>
      <c r="AM61" s="543"/>
      <c r="AN61" s="504"/>
      <c r="AO61" s="504"/>
      <c r="AP61" s="504"/>
      <c r="AQ61" s="504" t="s">
        <v>1653</v>
      </c>
      <c r="AR61" s="504"/>
      <c r="AS61" s="504"/>
      <c r="AT61" s="504"/>
      <c r="AU61" s="504"/>
      <c r="AV61" s="504" t="s">
        <v>5398</v>
      </c>
      <c r="AW61" s="504"/>
      <c r="AX61" s="504"/>
      <c r="AY61" s="504"/>
      <c r="AZ61" s="504"/>
      <c r="BA61" s="504"/>
      <c r="BB61" s="504"/>
      <c r="BC61" s="504"/>
      <c r="BD61" s="504"/>
      <c r="BE61" s="504"/>
      <c r="BF61" s="504"/>
      <c r="BG61" s="504"/>
      <c r="BH61" s="504"/>
      <c r="BI61" s="504"/>
      <c r="BJ61" s="504"/>
      <c r="BK61" s="504"/>
      <c r="BL61" s="504"/>
      <c r="BM61" s="504"/>
      <c r="BN61" s="504"/>
      <c r="BO61" s="504"/>
      <c r="BP61" s="504"/>
      <c r="BQ61" s="504"/>
      <c r="BR61" s="504"/>
      <c r="BS61" s="504"/>
      <c r="BT61" s="504"/>
      <c r="BU61" s="504"/>
      <c r="BV61" s="504"/>
      <c r="BW61" s="2363"/>
      <c r="BX61" s="2363"/>
      <c r="BY61" s="2363"/>
      <c r="BZ61" s="2363"/>
      <c r="CA61" s="504"/>
      <c r="CB61" s="504"/>
      <c r="CC61" s="504"/>
      <c r="CD61" s="504"/>
      <c r="CE61" s="504"/>
      <c r="CF61" s="504"/>
      <c r="CG61" s="504"/>
      <c r="CH61" s="504"/>
      <c r="CI61" s="504"/>
      <c r="CJ61" s="504"/>
      <c r="CK61" s="504"/>
      <c r="CL61" s="504"/>
      <c r="CM61" s="504"/>
      <c r="CN61" s="504"/>
      <c r="CO61" s="504"/>
      <c r="CP61" s="504"/>
      <c r="CQ61" s="504"/>
      <c r="CR61" s="504"/>
      <c r="CS61" s="504"/>
      <c r="CT61" s="545" t="s">
        <v>3460</v>
      </c>
      <c r="CU61" s="545" t="s">
        <v>1999</v>
      </c>
      <c r="CV61" s="545"/>
      <c r="CW61" s="1580"/>
    </row>
    <row r="62" spans="2:101" ht="18" x14ac:dyDescent="0.25">
      <c r="B62" s="1579">
        <v>59</v>
      </c>
      <c r="C62" s="541" t="s">
        <v>2175</v>
      </c>
      <c r="D62" s="542" t="s">
        <v>2956</v>
      </c>
      <c r="E62" s="504"/>
      <c r="F62" s="504"/>
      <c r="G62" s="504"/>
      <c r="H62" s="504"/>
      <c r="I62" s="504"/>
      <c r="J62" s="504" t="s">
        <v>1650</v>
      </c>
      <c r="K62" s="504"/>
      <c r="L62" s="504"/>
      <c r="M62" s="504"/>
      <c r="N62" s="504"/>
      <c r="O62" s="504"/>
      <c r="P62" s="504"/>
      <c r="Q62" s="504" t="s">
        <v>1651</v>
      </c>
      <c r="R62" s="504"/>
      <c r="S62" s="504"/>
      <c r="T62" s="504"/>
      <c r="U62" s="504"/>
      <c r="V62" s="504"/>
      <c r="W62" s="504"/>
      <c r="X62" s="504">
        <v>-1</v>
      </c>
      <c r="Y62" s="504"/>
      <c r="Z62" s="504"/>
      <c r="AA62" s="504" t="s">
        <v>2127</v>
      </c>
      <c r="AB62" s="504"/>
      <c r="AC62" s="504"/>
      <c r="AD62" s="504"/>
      <c r="AE62" s="504"/>
      <c r="AF62" s="504"/>
      <c r="AG62" s="504"/>
      <c r="AH62" s="504"/>
      <c r="AI62" s="504"/>
      <c r="AJ62" s="504"/>
      <c r="AK62" s="504" t="s">
        <v>1652</v>
      </c>
      <c r="AL62" s="504"/>
      <c r="AM62" s="543"/>
      <c r="AN62" s="504"/>
      <c r="AO62" s="504"/>
      <c r="AP62" s="504"/>
      <c r="AQ62" s="504" t="s">
        <v>1653</v>
      </c>
      <c r="AR62" s="504"/>
      <c r="AS62" s="504"/>
      <c r="AT62" s="504"/>
      <c r="AU62" s="504"/>
      <c r="AV62" s="504" t="s">
        <v>5398</v>
      </c>
      <c r="AW62" s="504"/>
      <c r="AX62" s="504"/>
      <c r="AY62" s="504"/>
      <c r="AZ62" s="504"/>
      <c r="BA62" s="504"/>
      <c r="BB62" s="504"/>
      <c r="BC62" s="504"/>
      <c r="BD62" s="504"/>
      <c r="BE62" s="504"/>
      <c r="BF62" s="504"/>
      <c r="BG62" s="504"/>
      <c r="BH62" s="504"/>
      <c r="BI62" s="504"/>
      <c r="BJ62" s="504"/>
      <c r="BK62" s="504"/>
      <c r="BL62" s="504"/>
      <c r="BM62" s="504"/>
      <c r="BN62" s="504"/>
      <c r="BO62" s="504"/>
      <c r="BP62" s="504"/>
      <c r="BQ62" s="504"/>
      <c r="BR62" s="504"/>
      <c r="BS62" s="504"/>
      <c r="BT62" s="504"/>
      <c r="BU62" s="504"/>
      <c r="BV62" s="504"/>
      <c r="BW62" s="2363"/>
      <c r="BX62" s="2363"/>
      <c r="BY62" s="2363"/>
      <c r="BZ62" s="2363"/>
      <c r="CA62" s="504"/>
      <c r="CB62" s="504"/>
      <c r="CC62" s="504"/>
      <c r="CD62" s="504"/>
      <c r="CE62" s="504"/>
      <c r="CF62" s="504"/>
      <c r="CG62" s="504"/>
      <c r="CH62" s="504"/>
      <c r="CI62" s="504"/>
      <c r="CJ62" s="504"/>
      <c r="CK62" s="504"/>
      <c r="CL62" s="504"/>
      <c r="CM62" s="504"/>
      <c r="CN62" s="504"/>
      <c r="CO62" s="504"/>
      <c r="CP62" s="504"/>
      <c r="CQ62" s="504"/>
      <c r="CR62" s="504"/>
      <c r="CS62" s="504"/>
      <c r="CT62" s="545" t="s">
        <v>3461</v>
      </c>
      <c r="CU62" s="545" t="s">
        <v>1999</v>
      </c>
      <c r="CV62" s="545"/>
      <c r="CW62" s="1580"/>
    </row>
    <row r="63" spans="2:101" ht="18" x14ac:dyDescent="0.25">
      <c r="B63" s="1581">
        <v>60</v>
      </c>
      <c r="C63" s="546" t="s">
        <v>2383</v>
      </c>
      <c r="D63" s="547" t="s">
        <v>305</v>
      </c>
      <c r="E63" s="505"/>
      <c r="F63" s="505"/>
      <c r="G63" s="505"/>
      <c r="H63" s="505"/>
      <c r="I63" s="505"/>
      <c r="J63" s="505"/>
      <c r="K63" s="505"/>
      <c r="L63" s="505"/>
      <c r="M63" s="505"/>
      <c r="N63" s="505"/>
      <c r="O63" s="505"/>
      <c r="P63" s="505"/>
      <c r="Q63" s="505"/>
      <c r="R63" s="505"/>
      <c r="S63" s="505"/>
      <c r="T63" s="505"/>
      <c r="U63" s="505"/>
      <c r="V63" s="505"/>
      <c r="W63" s="505"/>
      <c r="X63" s="505"/>
      <c r="Y63" s="505">
        <v>1</v>
      </c>
      <c r="Z63" s="505"/>
      <c r="AA63" s="505" t="s">
        <v>1646</v>
      </c>
      <c r="AB63" s="505"/>
      <c r="AC63" s="505"/>
      <c r="AD63" s="505"/>
      <c r="AE63" s="505"/>
      <c r="AF63" s="505"/>
      <c r="AG63" s="505"/>
      <c r="AH63" s="505"/>
      <c r="AI63" s="505"/>
      <c r="AJ63" s="505"/>
      <c r="AK63" s="505"/>
      <c r="AL63" s="505"/>
      <c r="AM63" s="548" t="s">
        <v>1647</v>
      </c>
      <c r="AN63" s="505"/>
      <c r="AO63" s="505"/>
      <c r="AP63" s="505"/>
      <c r="AQ63" s="505"/>
      <c r="AR63" s="505"/>
      <c r="AS63" s="505"/>
      <c r="AT63" s="505" t="s">
        <v>1670</v>
      </c>
      <c r="AU63" s="548" t="s">
        <v>1671</v>
      </c>
      <c r="AV63" s="548" t="s">
        <v>1959</v>
      </c>
      <c r="AW63" s="548" t="s">
        <v>2427</v>
      </c>
      <c r="AX63" s="548" t="s">
        <v>3529</v>
      </c>
      <c r="AY63" s="548" t="s">
        <v>3530</v>
      </c>
      <c r="AZ63" s="548" t="s">
        <v>3531</v>
      </c>
      <c r="BA63" s="548" t="s">
        <v>3532</v>
      </c>
      <c r="BB63" s="548"/>
      <c r="BC63" s="548"/>
      <c r="BD63" s="548"/>
      <c r="BE63" s="548"/>
      <c r="BF63" s="548"/>
      <c r="BG63" s="548"/>
      <c r="BH63" s="548"/>
      <c r="BI63" s="548"/>
      <c r="BJ63" s="548"/>
      <c r="BK63" s="548"/>
      <c r="BL63" s="548"/>
      <c r="BM63" s="548"/>
      <c r="BN63" s="548"/>
      <c r="BO63" s="548"/>
      <c r="BP63" s="548"/>
      <c r="BQ63" s="548"/>
      <c r="BR63" s="548"/>
      <c r="BS63" s="548"/>
      <c r="BT63" s="548"/>
      <c r="BU63" s="548"/>
      <c r="BV63" s="548"/>
      <c r="BW63" s="2364"/>
      <c r="BX63" s="2364"/>
      <c r="BY63" s="2364"/>
      <c r="BZ63" s="2364"/>
      <c r="CA63" s="548"/>
      <c r="CB63" s="548"/>
      <c r="CC63" s="548"/>
      <c r="CD63" s="548"/>
      <c r="CE63" s="548"/>
      <c r="CF63" s="548"/>
      <c r="CG63" s="548"/>
      <c r="CH63" s="548"/>
      <c r="CI63" s="548"/>
      <c r="CJ63" s="548"/>
      <c r="CK63" s="548"/>
      <c r="CL63" s="548"/>
      <c r="CM63" s="548"/>
      <c r="CN63" s="548"/>
      <c r="CO63" s="548"/>
      <c r="CP63" s="548"/>
      <c r="CQ63" s="548"/>
      <c r="CR63" s="548"/>
      <c r="CS63" s="548"/>
      <c r="CT63" s="549" t="s">
        <v>3565</v>
      </c>
      <c r="CU63" s="550" t="s">
        <v>1999</v>
      </c>
      <c r="CV63" s="550" t="s">
        <v>307</v>
      </c>
      <c r="CW63" s="1582"/>
    </row>
    <row r="64" spans="2:101" ht="18" x14ac:dyDescent="0.25">
      <c r="B64" s="1581">
        <v>61</v>
      </c>
      <c r="C64" s="546" t="s">
        <v>2384</v>
      </c>
      <c r="D64" s="547" t="s">
        <v>295</v>
      </c>
      <c r="E64" s="505"/>
      <c r="F64" s="505"/>
      <c r="G64" s="505"/>
      <c r="H64" s="505"/>
      <c r="I64" s="505"/>
      <c r="J64" s="505" t="s">
        <v>1650</v>
      </c>
      <c r="K64" s="505"/>
      <c r="L64" s="505"/>
      <c r="M64" s="505"/>
      <c r="N64" s="505"/>
      <c r="O64" s="505"/>
      <c r="P64" s="505" t="s">
        <v>1651</v>
      </c>
      <c r="Q64" s="505"/>
      <c r="R64" s="505"/>
      <c r="S64" s="505"/>
      <c r="T64" s="505"/>
      <c r="U64" s="505"/>
      <c r="V64" s="505"/>
      <c r="W64" s="505"/>
      <c r="X64" s="505"/>
      <c r="Y64" s="505">
        <v>-1</v>
      </c>
      <c r="Z64" s="505"/>
      <c r="AA64" s="505" t="s">
        <v>2127</v>
      </c>
      <c r="AB64" s="505"/>
      <c r="AC64" s="505"/>
      <c r="AD64" s="505"/>
      <c r="AE64" s="505"/>
      <c r="AF64" s="505"/>
      <c r="AG64" s="505"/>
      <c r="AH64" s="505"/>
      <c r="AI64" s="505"/>
      <c r="AJ64" s="505"/>
      <c r="AK64" s="505" t="s">
        <v>1652</v>
      </c>
      <c r="AL64" s="505"/>
      <c r="AM64" s="505"/>
      <c r="AN64" s="505"/>
      <c r="AO64" s="505"/>
      <c r="AP64" s="505"/>
      <c r="AQ64" s="505" t="s">
        <v>1653</v>
      </c>
      <c r="AR64" s="505"/>
      <c r="AS64" s="505"/>
      <c r="AT64" s="505"/>
      <c r="AU64" s="505"/>
      <c r="AV64" s="505" t="s">
        <v>5398</v>
      </c>
      <c r="AW64" s="505"/>
      <c r="AX64" s="505"/>
      <c r="AY64" s="505"/>
      <c r="AZ64" s="505"/>
      <c r="BA64" s="505"/>
      <c r="BB64" s="505"/>
      <c r="BC64" s="505"/>
      <c r="BD64" s="505"/>
      <c r="BE64" s="505"/>
      <c r="BF64" s="505"/>
      <c r="BG64" s="505"/>
      <c r="BH64" s="505"/>
      <c r="BI64" s="505"/>
      <c r="BJ64" s="505"/>
      <c r="BK64" s="505"/>
      <c r="BL64" s="505"/>
      <c r="BM64" s="505"/>
      <c r="BN64" s="505"/>
      <c r="BO64" s="505"/>
      <c r="BP64" s="505"/>
      <c r="BQ64" s="505"/>
      <c r="BR64" s="505"/>
      <c r="BS64" s="505"/>
      <c r="BT64" s="505"/>
      <c r="BU64" s="505"/>
      <c r="BV64" s="505"/>
      <c r="BW64" s="2365"/>
      <c r="BX64" s="2365"/>
      <c r="BY64" s="2365"/>
      <c r="BZ64" s="2365"/>
      <c r="CA64" s="505"/>
      <c r="CB64" s="505"/>
      <c r="CC64" s="505"/>
      <c r="CD64" s="505"/>
      <c r="CE64" s="505"/>
      <c r="CF64" s="505"/>
      <c r="CG64" s="505"/>
      <c r="CH64" s="505"/>
      <c r="CI64" s="505"/>
      <c r="CJ64" s="505"/>
      <c r="CK64" s="505"/>
      <c r="CL64" s="505"/>
      <c r="CM64" s="505"/>
      <c r="CN64" s="505"/>
      <c r="CO64" s="505"/>
      <c r="CP64" s="505"/>
      <c r="CQ64" s="505"/>
      <c r="CR64" s="505"/>
      <c r="CS64" s="505"/>
      <c r="CT64" s="550" t="s">
        <v>3462</v>
      </c>
      <c r="CU64" s="550" t="s">
        <v>1999</v>
      </c>
      <c r="CV64" s="550"/>
      <c r="CW64" s="1582"/>
    </row>
    <row r="65" spans="2:103" ht="18" x14ac:dyDescent="0.25">
      <c r="B65" s="1581">
        <v>62</v>
      </c>
      <c r="C65" s="546" t="s">
        <v>2385</v>
      </c>
      <c r="D65" s="547" t="s">
        <v>2957</v>
      </c>
      <c r="E65" s="505"/>
      <c r="F65" s="505"/>
      <c r="G65" s="505"/>
      <c r="H65" s="505"/>
      <c r="I65" s="505"/>
      <c r="J65" s="505" t="s">
        <v>1650</v>
      </c>
      <c r="K65" s="505"/>
      <c r="L65" s="505"/>
      <c r="M65" s="505"/>
      <c r="N65" s="505"/>
      <c r="O65" s="505"/>
      <c r="P65" s="505"/>
      <c r="Q65" s="505" t="s">
        <v>1651</v>
      </c>
      <c r="R65" s="505"/>
      <c r="S65" s="505"/>
      <c r="T65" s="505"/>
      <c r="U65" s="505"/>
      <c r="V65" s="505"/>
      <c r="W65" s="505"/>
      <c r="X65" s="505"/>
      <c r="Y65" s="505">
        <v>-1</v>
      </c>
      <c r="Z65" s="505"/>
      <c r="AA65" s="505" t="s">
        <v>2127</v>
      </c>
      <c r="AB65" s="505"/>
      <c r="AC65" s="505"/>
      <c r="AD65" s="505"/>
      <c r="AE65" s="505"/>
      <c r="AF65" s="505"/>
      <c r="AG65" s="505"/>
      <c r="AH65" s="505"/>
      <c r="AI65" s="505"/>
      <c r="AJ65" s="505"/>
      <c r="AK65" s="505" t="s">
        <v>1652</v>
      </c>
      <c r="AL65" s="505"/>
      <c r="AM65" s="505"/>
      <c r="AN65" s="505"/>
      <c r="AO65" s="505"/>
      <c r="AP65" s="505"/>
      <c r="AQ65" s="505" t="s">
        <v>1653</v>
      </c>
      <c r="AR65" s="505"/>
      <c r="AS65" s="505"/>
      <c r="AT65" s="505"/>
      <c r="AU65" s="505"/>
      <c r="AV65" s="505" t="s">
        <v>5398</v>
      </c>
      <c r="AW65" s="505"/>
      <c r="AX65" s="505"/>
      <c r="AY65" s="505"/>
      <c r="AZ65" s="505"/>
      <c r="BA65" s="505"/>
      <c r="BB65" s="505"/>
      <c r="BC65" s="505"/>
      <c r="BD65" s="505"/>
      <c r="BE65" s="505"/>
      <c r="BF65" s="505"/>
      <c r="BG65" s="505"/>
      <c r="BH65" s="505"/>
      <c r="BI65" s="505"/>
      <c r="BJ65" s="505"/>
      <c r="BK65" s="505"/>
      <c r="BL65" s="505"/>
      <c r="BM65" s="505"/>
      <c r="BN65" s="505"/>
      <c r="BO65" s="505"/>
      <c r="BP65" s="505"/>
      <c r="BQ65" s="505"/>
      <c r="BR65" s="505"/>
      <c r="BS65" s="505"/>
      <c r="BT65" s="505"/>
      <c r="BU65" s="505"/>
      <c r="BV65" s="505"/>
      <c r="BW65" s="2365"/>
      <c r="BX65" s="2365"/>
      <c r="BY65" s="2365"/>
      <c r="BZ65" s="2365"/>
      <c r="CA65" s="505"/>
      <c r="CB65" s="505"/>
      <c r="CC65" s="505"/>
      <c r="CD65" s="505"/>
      <c r="CE65" s="505"/>
      <c r="CF65" s="505"/>
      <c r="CG65" s="505"/>
      <c r="CH65" s="505"/>
      <c r="CI65" s="505"/>
      <c r="CJ65" s="505"/>
      <c r="CK65" s="505"/>
      <c r="CL65" s="505"/>
      <c r="CM65" s="505"/>
      <c r="CN65" s="505"/>
      <c r="CO65" s="505"/>
      <c r="CP65" s="505"/>
      <c r="CQ65" s="505"/>
      <c r="CR65" s="505"/>
      <c r="CS65" s="505"/>
      <c r="CT65" s="550" t="s">
        <v>3463</v>
      </c>
      <c r="CU65" s="550" t="s">
        <v>1999</v>
      </c>
      <c r="CV65" s="550"/>
      <c r="CW65" s="1582"/>
    </row>
    <row r="66" spans="2:103" ht="18" x14ac:dyDescent="0.35">
      <c r="B66" s="1642">
        <v>63</v>
      </c>
      <c r="C66" s="1643" t="s">
        <v>2386</v>
      </c>
      <c r="D66" s="1644" t="s">
        <v>4956</v>
      </c>
      <c r="E66" s="1645"/>
      <c r="F66" s="1645"/>
      <c r="G66" s="1645"/>
      <c r="H66" s="1645"/>
      <c r="I66" s="1645"/>
      <c r="J66" s="1645"/>
      <c r="K66" s="1645"/>
      <c r="L66" s="1645"/>
      <c r="M66" s="1645"/>
      <c r="N66" s="1645"/>
      <c r="O66" s="1645"/>
      <c r="P66" s="1645"/>
      <c r="Q66" s="1645"/>
      <c r="R66" s="1645"/>
      <c r="S66" s="1645"/>
      <c r="T66" s="1645"/>
      <c r="U66" s="1645"/>
      <c r="V66" s="1645"/>
      <c r="W66" s="1645"/>
      <c r="X66" s="1645"/>
      <c r="Y66" s="1645"/>
      <c r="Z66" s="1645">
        <v>1</v>
      </c>
      <c r="AA66" s="1645"/>
      <c r="AB66" s="1646"/>
      <c r="AC66" s="1646" t="s">
        <v>4958</v>
      </c>
      <c r="AD66" s="1646" t="s">
        <v>4957</v>
      </c>
      <c r="AE66" s="1646"/>
      <c r="AF66" s="1646"/>
      <c r="AG66" s="1646"/>
      <c r="AH66" s="1646"/>
      <c r="AI66" s="1645"/>
      <c r="AJ66" s="1645"/>
      <c r="AK66" s="1645"/>
      <c r="AL66" s="1645"/>
      <c r="AM66" s="1646" t="s">
        <v>4959</v>
      </c>
      <c r="AN66" s="1645"/>
      <c r="AO66" s="1645"/>
      <c r="AP66" s="1645"/>
      <c r="AQ66" s="1645"/>
      <c r="AR66" s="1645"/>
      <c r="AS66" s="1646" t="s">
        <v>4960</v>
      </c>
      <c r="AT66" s="1645"/>
      <c r="AU66" s="1645"/>
      <c r="AV66" s="1647" t="s">
        <v>4961</v>
      </c>
      <c r="AW66" s="1645" t="s">
        <v>2427</v>
      </c>
      <c r="AX66" s="1648" t="s">
        <v>3529</v>
      </c>
      <c r="AY66" s="1648" t="s">
        <v>3530</v>
      </c>
      <c r="AZ66" s="1648" t="s">
        <v>3531</v>
      </c>
      <c r="BA66" s="1648" t="s">
        <v>3532</v>
      </c>
      <c r="BB66" s="1645"/>
      <c r="BC66" s="1645"/>
      <c r="BD66" s="1645"/>
      <c r="BE66" s="1645"/>
      <c r="BF66" s="1645"/>
      <c r="BG66" s="1645"/>
      <c r="BH66" s="1645"/>
      <c r="BI66" s="1645"/>
      <c r="BJ66" s="1645"/>
      <c r="BK66" s="1645"/>
      <c r="BL66" s="1645"/>
      <c r="BM66" s="1645"/>
      <c r="BN66" s="1645"/>
      <c r="BO66" s="1645"/>
      <c r="BP66" s="1645"/>
      <c r="BQ66" s="1645"/>
      <c r="BR66" s="1645"/>
      <c r="BS66" s="1645"/>
      <c r="BT66" s="1645"/>
      <c r="BU66" s="1645"/>
      <c r="BV66" s="1645"/>
      <c r="BW66" s="2366"/>
      <c r="BX66" s="2366"/>
      <c r="BY66" s="2366"/>
      <c r="BZ66" s="2366"/>
      <c r="CA66" s="1645"/>
      <c r="CB66" s="1645"/>
      <c r="CC66" s="1645"/>
      <c r="CD66" s="1645"/>
      <c r="CE66" s="1645"/>
      <c r="CF66" s="1645"/>
      <c r="CG66" s="1645"/>
      <c r="CH66" s="1645"/>
      <c r="CI66" s="1645"/>
      <c r="CJ66" s="1645"/>
      <c r="CK66" s="1645"/>
      <c r="CL66" s="1645"/>
      <c r="CM66" s="1645"/>
      <c r="CN66" s="1645"/>
      <c r="CO66" s="1645"/>
      <c r="CP66" s="1645"/>
      <c r="CQ66" s="1645"/>
      <c r="CR66" s="1645"/>
      <c r="CS66" s="1645"/>
      <c r="CT66" s="1649" t="s">
        <v>4962</v>
      </c>
      <c r="CU66" s="1645" t="s">
        <v>1999</v>
      </c>
      <c r="CV66" s="1650"/>
      <c r="CW66" s="1651" t="s">
        <v>4963</v>
      </c>
    </row>
    <row r="67" spans="2:103" ht="18" x14ac:dyDescent="0.35">
      <c r="B67" s="1642">
        <v>64</v>
      </c>
      <c r="C67" s="1643" t="s">
        <v>2387</v>
      </c>
      <c r="D67" s="1644" t="s">
        <v>4964</v>
      </c>
      <c r="E67" s="1645"/>
      <c r="F67" s="1645"/>
      <c r="G67" s="1645"/>
      <c r="H67" s="1645"/>
      <c r="I67" s="1645"/>
      <c r="J67" s="1645"/>
      <c r="K67" s="1645"/>
      <c r="L67" s="1645"/>
      <c r="M67" s="1645"/>
      <c r="N67" s="1645"/>
      <c r="O67" s="1645"/>
      <c r="P67" s="1645"/>
      <c r="Q67" s="1645"/>
      <c r="R67" s="1645"/>
      <c r="S67" s="1645"/>
      <c r="T67" s="1645"/>
      <c r="U67" s="1645"/>
      <c r="V67" s="1645"/>
      <c r="W67" s="1645"/>
      <c r="X67" s="1645"/>
      <c r="Y67" s="1645"/>
      <c r="Z67" s="1645">
        <v>1</v>
      </c>
      <c r="AA67" s="1646" t="s">
        <v>4965</v>
      </c>
      <c r="AB67" s="1645"/>
      <c r="AC67" s="1645"/>
      <c r="AD67" s="1645"/>
      <c r="AE67" s="1645"/>
      <c r="AF67" s="1645"/>
      <c r="AG67" s="1645"/>
      <c r="AH67" s="1645"/>
      <c r="AI67" s="1645"/>
      <c r="AJ67" s="1645"/>
      <c r="AK67" s="1645"/>
      <c r="AL67" s="1645"/>
      <c r="AM67" s="1646" t="s">
        <v>4959</v>
      </c>
      <c r="AN67" s="1645"/>
      <c r="AO67" s="1645"/>
      <c r="AP67" s="1645"/>
      <c r="AQ67" s="1645"/>
      <c r="AR67" s="1645"/>
      <c r="AS67" s="1645">
        <v>1</v>
      </c>
      <c r="AT67" s="1645"/>
      <c r="AU67" s="1645"/>
      <c r="AV67" s="1647" t="s">
        <v>4961</v>
      </c>
      <c r="AW67" s="1645" t="s">
        <v>2427</v>
      </c>
      <c r="AX67" s="1648" t="s">
        <v>3529</v>
      </c>
      <c r="AY67" s="1648" t="s">
        <v>3530</v>
      </c>
      <c r="AZ67" s="1648" t="s">
        <v>3531</v>
      </c>
      <c r="BA67" s="1648" t="s">
        <v>3532</v>
      </c>
      <c r="BB67" s="1645"/>
      <c r="BC67" s="1645"/>
      <c r="BD67" s="1645"/>
      <c r="BE67" s="1645"/>
      <c r="BF67" s="1645"/>
      <c r="BG67" s="1645"/>
      <c r="BH67" s="1645"/>
      <c r="BI67" s="1645"/>
      <c r="BJ67" s="1645"/>
      <c r="BK67" s="1645"/>
      <c r="BL67" s="1645"/>
      <c r="BM67" s="1645"/>
      <c r="BN67" s="1645"/>
      <c r="BO67" s="1645"/>
      <c r="BP67" s="1645"/>
      <c r="BQ67" s="1645"/>
      <c r="BR67" s="1645"/>
      <c r="BS67" s="1645"/>
      <c r="BT67" s="1645"/>
      <c r="BU67" s="1645"/>
      <c r="BV67" s="1645"/>
      <c r="BW67" s="2366"/>
      <c r="BX67" s="2366"/>
      <c r="BY67" s="2366"/>
      <c r="BZ67" s="2366"/>
      <c r="CA67" s="1645"/>
      <c r="CB67" s="1645"/>
      <c r="CC67" s="1645"/>
      <c r="CD67" s="1645"/>
      <c r="CE67" s="1645"/>
      <c r="CF67" s="1645"/>
      <c r="CG67" s="1645"/>
      <c r="CH67" s="1645"/>
      <c r="CI67" s="1645"/>
      <c r="CJ67" s="1645"/>
      <c r="CK67" s="1645"/>
      <c r="CL67" s="1645"/>
      <c r="CM67" s="1645"/>
      <c r="CN67" s="1645"/>
      <c r="CO67" s="1645"/>
      <c r="CP67" s="1645"/>
      <c r="CQ67" s="1645"/>
      <c r="CR67" s="1645"/>
      <c r="CS67" s="1645"/>
      <c r="CT67" s="1649" t="s">
        <v>4966</v>
      </c>
      <c r="CU67" s="1645" t="s">
        <v>1999</v>
      </c>
      <c r="CV67" s="1650"/>
      <c r="CW67" s="1651" t="s">
        <v>4963</v>
      </c>
    </row>
    <row r="68" spans="2:103" ht="18" x14ac:dyDescent="0.35">
      <c r="B68" s="1642">
        <v>65</v>
      </c>
      <c r="C68" s="1643" t="s">
        <v>2388</v>
      </c>
      <c r="D68" s="1644" t="s">
        <v>4967</v>
      </c>
      <c r="E68" s="1645"/>
      <c r="F68" s="1645"/>
      <c r="G68" s="1645"/>
      <c r="H68" s="1645"/>
      <c r="I68" s="1645"/>
      <c r="J68" s="1645"/>
      <c r="K68" s="1645"/>
      <c r="L68" s="1645"/>
      <c r="M68" s="1645"/>
      <c r="N68" s="1645"/>
      <c r="O68" s="1645"/>
      <c r="P68" s="1645"/>
      <c r="Q68" s="1645"/>
      <c r="R68" s="1645"/>
      <c r="S68" s="1645"/>
      <c r="T68" s="1645"/>
      <c r="U68" s="1645"/>
      <c r="V68" s="1645"/>
      <c r="W68" s="1645"/>
      <c r="X68" s="1645"/>
      <c r="Y68" s="1645"/>
      <c r="Z68" s="1645">
        <v>-1</v>
      </c>
      <c r="AA68" s="1646" t="s">
        <v>4968</v>
      </c>
      <c r="AB68" s="1645"/>
      <c r="AC68" s="1645"/>
      <c r="AD68" s="1645"/>
      <c r="AE68" s="1645"/>
      <c r="AF68" s="1645"/>
      <c r="AG68" s="1645"/>
      <c r="AH68" s="1645"/>
      <c r="AI68" s="1645"/>
      <c r="AJ68" s="1645"/>
      <c r="AK68" s="1645"/>
      <c r="AL68" s="1645"/>
      <c r="AM68" s="1646" t="s">
        <v>4969</v>
      </c>
      <c r="AN68" s="1645"/>
      <c r="AO68" s="1645"/>
      <c r="AP68" s="1645"/>
      <c r="AQ68" s="1645"/>
      <c r="AR68" s="1645"/>
      <c r="AS68" s="1645">
        <v>-1</v>
      </c>
      <c r="AT68" s="1645"/>
      <c r="AU68" s="1645"/>
      <c r="AV68" s="1647" t="s">
        <v>4950</v>
      </c>
      <c r="AW68" s="1645"/>
      <c r="AX68" s="1648"/>
      <c r="AY68" s="1648"/>
      <c r="AZ68" s="1648"/>
      <c r="BA68" s="1648"/>
      <c r="BB68" s="1645"/>
      <c r="BC68" s="1645"/>
      <c r="BD68" s="1645"/>
      <c r="BE68" s="1645"/>
      <c r="BF68" s="1645"/>
      <c r="BG68" s="1645"/>
      <c r="BH68" s="1645"/>
      <c r="BI68" s="1645"/>
      <c r="BJ68" s="1645"/>
      <c r="BK68" s="1645"/>
      <c r="BL68" s="1645"/>
      <c r="BM68" s="1645"/>
      <c r="BN68" s="1645"/>
      <c r="BO68" s="1645"/>
      <c r="BP68" s="1645"/>
      <c r="BQ68" s="1645"/>
      <c r="BR68" s="1645"/>
      <c r="BS68" s="1645"/>
      <c r="BT68" s="1645"/>
      <c r="BU68" s="1645"/>
      <c r="BV68" s="1645"/>
      <c r="BW68" s="2366"/>
      <c r="BX68" s="2366"/>
      <c r="BY68" s="2366"/>
      <c r="BZ68" s="2366"/>
      <c r="CA68" s="1645"/>
      <c r="CB68" s="1645"/>
      <c r="CC68" s="1645"/>
      <c r="CD68" s="1645"/>
      <c r="CE68" s="1645"/>
      <c r="CF68" s="1645"/>
      <c r="CG68" s="1645"/>
      <c r="CH68" s="1645"/>
      <c r="CI68" s="1645"/>
      <c r="CJ68" s="1645"/>
      <c r="CK68" s="1645"/>
      <c r="CL68" s="1645"/>
      <c r="CM68" s="1645"/>
      <c r="CN68" s="1645"/>
      <c r="CO68" s="1645"/>
      <c r="CP68" s="1645"/>
      <c r="CQ68" s="1645"/>
      <c r="CR68" s="1645"/>
      <c r="CS68" s="1645"/>
      <c r="CT68" s="1652" t="s">
        <v>4970</v>
      </c>
      <c r="CU68" s="1645" t="s">
        <v>1999</v>
      </c>
      <c r="CV68" s="1650"/>
      <c r="CW68" s="1651" t="s">
        <v>4963</v>
      </c>
    </row>
    <row r="69" spans="2:103" ht="18" x14ac:dyDescent="0.35">
      <c r="B69" s="1642">
        <v>66</v>
      </c>
      <c r="C69" s="1643" t="s">
        <v>2389</v>
      </c>
      <c r="D69" s="1644" t="s">
        <v>4971</v>
      </c>
      <c r="E69" s="1645"/>
      <c r="F69" s="1645"/>
      <c r="G69" s="1645"/>
      <c r="H69" s="1645"/>
      <c r="I69" s="1645"/>
      <c r="J69" s="1645" t="s">
        <v>1650</v>
      </c>
      <c r="K69" s="1645"/>
      <c r="L69" s="1645"/>
      <c r="M69" s="1645"/>
      <c r="N69" s="1645"/>
      <c r="O69" s="1645"/>
      <c r="P69" s="1645" t="s">
        <v>1651</v>
      </c>
      <c r="Q69" s="1645"/>
      <c r="R69" s="1645"/>
      <c r="S69" s="1645"/>
      <c r="T69" s="1645"/>
      <c r="U69" s="1645"/>
      <c r="V69" s="1645"/>
      <c r="W69" s="1645"/>
      <c r="X69" s="1645"/>
      <c r="Y69" s="1645"/>
      <c r="Z69" s="1645">
        <v>-1</v>
      </c>
      <c r="AA69" s="1646" t="s">
        <v>2127</v>
      </c>
      <c r="AB69" s="1645"/>
      <c r="AC69" s="1645"/>
      <c r="AD69" s="1645"/>
      <c r="AE69" s="1645"/>
      <c r="AF69" s="1645"/>
      <c r="AG69" s="1645"/>
      <c r="AH69" s="1645"/>
      <c r="AI69" s="1645"/>
      <c r="AJ69" s="1645"/>
      <c r="AK69" s="1645" t="s">
        <v>1652</v>
      </c>
      <c r="AL69" s="1645"/>
      <c r="AM69" s="1646" t="s">
        <v>4972</v>
      </c>
      <c r="AN69" s="1645"/>
      <c r="AO69" s="1645"/>
      <c r="AP69" s="1645"/>
      <c r="AQ69" s="1645" t="s">
        <v>1653</v>
      </c>
      <c r="AR69" s="1645"/>
      <c r="AS69" s="1645"/>
      <c r="AT69" s="1645"/>
      <c r="AU69" s="1645"/>
      <c r="AV69" s="1647" t="s">
        <v>5402</v>
      </c>
      <c r="AW69" s="1645"/>
      <c r="AX69" s="1648"/>
      <c r="AY69" s="1648"/>
      <c r="AZ69" s="1648"/>
      <c r="BA69" s="1648"/>
      <c r="BB69" s="1645"/>
      <c r="BC69" s="1645"/>
      <c r="BD69" s="1645"/>
      <c r="BE69" s="1645"/>
      <c r="BF69" s="1645"/>
      <c r="BG69" s="1645"/>
      <c r="BH69" s="1645"/>
      <c r="BI69" s="1645"/>
      <c r="BJ69" s="1645"/>
      <c r="BK69" s="1645"/>
      <c r="BL69" s="1645"/>
      <c r="BM69" s="1645"/>
      <c r="BN69" s="1645"/>
      <c r="BO69" s="1645"/>
      <c r="BP69" s="1645"/>
      <c r="BQ69" s="1645"/>
      <c r="BR69" s="1645"/>
      <c r="BS69" s="1645"/>
      <c r="BT69" s="1645"/>
      <c r="BU69" s="1645"/>
      <c r="BV69" s="1645"/>
      <c r="BW69" s="2366"/>
      <c r="BX69" s="2366"/>
      <c r="BY69" s="2366"/>
      <c r="BZ69" s="2366"/>
      <c r="CA69" s="1645"/>
      <c r="CB69" s="1645"/>
      <c r="CC69" s="1645"/>
      <c r="CD69" s="1645"/>
      <c r="CE69" s="1645"/>
      <c r="CF69" s="1645"/>
      <c r="CG69" s="1645"/>
      <c r="CH69" s="1645"/>
      <c r="CI69" s="1645"/>
      <c r="CJ69" s="1645"/>
      <c r="CK69" s="1645"/>
      <c r="CL69" s="1645"/>
      <c r="CM69" s="1645"/>
      <c r="CN69" s="1645"/>
      <c r="CO69" s="1645"/>
      <c r="CP69" s="1645"/>
      <c r="CQ69" s="1645"/>
      <c r="CR69" s="1645"/>
      <c r="CS69" s="1645"/>
      <c r="CT69" s="1652" t="s">
        <v>4973</v>
      </c>
      <c r="CU69" s="1645" t="s">
        <v>1999</v>
      </c>
      <c r="CV69" s="1650"/>
      <c r="CW69" s="1651" t="s">
        <v>4963</v>
      </c>
    </row>
    <row r="70" spans="2:103" ht="18" x14ac:dyDescent="0.25">
      <c r="B70" s="1583">
        <v>67</v>
      </c>
      <c r="C70" s="551" t="s">
        <v>2390</v>
      </c>
      <c r="D70" s="552" t="s">
        <v>1672</v>
      </c>
      <c r="E70" s="506"/>
      <c r="F70" s="506"/>
      <c r="G70" s="506"/>
      <c r="H70" s="506">
        <v>-1</v>
      </c>
      <c r="I70" s="506">
        <v>1</v>
      </c>
      <c r="J70" s="506"/>
      <c r="K70" s="506"/>
      <c r="L70" s="506"/>
      <c r="M70" s="506"/>
      <c r="N70" s="506"/>
      <c r="O70" s="506"/>
      <c r="P70" s="506"/>
      <c r="Q70" s="506"/>
      <c r="R70" s="506"/>
      <c r="S70" s="506"/>
      <c r="T70" s="506"/>
      <c r="U70" s="506"/>
      <c r="V70" s="506"/>
      <c r="W70" s="506"/>
      <c r="X70" s="506"/>
      <c r="Y70" s="506"/>
      <c r="Z70" s="506"/>
      <c r="AA70" s="506"/>
      <c r="AB70" s="506"/>
      <c r="AC70" s="506"/>
      <c r="AD70" s="506"/>
      <c r="AE70" s="506"/>
      <c r="AF70" s="506"/>
      <c r="AG70" s="506"/>
      <c r="AH70" s="506"/>
      <c r="AI70" s="506"/>
      <c r="AJ70" s="506" t="s">
        <v>1673</v>
      </c>
      <c r="AK70" s="506"/>
      <c r="AL70" s="506"/>
      <c r="AM70" s="506"/>
      <c r="AN70" s="506"/>
      <c r="AO70" s="506"/>
      <c r="AP70" s="506" t="s">
        <v>1674</v>
      </c>
      <c r="AQ70" s="506"/>
      <c r="AR70" s="506"/>
      <c r="AS70" s="506"/>
      <c r="AT70" s="506"/>
      <c r="AU70" s="506"/>
      <c r="AV70" s="506"/>
      <c r="AW70" s="506"/>
      <c r="AX70" s="506"/>
      <c r="AY70" s="506"/>
      <c r="AZ70" s="506"/>
      <c r="BA70" s="506"/>
      <c r="BB70" s="506"/>
      <c r="BC70" s="506"/>
      <c r="BD70" s="506"/>
      <c r="BE70" s="506"/>
      <c r="BF70" s="506"/>
      <c r="BG70" s="506"/>
      <c r="BH70" s="506"/>
      <c r="BI70" s="506"/>
      <c r="BJ70" s="506"/>
      <c r="BK70" s="506"/>
      <c r="BL70" s="506"/>
      <c r="BM70" s="506"/>
      <c r="BN70" s="506"/>
      <c r="BO70" s="506"/>
      <c r="BP70" s="506"/>
      <c r="BQ70" s="506"/>
      <c r="BR70" s="506"/>
      <c r="BS70" s="506"/>
      <c r="BT70" s="506"/>
      <c r="BU70" s="506"/>
      <c r="BV70" s="506"/>
      <c r="BW70" s="2367"/>
      <c r="BX70" s="2367"/>
      <c r="BY70" s="2367"/>
      <c r="BZ70" s="2367"/>
      <c r="CA70" s="506"/>
      <c r="CB70" s="506"/>
      <c r="CC70" s="506"/>
      <c r="CD70" s="506"/>
      <c r="CE70" s="506"/>
      <c r="CF70" s="506"/>
      <c r="CG70" s="506"/>
      <c r="CH70" s="506"/>
      <c r="CI70" s="506"/>
      <c r="CJ70" s="506"/>
      <c r="CK70" s="506"/>
      <c r="CL70" s="506"/>
      <c r="CM70" s="506"/>
      <c r="CN70" s="506"/>
      <c r="CO70" s="506"/>
      <c r="CP70" s="506"/>
      <c r="CQ70" s="506"/>
      <c r="CR70" s="506"/>
      <c r="CS70" s="506"/>
      <c r="CT70" s="2393" t="s">
        <v>5324</v>
      </c>
      <c r="CU70" s="553" t="s">
        <v>1999</v>
      </c>
      <c r="CV70" s="553"/>
      <c r="CW70" s="1539"/>
      <c r="CY70" s="2058"/>
    </row>
    <row r="71" spans="2:103" ht="18" x14ac:dyDescent="0.25">
      <c r="B71" s="1583">
        <v>68</v>
      </c>
      <c r="C71" s="551" t="s">
        <v>2391</v>
      </c>
      <c r="D71" s="552" t="s">
        <v>1675</v>
      </c>
      <c r="E71" s="506"/>
      <c r="F71" s="506"/>
      <c r="G71" s="506"/>
      <c r="H71" s="506"/>
      <c r="I71" s="506"/>
      <c r="J71" s="506"/>
      <c r="K71" s="506"/>
      <c r="L71" s="506">
        <v>-1</v>
      </c>
      <c r="M71" s="506">
        <v>1</v>
      </c>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t="s">
        <v>1676</v>
      </c>
      <c r="AM71" s="506"/>
      <c r="AN71" s="506"/>
      <c r="AO71" s="506"/>
      <c r="AP71" s="506"/>
      <c r="AQ71" s="506"/>
      <c r="AR71" s="506" t="s">
        <v>1677</v>
      </c>
      <c r="AS71" s="506"/>
      <c r="AT71" s="506"/>
      <c r="AU71" s="506"/>
      <c r="AV71" s="506"/>
      <c r="AW71" s="506"/>
      <c r="AX71" s="506"/>
      <c r="AY71" s="506"/>
      <c r="AZ71" s="506"/>
      <c r="BA71" s="506"/>
      <c r="BB71" s="506"/>
      <c r="BC71" s="506"/>
      <c r="BD71" s="506"/>
      <c r="BE71" s="506"/>
      <c r="BF71" s="506"/>
      <c r="BG71" s="506"/>
      <c r="BH71" s="506"/>
      <c r="BI71" s="506"/>
      <c r="BJ71" s="506"/>
      <c r="BK71" s="506"/>
      <c r="BL71" s="506"/>
      <c r="BM71" s="506"/>
      <c r="BN71" s="506"/>
      <c r="BO71" s="506"/>
      <c r="BP71" s="506"/>
      <c r="BQ71" s="506"/>
      <c r="BR71" s="506"/>
      <c r="BS71" s="506"/>
      <c r="BT71" s="506"/>
      <c r="BU71" s="506"/>
      <c r="BV71" s="506"/>
      <c r="BW71" s="2367"/>
      <c r="BX71" s="2367"/>
      <c r="BY71" s="2367"/>
      <c r="BZ71" s="2367"/>
      <c r="CA71" s="506"/>
      <c r="CB71" s="506"/>
      <c r="CC71" s="506"/>
      <c r="CD71" s="506"/>
      <c r="CE71" s="506"/>
      <c r="CF71" s="506"/>
      <c r="CG71" s="506"/>
      <c r="CH71" s="506"/>
      <c r="CI71" s="506"/>
      <c r="CJ71" s="506"/>
      <c r="CK71" s="506"/>
      <c r="CL71" s="506"/>
      <c r="CM71" s="506"/>
      <c r="CN71" s="506"/>
      <c r="CO71" s="506"/>
      <c r="CP71" s="506"/>
      <c r="CQ71" s="506"/>
      <c r="CR71" s="506"/>
      <c r="CS71" s="506"/>
      <c r="CT71" s="2393" t="s">
        <v>5325</v>
      </c>
      <c r="CU71" s="553" t="s">
        <v>1999</v>
      </c>
      <c r="CV71" s="553"/>
      <c r="CW71" s="1539"/>
      <c r="CY71" s="2058"/>
    </row>
    <row r="72" spans="2:103" ht="18" x14ac:dyDescent="0.25">
      <c r="B72" s="1583">
        <v>69</v>
      </c>
      <c r="C72" s="551" t="s">
        <v>2392</v>
      </c>
      <c r="D72" s="552" t="s">
        <v>3301</v>
      </c>
      <c r="E72" s="506"/>
      <c r="F72" s="506"/>
      <c r="G72" s="506"/>
      <c r="H72" s="506">
        <v>-1</v>
      </c>
      <c r="I72" s="506">
        <v>1</v>
      </c>
      <c r="J72" s="506"/>
      <c r="K72" s="506"/>
      <c r="L72" s="506"/>
      <c r="M72" s="506"/>
      <c r="N72" s="506"/>
      <c r="O72" s="506"/>
      <c r="P72" s="506"/>
      <c r="Q72" s="506"/>
      <c r="R72" s="506"/>
      <c r="S72" s="506"/>
      <c r="T72" s="506"/>
      <c r="U72" s="506"/>
      <c r="V72" s="506"/>
      <c r="W72" s="506"/>
      <c r="X72" s="506"/>
      <c r="Y72" s="506"/>
      <c r="Z72" s="506"/>
      <c r="AA72" s="506"/>
      <c r="AB72" s="506"/>
      <c r="AC72" s="506"/>
      <c r="AD72" s="506"/>
      <c r="AE72" s="506"/>
      <c r="AF72" s="506"/>
      <c r="AG72" s="506"/>
      <c r="AH72" s="506"/>
      <c r="AI72" s="506"/>
      <c r="AJ72" s="506" t="s">
        <v>1673</v>
      </c>
      <c r="AK72" s="506"/>
      <c r="AL72" s="506"/>
      <c r="AM72" s="506"/>
      <c r="AN72" s="506"/>
      <c r="AO72" s="506"/>
      <c r="AP72" s="506" t="s">
        <v>1674</v>
      </c>
      <c r="AQ72" s="506"/>
      <c r="AR72" s="506"/>
      <c r="AS72" s="506"/>
      <c r="AT72" s="506"/>
      <c r="AU72" s="506"/>
      <c r="AV72" s="506"/>
      <c r="AW72" s="506"/>
      <c r="AX72" s="506"/>
      <c r="AY72" s="506"/>
      <c r="AZ72" s="506"/>
      <c r="BA72" s="506"/>
      <c r="BB72" s="506"/>
      <c r="BC72" s="506"/>
      <c r="BD72" s="506"/>
      <c r="BE72" s="506"/>
      <c r="BF72" s="506"/>
      <c r="BG72" s="506"/>
      <c r="BH72" s="506"/>
      <c r="BI72" s="506"/>
      <c r="BJ72" s="506"/>
      <c r="BK72" s="506"/>
      <c r="BL72" s="506"/>
      <c r="BM72" s="506"/>
      <c r="BN72" s="506"/>
      <c r="BO72" s="506"/>
      <c r="BP72" s="506"/>
      <c r="BQ72" s="506"/>
      <c r="BR72" s="506"/>
      <c r="BS72" s="506"/>
      <c r="BT72" s="506"/>
      <c r="BU72" s="506"/>
      <c r="BV72" s="506"/>
      <c r="BW72" s="2367"/>
      <c r="BX72" s="2367"/>
      <c r="BY72" s="2367"/>
      <c r="BZ72" s="2367"/>
      <c r="CA72" s="506"/>
      <c r="CB72" s="506"/>
      <c r="CC72" s="506"/>
      <c r="CD72" s="506"/>
      <c r="CE72" s="506"/>
      <c r="CF72" s="506"/>
      <c r="CG72" s="506"/>
      <c r="CH72" s="506"/>
      <c r="CI72" s="506"/>
      <c r="CJ72" s="506"/>
      <c r="CK72" s="506"/>
      <c r="CL72" s="506"/>
      <c r="CM72" s="506"/>
      <c r="CN72" s="506"/>
      <c r="CO72" s="506"/>
      <c r="CP72" s="506"/>
      <c r="CQ72" s="506"/>
      <c r="CR72" s="506"/>
      <c r="CS72" s="506"/>
      <c r="CT72" s="553" t="s">
        <v>3303</v>
      </c>
      <c r="CU72" s="553" t="s">
        <v>1999</v>
      </c>
      <c r="CV72" s="553"/>
      <c r="CW72" s="1539" t="s">
        <v>3310</v>
      </c>
      <c r="CY72" s="2058"/>
    </row>
    <row r="73" spans="2:103" ht="18" x14ac:dyDescent="0.25">
      <c r="B73" s="1583">
        <v>70</v>
      </c>
      <c r="C73" s="551" t="s">
        <v>2393</v>
      </c>
      <c r="D73" s="552" t="s">
        <v>3302</v>
      </c>
      <c r="E73" s="506"/>
      <c r="F73" s="506"/>
      <c r="G73" s="506"/>
      <c r="H73" s="506"/>
      <c r="I73" s="506"/>
      <c r="J73" s="506"/>
      <c r="K73" s="506"/>
      <c r="L73" s="506">
        <v>-1</v>
      </c>
      <c r="M73" s="506">
        <v>1</v>
      </c>
      <c r="N73" s="506"/>
      <c r="O73" s="506"/>
      <c r="P73" s="506"/>
      <c r="Q73" s="506"/>
      <c r="R73" s="506"/>
      <c r="S73" s="506"/>
      <c r="T73" s="506"/>
      <c r="U73" s="506"/>
      <c r="V73" s="506"/>
      <c r="W73" s="506"/>
      <c r="X73" s="506"/>
      <c r="Y73" s="506"/>
      <c r="Z73" s="506"/>
      <c r="AA73" s="506"/>
      <c r="AB73" s="506"/>
      <c r="AC73" s="506"/>
      <c r="AD73" s="506"/>
      <c r="AE73" s="506"/>
      <c r="AF73" s="506"/>
      <c r="AG73" s="506"/>
      <c r="AH73" s="506"/>
      <c r="AI73" s="506"/>
      <c r="AJ73" s="506"/>
      <c r="AK73" s="506"/>
      <c r="AL73" s="506" t="s">
        <v>1676</v>
      </c>
      <c r="AM73" s="506"/>
      <c r="AN73" s="506"/>
      <c r="AO73" s="506"/>
      <c r="AP73" s="506"/>
      <c r="AQ73" s="506"/>
      <c r="AR73" s="506" t="s">
        <v>1677</v>
      </c>
      <c r="AS73" s="506"/>
      <c r="AT73" s="506"/>
      <c r="AU73" s="506"/>
      <c r="AV73" s="506"/>
      <c r="AW73" s="506"/>
      <c r="AX73" s="506"/>
      <c r="AY73" s="506"/>
      <c r="AZ73" s="506"/>
      <c r="BA73" s="506"/>
      <c r="BB73" s="506"/>
      <c r="BC73" s="506"/>
      <c r="BD73" s="506"/>
      <c r="BE73" s="506"/>
      <c r="BF73" s="506"/>
      <c r="BG73" s="506"/>
      <c r="BH73" s="506"/>
      <c r="BI73" s="506"/>
      <c r="BJ73" s="506"/>
      <c r="BK73" s="506"/>
      <c r="BL73" s="506"/>
      <c r="BM73" s="506"/>
      <c r="BN73" s="506"/>
      <c r="BO73" s="506"/>
      <c r="BP73" s="506"/>
      <c r="BQ73" s="506"/>
      <c r="BR73" s="506"/>
      <c r="BS73" s="506"/>
      <c r="BT73" s="506"/>
      <c r="BU73" s="506"/>
      <c r="BV73" s="506"/>
      <c r="BW73" s="2367"/>
      <c r="BX73" s="2367"/>
      <c r="BY73" s="2367"/>
      <c r="BZ73" s="2367"/>
      <c r="CA73" s="506"/>
      <c r="CB73" s="506"/>
      <c r="CC73" s="506"/>
      <c r="CD73" s="506"/>
      <c r="CE73" s="506"/>
      <c r="CF73" s="506"/>
      <c r="CG73" s="506"/>
      <c r="CH73" s="506"/>
      <c r="CI73" s="506"/>
      <c r="CJ73" s="506"/>
      <c r="CK73" s="506"/>
      <c r="CL73" s="506"/>
      <c r="CM73" s="506"/>
      <c r="CN73" s="506"/>
      <c r="CO73" s="506"/>
      <c r="CP73" s="506"/>
      <c r="CQ73" s="506"/>
      <c r="CR73" s="506"/>
      <c r="CS73" s="506"/>
      <c r="CT73" s="553" t="s">
        <v>3304</v>
      </c>
      <c r="CU73" s="553" t="s">
        <v>1999</v>
      </c>
      <c r="CV73" s="553"/>
      <c r="CW73" s="1539" t="s">
        <v>3310</v>
      </c>
      <c r="CY73" s="2058"/>
    </row>
    <row r="74" spans="2:103" ht="18" x14ac:dyDescent="0.35">
      <c r="B74" s="1583">
        <v>71</v>
      </c>
      <c r="C74" s="551" t="s">
        <v>2404</v>
      </c>
      <c r="D74" s="552" t="s">
        <v>5393</v>
      </c>
      <c r="E74" s="506"/>
      <c r="F74" s="506">
        <v>1</v>
      </c>
      <c r="G74" s="506"/>
      <c r="H74" s="506"/>
      <c r="I74" s="506">
        <v>-1</v>
      </c>
      <c r="J74" s="506"/>
      <c r="K74" s="506"/>
      <c r="L74" s="506"/>
      <c r="M74" s="506"/>
      <c r="N74" s="506"/>
      <c r="O74" s="506"/>
      <c r="P74" s="506"/>
      <c r="Q74" s="506"/>
      <c r="R74" s="506"/>
      <c r="S74" s="506"/>
      <c r="T74" s="506"/>
      <c r="U74" s="506"/>
      <c r="V74" s="506"/>
      <c r="W74" s="506"/>
      <c r="X74" s="506"/>
      <c r="Y74" s="506"/>
      <c r="Z74" s="506"/>
      <c r="AA74" s="506"/>
      <c r="AB74" s="506"/>
      <c r="AC74" s="506"/>
      <c r="AD74" s="506"/>
      <c r="AE74" s="506"/>
      <c r="AF74" s="506"/>
      <c r="AG74" s="506"/>
      <c r="AH74" s="506"/>
      <c r="AI74" s="556" t="s">
        <v>1678</v>
      </c>
      <c r="AJ74" s="556" t="s">
        <v>1679</v>
      </c>
      <c r="AK74" s="556"/>
      <c r="AL74" s="506"/>
      <c r="AM74" s="506"/>
      <c r="AN74" s="506"/>
      <c r="AO74" s="556" t="s">
        <v>1680</v>
      </c>
      <c r="AP74" s="556" t="s">
        <v>1681</v>
      </c>
      <c r="AQ74" s="556"/>
      <c r="AR74" s="506"/>
      <c r="AS74" s="506"/>
      <c r="AT74" s="506"/>
      <c r="AU74" s="506"/>
      <c r="AV74" s="506"/>
      <c r="AW74" s="506"/>
      <c r="AX74" s="506"/>
      <c r="AY74" s="506"/>
      <c r="AZ74" s="506"/>
      <c r="BA74" s="506"/>
      <c r="BB74" s="506"/>
      <c r="BC74" s="506"/>
      <c r="BD74" s="506"/>
      <c r="BE74" s="506"/>
      <c r="BF74" s="506"/>
      <c r="BG74" s="506"/>
      <c r="BH74" s="506"/>
      <c r="BI74" s="506"/>
      <c r="BJ74" s="506"/>
      <c r="BK74" s="506"/>
      <c r="BL74" s="506"/>
      <c r="BM74" s="506"/>
      <c r="BN74" s="506"/>
      <c r="BO74" s="506"/>
      <c r="BP74" s="506"/>
      <c r="BQ74" s="506"/>
      <c r="BR74" s="506"/>
      <c r="BS74" s="506"/>
      <c r="BT74" s="506"/>
      <c r="BU74" s="506"/>
      <c r="BV74" s="506"/>
      <c r="BW74" s="2367"/>
      <c r="BX74" s="2367"/>
      <c r="BY74" s="2367"/>
      <c r="BZ74" s="2367"/>
      <c r="CA74" s="506"/>
      <c r="CB74" s="506"/>
      <c r="CC74" s="506"/>
      <c r="CD74" s="506"/>
      <c r="CE74" s="506"/>
      <c r="CF74" s="506"/>
      <c r="CG74" s="506"/>
      <c r="CH74" s="506"/>
      <c r="CI74" s="506"/>
      <c r="CJ74" s="506"/>
      <c r="CK74" s="506"/>
      <c r="CL74" s="506"/>
      <c r="CM74" s="506"/>
      <c r="CN74" s="506"/>
      <c r="CO74" s="506"/>
      <c r="CP74" s="506"/>
      <c r="CQ74" s="506"/>
      <c r="CR74" s="506"/>
      <c r="CS74" s="506"/>
      <c r="CT74" s="553" t="s">
        <v>5410</v>
      </c>
      <c r="CU74" s="553" t="s">
        <v>1999</v>
      </c>
      <c r="CV74" s="553"/>
      <c r="CW74" s="1539"/>
    </row>
    <row r="75" spans="2:103" ht="18" x14ac:dyDescent="0.25">
      <c r="B75" s="2426">
        <v>72</v>
      </c>
      <c r="C75" s="2427" t="s">
        <v>2405</v>
      </c>
      <c r="D75" s="553" t="s">
        <v>5409</v>
      </c>
      <c r="E75" s="506"/>
      <c r="F75" s="506">
        <v>1</v>
      </c>
      <c r="G75" s="506"/>
      <c r="H75" s="506"/>
      <c r="I75" s="506"/>
      <c r="J75" s="506">
        <v>-1</v>
      </c>
      <c r="K75" s="506"/>
      <c r="L75" s="506"/>
      <c r="M75" s="506"/>
      <c r="N75" s="506"/>
      <c r="O75" s="506"/>
      <c r="P75" s="506"/>
      <c r="Q75" s="506"/>
      <c r="R75" s="506"/>
      <c r="S75" s="506"/>
      <c r="T75" s="506"/>
      <c r="U75" s="506"/>
      <c r="V75" s="506"/>
      <c r="W75" s="506"/>
      <c r="X75" s="506"/>
      <c r="Y75" s="506"/>
      <c r="Z75" s="506"/>
      <c r="AA75" s="506"/>
      <c r="AB75" s="506"/>
      <c r="AC75" s="506"/>
      <c r="AD75" s="506"/>
      <c r="AE75" s="506"/>
      <c r="AF75" s="506"/>
      <c r="AG75" s="506"/>
      <c r="AH75" s="506"/>
      <c r="AI75" s="556" t="s">
        <v>5403</v>
      </c>
      <c r="AJ75" s="556"/>
      <c r="AK75" s="556" t="s">
        <v>5404</v>
      </c>
      <c r="AL75" s="506"/>
      <c r="AM75" s="506"/>
      <c r="AN75" s="506"/>
      <c r="AO75" s="556" t="s">
        <v>5405</v>
      </c>
      <c r="AP75" s="556"/>
      <c r="AQ75" s="556" t="s">
        <v>5406</v>
      </c>
      <c r="AR75" s="506"/>
      <c r="AS75" s="506"/>
      <c r="AT75" s="506"/>
      <c r="AU75" s="506"/>
      <c r="AV75" s="506" t="s">
        <v>5407</v>
      </c>
      <c r="AW75" s="506" t="s">
        <v>2428</v>
      </c>
      <c r="AX75" s="506" t="s">
        <v>3533</v>
      </c>
      <c r="AY75" s="506" t="s">
        <v>3534</v>
      </c>
      <c r="AZ75" s="506" t="s">
        <v>3535</v>
      </c>
      <c r="BA75" s="506" t="s">
        <v>3536</v>
      </c>
      <c r="BB75" s="506"/>
      <c r="BC75" s="506"/>
      <c r="BD75" s="506"/>
      <c r="BE75" s="506"/>
      <c r="BF75" s="506"/>
      <c r="BG75" s="506"/>
      <c r="BH75" s="506"/>
      <c r="BI75" s="506"/>
      <c r="BJ75" s="506"/>
      <c r="BK75" s="506"/>
      <c r="BL75" s="506"/>
      <c r="BM75" s="506"/>
      <c r="BN75" s="506"/>
      <c r="BO75" s="506"/>
      <c r="BP75" s="506"/>
      <c r="BQ75" s="506"/>
      <c r="BR75" s="506"/>
      <c r="BS75" s="506"/>
      <c r="BT75" s="506"/>
      <c r="BU75" s="506"/>
      <c r="BV75" s="506"/>
      <c r="BW75" s="506"/>
      <c r="BX75" s="506"/>
      <c r="BY75" s="506"/>
      <c r="BZ75" s="506"/>
      <c r="CA75" s="506"/>
      <c r="CB75" s="506"/>
      <c r="CC75" s="506"/>
      <c r="CD75" s="506"/>
      <c r="CE75" s="506"/>
      <c r="CF75" s="506"/>
      <c r="CG75" s="506"/>
      <c r="CH75" s="506"/>
      <c r="CI75" s="506"/>
      <c r="CJ75" s="506"/>
      <c r="CK75" s="506"/>
      <c r="CL75" s="506"/>
      <c r="CM75" s="506"/>
      <c r="CN75" s="506"/>
      <c r="CO75" s="506"/>
      <c r="CP75" s="2428"/>
      <c r="CQ75" s="2428"/>
      <c r="CR75" s="2428"/>
      <c r="CS75" s="2428"/>
      <c r="CT75" s="1539" t="s">
        <v>5408</v>
      </c>
      <c r="CU75" s="2429" t="s">
        <v>1999</v>
      </c>
      <c r="CV75" s="553"/>
      <c r="CW75" s="1539"/>
    </row>
    <row r="76" spans="2:103" ht="18" x14ac:dyDescent="0.35">
      <c r="B76" s="1583">
        <v>73</v>
      </c>
      <c r="C76" s="551" t="s">
        <v>2822</v>
      </c>
      <c r="D76" s="552" t="s">
        <v>5394</v>
      </c>
      <c r="E76" s="506"/>
      <c r="F76" s="506"/>
      <c r="G76" s="506"/>
      <c r="H76" s="506"/>
      <c r="I76" s="506"/>
      <c r="J76" s="506"/>
      <c r="K76" s="506"/>
      <c r="L76" s="506"/>
      <c r="M76" s="506"/>
      <c r="N76" s="506"/>
      <c r="O76" s="506"/>
      <c r="P76" s="506"/>
      <c r="Q76" s="506"/>
      <c r="R76" s="506"/>
      <c r="S76" s="506"/>
      <c r="T76" s="506"/>
      <c r="U76" s="506"/>
      <c r="V76" s="506"/>
      <c r="W76" s="506"/>
      <c r="X76" s="506"/>
      <c r="Y76" s="506"/>
      <c r="Z76" s="506"/>
      <c r="AA76" s="506">
        <v>1</v>
      </c>
      <c r="AB76" s="506"/>
      <c r="AC76" s="506"/>
      <c r="AD76" s="506"/>
      <c r="AE76" s="506"/>
      <c r="AF76" s="506"/>
      <c r="AG76" s="506"/>
      <c r="AH76" s="506"/>
      <c r="AI76" s="506">
        <v>-1</v>
      </c>
      <c r="AJ76" s="506"/>
      <c r="AK76" s="506"/>
      <c r="AL76" s="506"/>
      <c r="AM76" s="506"/>
      <c r="AN76" s="506"/>
      <c r="AO76" s="506"/>
      <c r="AP76" s="506"/>
      <c r="AQ76" s="506"/>
      <c r="AR76" s="506"/>
      <c r="AS76" s="506"/>
      <c r="AT76" s="506"/>
      <c r="AU76" s="506"/>
      <c r="AV76" s="506"/>
      <c r="AW76" s="506"/>
      <c r="AX76" s="506"/>
      <c r="AY76" s="506"/>
      <c r="AZ76" s="506"/>
      <c r="BA76" s="506"/>
      <c r="BB76" s="506"/>
      <c r="BC76" s="506"/>
      <c r="BD76" s="506"/>
      <c r="BE76" s="506"/>
      <c r="BF76" s="506"/>
      <c r="BG76" s="506"/>
      <c r="BH76" s="506"/>
      <c r="BI76" s="506"/>
      <c r="BJ76" s="506"/>
      <c r="BK76" s="506"/>
      <c r="BL76" s="506"/>
      <c r="BM76" s="506"/>
      <c r="BN76" s="506"/>
      <c r="BO76" s="506"/>
      <c r="BP76" s="506"/>
      <c r="BQ76" s="506"/>
      <c r="BR76" s="506"/>
      <c r="BS76" s="506"/>
      <c r="BT76" s="506"/>
      <c r="BU76" s="506"/>
      <c r="BV76" s="506"/>
      <c r="BW76" s="2367"/>
      <c r="BX76" s="2367"/>
      <c r="BY76" s="2367"/>
      <c r="BZ76" s="2367"/>
      <c r="CA76" s="506"/>
      <c r="CB76" s="506"/>
      <c r="CC76" s="506"/>
      <c r="CD76" s="506"/>
      <c r="CE76" s="506"/>
      <c r="CF76" s="506"/>
      <c r="CG76" s="506"/>
      <c r="CH76" s="506"/>
      <c r="CI76" s="506"/>
      <c r="CJ76" s="506"/>
      <c r="CK76" s="506"/>
      <c r="CL76" s="506"/>
      <c r="CM76" s="506"/>
      <c r="CN76" s="506"/>
      <c r="CO76" s="506"/>
      <c r="CP76" s="506"/>
      <c r="CQ76" s="506"/>
      <c r="CR76" s="506"/>
      <c r="CS76" s="506"/>
      <c r="CT76" s="553" t="s">
        <v>5029</v>
      </c>
      <c r="CU76" s="553" t="s">
        <v>1999</v>
      </c>
      <c r="CV76" s="553"/>
      <c r="CW76" s="1539"/>
    </row>
    <row r="77" spans="2:103" ht="18" x14ac:dyDescent="0.35">
      <c r="B77" s="1583">
        <v>74</v>
      </c>
      <c r="C77" s="551" t="s">
        <v>2823</v>
      </c>
      <c r="D77" s="552" t="s">
        <v>1682</v>
      </c>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v>1</v>
      </c>
      <c r="AN77" s="506"/>
      <c r="AO77" s="506">
        <v>-1</v>
      </c>
      <c r="AP77" s="506"/>
      <c r="AQ77" s="506"/>
      <c r="AR77" s="506"/>
      <c r="AS77" s="506"/>
      <c r="AT77" s="506"/>
      <c r="AU77" s="506"/>
      <c r="AV77" s="506"/>
      <c r="AW77" s="506"/>
      <c r="AX77" s="506"/>
      <c r="AY77" s="506"/>
      <c r="AZ77" s="506"/>
      <c r="BA77" s="506"/>
      <c r="BB77" s="506"/>
      <c r="BC77" s="506"/>
      <c r="BD77" s="506"/>
      <c r="BE77" s="506"/>
      <c r="BF77" s="506"/>
      <c r="BG77" s="506"/>
      <c r="BH77" s="506"/>
      <c r="BI77" s="506"/>
      <c r="BJ77" s="506"/>
      <c r="BK77" s="506"/>
      <c r="BL77" s="506"/>
      <c r="BM77" s="506"/>
      <c r="BN77" s="506"/>
      <c r="BO77" s="506"/>
      <c r="BP77" s="506"/>
      <c r="BQ77" s="506"/>
      <c r="BR77" s="506"/>
      <c r="BS77" s="506"/>
      <c r="BT77" s="506"/>
      <c r="BU77" s="506"/>
      <c r="BV77" s="506"/>
      <c r="BW77" s="2367"/>
      <c r="BX77" s="2367"/>
      <c r="BY77" s="2367"/>
      <c r="BZ77" s="2367"/>
      <c r="CA77" s="506"/>
      <c r="CB77" s="506"/>
      <c r="CC77" s="506"/>
      <c r="CD77" s="506"/>
      <c r="CE77" s="506"/>
      <c r="CF77" s="506"/>
      <c r="CG77" s="506"/>
      <c r="CH77" s="506"/>
      <c r="CI77" s="506"/>
      <c r="CJ77" s="506"/>
      <c r="CK77" s="506"/>
      <c r="CL77" s="506"/>
      <c r="CM77" s="506"/>
      <c r="CN77" s="506"/>
      <c r="CO77" s="506"/>
      <c r="CP77" s="506"/>
      <c r="CQ77" s="506"/>
      <c r="CR77" s="506"/>
      <c r="CS77" s="506"/>
      <c r="CT77" s="553" t="s">
        <v>5030</v>
      </c>
      <c r="CU77" s="553" t="s">
        <v>1999</v>
      </c>
      <c r="CV77" s="553"/>
      <c r="CW77" s="1539"/>
    </row>
    <row r="78" spans="2:103" ht="18" x14ac:dyDescent="0.35">
      <c r="B78" s="1583">
        <v>75</v>
      </c>
      <c r="C78" s="551" t="s">
        <v>2941</v>
      </c>
      <c r="D78" s="552" t="s">
        <v>5395</v>
      </c>
      <c r="E78" s="506"/>
      <c r="F78" s="506"/>
      <c r="G78" s="506"/>
      <c r="H78" s="506"/>
      <c r="I78" s="506">
        <v>1</v>
      </c>
      <c r="J78" s="506"/>
      <c r="K78" s="506"/>
      <c r="L78" s="506"/>
      <c r="M78" s="506"/>
      <c r="N78" s="506"/>
      <c r="O78" s="506"/>
      <c r="P78" s="506">
        <v>-1</v>
      </c>
      <c r="Q78" s="506"/>
      <c r="R78" s="506"/>
      <c r="S78" s="506"/>
      <c r="T78" s="506"/>
      <c r="U78" s="506"/>
      <c r="V78" s="506"/>
      <c r="W78" s="506"/>
      <c r="X78" s="506"/>
      <c r="Y78" s="506"/>
      <c r="Z78" s="506"/>
      <c r="AA78" s="506"/>
      <c r="AB78" s="506"/>
      <c r="AC78" s="506"/>
      <c r="AD78" s="506"/>
      <c r="AE78" s="506"/>
      <c r="AF78" s="506"/>
      <c r="AG78" s="506"/>
      <c r="AH78" s="506"/>
      <c r="AI78" s="506"/>
      <c r="AJ78" s="506" t="s">
        <v>2126</v>
      </c>
      <c r="AK78" s="506"/>
      <c r="AL78" s="506"/>
      <c r="AM78" s="506"/>
      <c r="AN78" s="506"/>
      <c r="AO78" s="506"/>
      <c r="AP78" s="506" t="s">
        <v>1621</v>
      </c>
      <c r="AQ78" s="506"/>
      <c r="AR78" s="506"/>
      <c r="AS78" s="506"/>
      <c r="AT78" s="506"/>
      <c r="AU78" s="506"/>
      <c r="AV78" s="506" t="s">
        <v>1971</v>
      </c>
      <c r="AW78" s="506"/>
      <c r="AX78" s="506"/>
      <c r="AY78" s="506"/>
      <c r="AZ78" s="506"/>
      <c r="BA78" s="506"/>
      <c r="BB78" s="506"/>
      <c r="BC78" s="506"/>
      <c r="BD78" s="506"/>
      <c r="BE78" s="506"/>
      <c r="BF78" s="506"/>
      <c r="BG78" s="506"/>
      <c r="BH78" s="506"/>
      <c r="BI78" s="506"/>
      <c r="BJ78" s="506"/>
      <c r="BK78" s="506"/>
      <c r="BL78" s="506"/>
      <c r="BM78" s="506"/>
      <c r="BN78" s="506"/>
      <c r="BO78" s="506"/>
      <c r="BP78" s="506"/>
      <c r="BQ78" s="506"/>
      <c r="BR78" s="506"/>
      <c r="BS78" s="506"/>
      <c r="BT78" s="506"/>
      <c r="BU78" s="506"/>
      <c r="BV78" s="506"/>
      <c r="BW78" s="2367"/>
      <c r="BX78" s="2367"/>
      <c r="BY78" s="2367"/>
      <c r="BZ78" s="2367"/>
      <c r="CA78" s="506"/>
      <c r="CB78" s="506"/>
      <c r="CC78" s="506"/>
      <c r="CD78" s="506"/>
      <c r="CE78" s="506"/>
      <c r="CF78" s="506"/>
      <c r="CG78" s="506"/>
      <c r="CH78" s="506"/>
      <c r="CI78" s="506"/>
      <c r="CJ78" s="506"/>
      <c r="CK78" s="506"/>
      <c r="CL78" s="506"/>
      <c r="CM78" s="506"/>
      <c r="CN78" s="506"/>
      <c r="CO78" s="506"/>
      <c r="CP78" s="506"/>
      <c r="CQ78" s="506"/>
      <c r="CR78" s="506"/>
      <c r="CS78" s="506"/>
      <c r="CT78" s="553" t="s">
        <v>1723</v>
      </c>
      <c r="CU78" s="553" t="s">
        <v>1999</v>
      </c>
      <c r="CV78" s="553"/>
      <c r="CW78" s="1539"/>
    </row>
    <row r="79" spans="2:103" ht="18" x14ac:dyDescent="0.35">
      <c r="B79" s="1583">
        <v>76</v>
      </c>
      <c r="C79" s="551" t="s">
        <v>2942</v>
      </c>
      <c r="D79" s="552" t="s">
        <v>5396</v>
      </c>
      <c r="E79" s="506"/>
      <c r="F79" s="506">
        <v>1</v>
      </c>
      <c r="G79" s="506"/>
      <c r="H79" s="506"/>
      <c r="I79" s="506"/>
      <c r="J79" s="506"/>
      <c r="K79" s="506"/>
      <c r="L79" s="506"/>
      <c r="M79" s="506"/>
      <c r="N79" s="506"/>
      <c r="O79" s="506"/>
      <c r="P79" s="506"/>
      <c r="Q79" s="506">
        <v>-1</v>
      </c>
      <c r="R79" s="506"/>
      <c r="S79" s="506"/>
      <c r="T79" s="506"/>
      <c r="U79" s="506"/>
      <c r="V79" s="506"/>
      <c r="W79" s="506"/>
      <c r="X79" s="506"/>
      <c r="Y79" s="506"/>
      <c r="Z79" s="506"/>
      <c r="AA79" s="506"/>
      <c r="AB79" s="506"/>
      <c r="AC79" s="506"/>
      <c r="AD79" s="506"/>
      <c r="AE79" s="506"/>
      <c r="AF79" s="506"/>
      <c r="AG79" s="506"/>
      <c r="AH79" s="506"/>
      <c r="AI79" s="506"/>
      <c r="AJ79" s="506" t="s">
        <v>2126</v>
      </c>
      <c r="AK79" s="506"/>
      <c r="AL79" s="506"/>
      <c r="AM79" s="506"/>
      <c r="AN79" s="506"/>
      <c r="AO79" s="506"/>
      <c r="AP79" s="506" t="s">
        <v>1621</v>
      </c>
      <c r="AQ79" s="506"/>
      <c r="AR79" s="506"/>
      <c r="AS79" s="506"/>
      <c r="AT79" s="506"/>
      <c r="AU79" s="506"/>
      <c r="AV79" s="506" t="s">
        <v>1971</v>
      </c>
      <c r="AW79" s="506"/>
      <c r="AX79" s="506"/>
      <c r="AY79" s="506"/>
      <c r="AZ79" s="506"/>
      <c r="BA79" s="506"/>
      <c r="BB79" s="506"/>
      <c r="BC79" s="506"/>
      <c r="BD79" s="506"/>
      <c r="BE79" s="506"/>
      <c r="BF79" s="506"/>
      <c r="BG79" s="506"/>
      <c r="BH79" s="506"/>
      <c r="BI79" s="506"/>
      <c r="BJ79" s="506"/>
      <c r="BK79" s="506"/>
      <c r="BL79" s="506"/>
      <c r="BM79" s="506"/>
      <c r="BN79" s="506"/>
      <c r="BO79" s="506"/>
      <c r="BP79" s="506"/>
      <c r="BQ79" s="506"/>
      <c r="BR79" s="506"/>
      <c r="BS79" s="506"/>
      <c r="BT79" s="506"/>
      <c r="BU79" s="506"/>
      <c r="BV79" s="506"/>
      <c r="BW79" s="2367"/>
      <c r="BX79" s="2367"/>
      <c r="BY79" s="2367"/>
      <c r="BZ79" s="2367"/>
      <c r="CA79" s="506"/>
      <c r="CB79" s="506"/>
      <c r="CC79" s="506"/>
      <c r="CD79" s="506"/>
      <c r="CE79" s="506"/>
      <c r="CF79" s="506"/>
      <c r="CG79" s="506"/>
      <c r="CH79" s="506"/>
      <c r="CI79" s="506"/>
      <c r="CJ79" s="506"/>
      <c r="CK79" s="506"/>
      <c r="CL79" s="506"/>
      <c r="CM79" s="506"/>
      <c r="CN79" s="506"/>
      <c r="CO79" s="506"/>
      <c r="CP79" s="506"/>
      <c r="CQ79" s="506"/>
      <c r="CR79" s="506"/>
      <c r="CS79" s="506"/>
      <c r="CT79" s="553" t="s">
        <v>5411</v>
      </c>
      <c r="CU79" s="553" t="s">
        <v>1999</v>
      </c>
      <c r="CV79" s="553"/>
      <c r="CW79" s="1539"/>
    </row>
    <row r="80" spans="2:103" ht="18" x14ac:dyDescent="0.25">
      <c r="B80" s="1583">
        <v>77</v>
      </c>
      <c r="C80" s="551" t="s">
        <v>2943</v>
      </c>
      <c r="D80" s="553" t="s">
        <v>5397</v>
      </c>
      <c r="E80" s="506"/>
      <c r="F80" s="506"/>
      <c r="G80" s="506"/>
      <c r="H80" s="506"/>
      <c r="I80" s="506">
        <v>1</v>
      </c>
      <c r="J80" s="506"/>
      <c r="K80" s="506"/>
      <c r="L80" s="506"/>
      <c r="M80" s="506">
        <v>-1</v>
      </c>
      <c r="N80" s="506"/>
      <c r="O80" s="506"/>
      <c r="P80" s="506"/>
      <c r="Q80" s="506"/>
      <c r="R80" s="506"/>
      <c r="S80" s="506"/>
      <c r="T80" s="506"/>
      <c r="U80" s="506"/>
      <c r="V80" s="506"/>
      <c r="W80" s="506"/>
      <c r="X80" s="506"/>
      <c r="Y80" s="506"/>
      <c r="Z80" s="506"/>
      <c r="AA80" s="506"/>
      <c r="AB80" s="506"/>
      <c r="AC80" s="506"/>
      <c r="AD80" s="506"/>
      <c r="AE80" s="506"/>
      <c r="AF80" s="506"/>
      <c r="AG80" s="506"/>
      <c r="AH80" s="506"/>
      <c r="AI80" s="506"/>
      <c r="AJ80" s="556" t="s">
        <v>4896</v>
      </c>
      <c r="AK80" s="556"/>
      <c r="AL80" s="556" t="s">
        <v>4897</v>
      </c>
      <c r="AM80" s="506"/>
      <c r="AN80" s="506"/>
      <c r="AO80" s="506"/>
      <c r="AP80" s="556" t="s">
        <v>4898</v>
      </c>
      <c r="AQ80" s="556"/>
      <c r="AR80" s="556" t="s">
        <v>4899</v>
      </c>
      <c r="AS80" s="506"/>
      <c r="AT80" s="506"/>
      <c r="AU80" s="506"/>
      <c r="AV80" s="506"/>
      <c r="AW80" s="506"/>
      <c r="AX80" s="506"/>
      <c r="AY80" s="506"/>
      <c r="AZ80" s="506"/>
      <c r="BA80" s="506"/>
      <c r="BB80" s="506"/>
      <c r="BC80" s="506"/>
      <c r="BD80" s="506"/>
      <c r="BE80" s="506"/>
      <c r="BF80" s="506"/>
      <c r="BG80" s="506"/>
      <c r="BH80" s="506"/>
      <c r="BI80" s="506"/>
      <c r="BJ80" s="506"/>
      <c r="BK80" s="506"/>
      <c r="BL80" s="506"/>
      <c r="BM80" s="506"/>
      <c r="BN80" s="506"/>
      <c r="BO80" s="506"/>
      <c r="BP80" s="506"/>
      <c r="BQ80" s="506"/>
      <c r="BR80" s="506"/>
      <c r="BS80" s="506"/>
      <c r="BT80" s="506"/>
      <c r="BU80" s="506"/>
      <c r="BV80" s="506"/>
      <c r="BW80" s="2367"/>
      <c r="BX80" s="2367"/>
      <c r="BY80" s="2367"/>
      <c r="BZ80" s="2367"/>
      <c r="CA80" s="506"/>
      <c r="CB80" s="506"/>
      <c r="CC80" s="506"/>
      <c r="CD80" s="506"/>
      <c r="CE80" s="506"/>
      <c r="CF80" s="506"/>
      <c r="CG80" s="506"/>
      <c r="CH80" s="506"/>
      <c r="CI80" s="506"/>
      <c r="CJ80" s="506"/>
      <c r="CK80" s="506"/>
      <c r="CL80" s="506"/>
      <c r="CM80" s="506"/>
      <c r="CN80" s="506"/>
      <c r="CO80" s="506"/>
      <c r="CP80" s="506"/>
      <c r="CQ80" s="506"/>
      <c r="CR80" s="506"/>
      <c r="CS80" s="506"/>
      <c r="CT80" s="553" t="s">
        <v>4903</v>
      </c>
      <c r="CU80" s="553" t="s">
        <v>1999</v>
      </c>
      <c r="CV80" s="553"/>
      <c r="CW80" s="1539"/>
    </row>
    <row r="81" spans="2:102" ht="18" x14ac:dyDescent="0.25">
      <c r="B81" s="1583">
        <v>78</v>
      </c>
      <c r="C81" s="551" t="s">
        <v>2944</v>
      </c>
      <c r="D81" s="552" t="s">
        <v>294</v>
      </c>
      <c r="E81" s="555" t="s">
        <v>1371</v>
      </c>
      <c r="F81" s="506"/>
      <c r="G81" s="506">
        <v>-1</v>
      </c>
      <c r="H81" s="506"/>
      <c r="I81" s="506"/>
      <c r="J81" s="506"/>
      <c r="K81" s="506"/>
      <c r="L81" s="506"/>
      <c r="M81" s="506"/>
      <c r="N81" s="506"/>
      <c r="O81" s="506"/>
      <c r="P81" s="506"/>
      <c r="Q81" s="506"/>
      <c r="R81" s="506"/>
      <c r="S81" s="506"/>
      <c r="T81" s="506"/>
      <c r="U81" s="506"/>
      <c r="V81" s="506"/>
      <c r="W81" s="506"/>
      <c r="X81" s="506"/>
      <c r="Y81" s="506"/>
      <c r="Z81" s="506"/>
      <c r="AA81" s="506"/>
      <c r="AB81" s="506"/>
      <c r="AC81" s="506"/>
      <c r="AD81" s="506"/>
      <c r="AE81" s="506"/>
      <c r="AF81" s="506"/>
      <c r="AG81" s="506"/>
      <c r="AH81" s="506"/>
      <c r="AI81" s="506"/>
      <c r="AJ81" s="506"/>
      <c r="AK81" s="506"/>
      <c r="AL81" s="506"/>
      <c r="AM81" s="506"/>
      <c r="AN81" s="506"/>
      <c r="AO81" s="506"/>
      <c r="AP81" s="506"/>
      <c r="AQ81" s="506"/>
      <c r="AR81" s="506"/>
      <c r="AS81" s="506"/>
      <c r="AT81" s="506"/>
      <c r="AU81" s="556" t="s">
        <v>1372</v>
      </c>
      <c r="AV81" s="506" t="s">
        <v>1960</v>
      </c>
      <c r="AW81" s="506"/>
      <c r="AX81" s="506"/>
      <c r="AY81" s="506"/>
      <c r="AZ81" s="506"/>
      <c r="BA81" s="506"/>
      <c r="BB81" s="506"/>
      <c r="BC81" s="506"/>
      <c r="BD81" s="506"/>
      <c r="BE81" s="506"/>
      <c r="BF81" s="506"/>
      <c r="BG81" s="506"/>
      <c r="BH81" s="506"/>
      <c r="BI81" s="506"/>
      <c r="BJ81" s="506"/>
      <c r="BK81" s="506"/>
      <c r="BL81" s="506"/>
      <c r="BM81" s="506"/>
      <c r="BN81" s="506"/>
      <c r="BO81" s="506"/>
      <c r="BP81" s="506"/>
      <c r="BQ81" s="506"/>
      <c r="BR81" s="506"/>
      <c r="BS81" s="506"/>
      <c r="BT81" s="506"/>
      <c r="BU81" s="506"/>
      <c r="BV81" s="506"/>
      <c r="BW81" s="2367"/>
      <c r="BX81" s="2367"/>
      <c r="BY81" s="2367"/>
      <c r="BZ81" s="2367"/>
      <c r="CA81" s="506"/>
      <c r="CB81" s="506"/>
      <c r="CC81" s="506"/>
      <c r="CD81" s="506"/>
      <c r="CE81" s="506"/>
      <c r="CF81" s="506"/>
      <c r="CG81" s="506"/>
      <c r="CH81" s="506"/>
      <c r="CI81" s="506"/>
      <c r="CJ81" s="506"/>
      <c r="CK81" s="506"/>
      <c r="CL81" s="506"/>
      <c r="CM81" s="506"/>
      <c r="CN81" s="506"/>
      <c r="CO81" s="506"/>
      <c r="CP81" s="506"/>
      <c r="CQ81" s="506"/>
      <c r="CR81" s="506"/>
      <c r="CS81" s="506"/>
      <c r="CT81" s="553" t="s">
        <v>2398</v>
      </c>
      <c r="CU81" s="553" t="s">
        <v>1999</v>
      </c>
      <c r="CV81" s="553" t="s">
        <v>297</v>
      </c>
      <c r="CW81" s="1539"/>
    </row>
    <row r="82" spans="2:102" ht="18" x14ac:dyDescent="0.35">
      <c r="B82" s="1583">
        <v>79</v>
      </c>
      <c r="C82" s="551" t="s">
        <v>2945</v>
      </c>
      <c r="D82" s="552" t="s">
        <v>2292</v>
      </c>
      <c r="E82" s="506"/>
      <c r="F82" s="506"/>
      <c r="G82" s="506"/>
      <c r="H82" s="506"/>
      <c r="I82" s="506"/>
      <c r="J82" s="506"/>
      <c r="K82" s="506"/>
      <c r="L82" s="506"/>
      <c r="M82" s="506"/>
      <c r="N82" s="506"/>
      <c r="O82" s="506"/>
      <c r="P82" s="506"/>
      <c r="Q82" s="506"/>
      <c r="R82" s="556" t="s">
        <v>5032</v>
      </c>
      <c r="S82" s="556" t="s">
        <v>5033</v>
      </c>
      <c r="T82" s="556" t="s">
        <v>5034</v>
      </c>
      <c r="U82" s="556" t="s">
        <v>5035</v>
      </c>
      <c r="V82" s="556" t="s">
        <v>5036</v>
      </c>
      <c r="W82" s="556" t="s">
        <v>5037</v>
      </c>
      <c r="X82" s="556" t="s">
        <v>5038</v>
      </c>
      <c r="Y82" s="556" t="s">
        <v>5039</v>
      </c>
      <c r="Z82" s="556" t="s">
        <v>5040</v>
      </c>
      <c r="AA82" s="506" t="s">
        <v>5041</v>
      </c>
      <c r="AB82" s="506"/>
      <c r="AC82" s="506"/>
      <c r="AD82" s="506">
        <v>-1</v>
      </c>
      <c r="AE82" s="506"/>
      <c r="AF82" s="506"/>
      <c r="AG82" s="506"/>
      <c r="AH82" s="506"/>
      <c r="AI82" s="506"/>
      <c r="AJ82" s="506"/>
      <c r="AK82" s="506"/>
      <c r="AL82" s="506"/>
      <c r="AM82" s="506" t="s">
        <v>5052</v>
      </c>
      <c r="AN82" s="506"/>
      <c r="AO82" s="506"/>
      <c r="AP82" s="506"/>
      <c r="AQ82" s="506"/>
      <c r="AR82" s="506"/>
      <c r="AS82" s="506"/>
      <c r="AT82" s="506"/>
      <c r="AU82" s="506"/>
      <c r="AV82" s="506" t="s">
        <v>5054</v>
      </c>
      <c r="AW82" s="506"/>
      <c r="AX82" s="506"/>
      <c r="AY82" s="506"/>
      <c r="AZ82" s="506"/>
      <c r="BA82" s="506"/>
      <c r="BB82" s="506"/>
      <c r="BC82" s="506"/>
      <c r="BD82" s="506"/>
      <c r="BE82" s="506"/>
      <c r="BF82" s="506"/>
      <c r="BG82" s="506"/>
      <c r="BH82" s="506"/>
      <c r="BI82" s="506"/>
      <c r="BJ82" s="506"/>
      <c r="BK82" s="506"/>
      <c r="BL82" s="506"/>
      <c r="BM82" s="506"/>
      <c r="BN82" s="506"/>
      <c r="BO82" s="506"/>
      <c r="BP82" s="506"/>
      <c r="BQ82" s="506"/>
      <c r="BR82" s="506"/>
      <c r="BS82" s="506"/>
      <c r="BT82" s="506"/>
      <c r="BU82" s="506"/>
      <c r="BV82" s="506"/>
      <c r="BW82" s="2367"/>
      <c r="BX82" s="2367"/>
      <c r="BY82" s="2367"/>
      <c r="BZ82" s="2367"/>
      <c r="CA82" s="506"/>
      <c r="CB82" s="506"/>
      <c r="CC82" s="506"/>
      <c r="CD82" s="506"/>
      <c r="CE82" s="506"/>
      <c r="CF82" s="506"/>
      <c r="CG82" s="506"/>
      <c r="CH82" s="506"/>
      <c r="CI82" s="506"/>
      <c r="CJ82" s="506"/>
      <c r="CK82" s="506"/>
      <c r="CL82" s="506"/>
      <c r="CM82" s="506"/>
      <c r="CN82" s="506"/>
      <c r="CO82" s="506"/>
      <c r="CP82" s="506"/>
      <c r="CQ82" s="506"/>
      <c r="CR82" s="506"/>
      <c r="CS82" s="506"/>
      <c r="CT82" s="553" t="s">
        <v>5056</v>
      </c>
      <c r="CU82" s="553" t="s">
        <v>1999</v>
      </c>
      <c r="CV82" s="553"/>
      <c r="CW82" s="1539"/>
    </row>
    <row r="83" spans="2:102" ht="18" x14ac:dyDescent="0.35">
      <c r="B83" s="1583">
        <v>80</v>
      </c>
      <c r="C83" s="551" t="s">
        <v>2946</v>
      </c>
      <c r="D83" s="552" t="s">
        <v>1683</v>
      </c>
      <c r="E83" s="506"/>
      <c r="F83" s="506"/>
      <c r="G83" s="506"/>
      <c r="H83" s="506"/>
      <c r="I83" s="506"/>
      <c r="J83" s="506"/>
      <c r="K83" s="506"/>
      <c r="L83" s="506"/>
      <c r="M83" s="506"/>
      <c r="N83" s="506"/>
      <c r="O83" s="506"/>
      <c r="P83" s="506"/>
      <c r="Q83" s="506"/>
      <c r="R83" s="556" t="s">
        <v>5042</v>
      </c>
      <c r="S83" s="556" t="s">
        <v>5043</v>
      </c>
      <c r="T83" s="556" t="s">
        <v>5044</v>
      </c>
      <c r="U83" s="556" t="s">
        <v>5045</v>
      </c>
      <c r="V83" s="556" t="s">
        <v>5046</v>
      </c>
      <c r="W83" s="556" t="s">
        <v>5047</v>
      </c>
      <c r="X83" s="556" t="s">
        <v>5048</v>
      </c>
      <c r="Y83" s="556" t="s">
        <v>5049</v>
      </c>
      <c r="Z83" s="556" t="s">
        <v>5050</v>
      </c>
      <c r="AA83" s="506" t="s">
        <v>5051</v>
      </c>
      <c r="AB83" s="506"/>
      <c r="AC83" s="506">
        <v>-1</v>
      </c>
      <c r="AD83" s="506"/>
      <c r="AE83" s="506"/>
      <c r="AF83" s="506"/>
      <c r="AG83" s="506"/>
      <c r="AH83" s="506"/>
      <c r="AI83" s="506"/>
      <c r="AJ83" s="506"/>
      <c r="AK83" s="506"/>
      <c r="AL83" s="506"/>
      <c r="AM83" s="506" t="s">
        <v>5053</v>
      </c>
      <c r="AN83" s="506"/>
      <c r="AO83" s="506"/>
      <c r="AP83" s="506"/>
      <c r="AQ83" s="506"/>
      <c r="AR83" s="506"/>
      <c r="AS83" s="506"/>
      <c r="AT83" s="506"/>
      <c r="AU83" s="506"/>
      <c r="AV83" s="506" t="s">
        <v>5055</v>
      </c>
      <c r="AW83" s="506"/>
      <c r="AX83" s="506"/>
      <c r="AY83" s="506"/>
      <c r="AZ83" s="506"/>
      <c r="BA83" s="506"/>
      <c r="BB83" s="506"/>
      <c r="BC83" s="506"/>
      <c r="BD83" s="506"/>
      <c r="BE83" s="506"/>
      <c r="BF83" s="506"/>
      <c r="BG83" s="506"/>
      <c r="BH83" s="506"/>
      <c r="BI83" s="506"/>
      <c r="BJ83" s="506"/>
      <c r="BK83" s="506"/>
      <c r="BL83" s="506"/>
      <c r="BM83" s="506"/>
      <c r="BN83" s="506"/>
      <c r="BO83" s="506"/>
      <c r="BP83" s="506"/>
      <c r="BQ83" s="506"/>
      <c r="BR83" s="506"/>
      <c r="BS83" s="506"/>
      <c r="BT83" s="506"/>
      <c r="BU83" s="506"/>
      <c r="BV83" s="506"/>
      <c r="BW83" s="2367"/>
      <c r="BX83" s="2367"/>
      <c r="BY83" s="2367"/>
      <c r="BZ83" s="2367"/>
      <c r="CA83" s="506"/>
      <c r="CB83" s="506"/>
      <c r="CC83" s="506"/>
      <c r="CD83" s="506"/>
      <c r="CE83" s="506"/>
      <c r="CF83" s="506"/>
      <c r="CG83" s="506"/>
      <c r="CH83" s="506"/>
      <c r="CI83" s="506"/>
      <c r="CJ83" s="506"/>
      <c r="CK83" s="506"/>
      <c r="CL83" s="506"/>
      <c r="CM83" s="506"/>
      <c r="CN83" s="506"/>
      <c r="CO83" s="506"/>
      <c r="CP83" s="506"/>
      <c r="CQ83" s="506"/>
      <c r="CR83" s="506"/>
      <c r="CS83" s="506"/>
      <c r="CT83" s="553" t="s">
        <v>5057</v>
      </c>
      <c r="CU83" s="553" t="s">
        <v>1999</v>
      </c>
      <c r="CV83" s="553"/>
      <c r="CW83" s="1539"/>
    </row>
    <row r="84" spans="2:102" ht="17.25" customHeight="1" x14ac:dyDescent="0.25">
      <c r="B84" s="1527">
        <v>81</v>
      </c>
      <c r="C84" s="1528" t="s">
        <v>2947</v>
      </c>
      <c r="D84" s="557" t="s">
        <v>2839</v>
      </c>
      <c r="E84" s="507"/>
      <c r="F84" s="507"/>
      <c r="G84" s="507"/>
      <c r="H84" s="507"/>
      <c r="I84" s="507"/>
      <c r="J84" s="507"/>
      <c r="K84" s="507"/>
      <c r="L84" s="507"/>
      <c r="M84" s="507"/>
      <c r="N84" s="507"/>
      <c r="O84" s="507"/>
      <c r="P84" s="507"/>
      <c r="Q84" s="507"/>
      <c r="R84" s="558"/>
      <c r="S84" s="507"/>
      <c r="T84" s="507"/>
      <c r="U84" s="507"/>
      <c r="V84" s="507"/>
      <c r="W84" s="507"/>
      <c r="X84" s="507"/>
      <c r="Y84" s="507"/>
      <c r="Z84" s="507"/>
      <c r="AA84" s="507"/>
      <c r="AB84" s="507"/>
      <c r="AC84" s="507"/>
      <c r="AD84" s="507"/>
      <c r="AE84" s="507"/>
      <c r="AF84" s="507"/>
      <c r="AG84" s="507"/>
      <c r="AH84" s="507"/>
      <c r="AI84" s="507"/>
      <c r="AJ84" s="507"/>
      <c r="AK84" s="507"/>
      <c r="AL84" s="507"/>
      <c r="AM84" s="507"/>
      <c r="AN84" s="507"/>
      <c r="AO84" s="507"/>
      <c r="AP84" s="507"/>
      <c r="AQ84" s="507"/>
      <c r="AR84" s="507"/>
      <c r="AS84" s="507"/>
      <c r="AT84" s="507"/>
      <c r="AU84" s="507"/>
      <c r="AV84" s="507"/>
      <c r="AW84" s="507"/>
      <c r="AX84" s="507"/>
      <c r="AY84" s="507"/>
      <c r="AZ84" s="507"/>
      <c r="BA84" s="507"/>
      <c r="BB84" s="507"/>
      <c r="BC84" s="507"/>
      <c r="BD84" s="1584" t="s">
        <v>1351</v>
      </c>
      <c r="BE84" s="1584" t="s">
        <v>1352</v>
      </c>
      <c r="BF84" s="507"/>
      <c r="BG84" s="1584" t="s">
        <v>1355</v>
      </c>
      <c r="BH84" s="507"/>
      <c r="BI84" s="1584" t="s">
        <v>1356</v>
      </c>
      <c r="BJ84" s="507"/>
      <c r="BK84" s="559"/>
      <c r="BL84" s="559"/>
      <c r="BM84" s="507"/>
      <c r="BN84" s="559"/>
      <c r="BO84" s="507"/>
      <c r="BP84" s="559"/>
      <c r="BQ84" s="507"/>
      <c r="BR84" s="507"/>
      <c r="BS84" s="507"/>
      <c r="BT84" s="507"/>
      <c r="BU84" s="558"/>
      <c r="BV84" s="507"/>
      <c r="BW84" s="2368"/>
      <c r="BX84" s="2368"/>
      <c r="BY84" s="2368"/>
      <c r="BZ84" s="2368"/>
      <c r="CA84" s="507"/>
      <c r="CB84" s="507"/>
      <c r="CC84" s="507"/>
      <c r="CD84" s="558"/>
      <c r="CE84" s="558"/>
      <c r="CF84" s="558"/>
      <c r="CG84" s="558"/>
      <c r="CH84" s="558"/>
      <c r="CI84" s="558"/>
      <c r="CJ84" s="558"/>
      <c r="CK84" s="558"/>
      <c r="CL84" s="558"/>
      <c r="CM84" s="558"/>
      <c r="CN84" s="558"/>
      <c r="CO84" s="558"/>
      <c r="CP84" s="558"/>
      <c r="CQ84" s="558"/>
      <c r="CR84" s="558"/>
      <c r="CS84" s="558"/>
      <c r="CT84" s="560" t="s">
        <v>3325</v>
      </c>
      <c r="CU84" s="561" t="s">
        <v>1999</v>
      </c>
      <c r="CV84" s="561"/>
      <c r="CW84" s="1585"/>
    </row>
    <row r="85" spans="2:102" ht="19.5" customHeight="1" x14ac:dyDescent="0.25">
      <c r="B85" s="1527">
        <v>82</v>
      </c>
      <c r="C85" s="1528" t="s">
        <v>2948</v>
      </c>
      <c r="D85" s="557" t="s">
        <v>2840</v>
      </c>
      <c r="E85" s="507"/>
      <c r="F85" s="507"/>
      <c r="G85" s="507"/>
      <c r="H85" s="507"/>
      <c r="I85" s="507"/>
      <c r="J85" s="507"/>
      <c r="K85" s="507"/>
      <c r="L85" s="507"/>
      <c r="M85" s="507"/>
      <c r="N85" s="507"/>
      <c r="O85" s="507"/>
      <c r="P85" s="507"/>
      <c r="Q85" s="507"/>
      <c r="R85" s="558"/>
      <c r="S85" s="507"/>
      <c r="T85" s="507"/>
      <c r="U85" s="507"/>
      <c r="V85" s="507"/>
      <c r="W85" s="507"/>
      <c r="X85" s="507"/>
      <c r="Y85" s="507"/>
      <c r="Z85" s="507"/>
      <c r="AA85" s="507"/>
      <c r="AB85" s="507"/>
      <c r="AC85" s="507"/>
      <c r="AD85" s="507"/>
      <c r="AE85" s="507"/>
      <c r="AF85" s="507"/>
      <c r="AG85" s="507"/>
      <c r="AH85" s="507"/>
      <c r="AI85" s="507"/>
      <c r="AJ85" s="507"/>
      <c r="AK85" s="507"/>
      <c r="AL85" s="507"/>
      <c r="AM85" s="507"/>
      <c r="AN85" s="507"/>
      <c r="AO85" s="507"/>
      <c r="AP85" s="507"/>
      <c r="AQ85" s="507"/>
      <c r="AR85" s="507"/>
      <c r="AS85" s="507"/>
      <c r="AT85" s="507"/>
      <c r="AU85" s="507"/>
      <c r="AV85" s="507"/>
      <c r="AW85" s="507"/>
      <c r="AX85" s="507"/>
      <c r="AY85" s="507"/>
      <c r="AZ85" s="507"/>
      <c r="BA85" s="507"/>
      <c r="BB85" s="507"/>
      <c r="BC85" s="507"/>
      <c r="BD85" s="507"/>
      <c r="BE85" s="1584" t="s">
        <v>1353</v>
      </c>
      <c r="BF85" s="1584" t="s">
        <v>1354</v>
      </c>
      <c r="BG85" s="1584"/>
      <c r="BH85" s="1584" t="s">
        <v>1357</v>
      </c>
      <c r="BI85" s="1584"/>
      <c r="BJ85" s="1584" t="s">
        <v>1358</v>
      </c>
      <c r="BK85" s="507"/>
      <c r="BL85" s="559"/>
      <c r="BM85" s="559"/>
      <c r="BN85" s="559"/>
      <c r="BO85" s="559"/>
      <c r="BP85" s="559"/>
      <c r="BQ85" s="559"/>
      <c r="BR85" s="507"/>
      <c r="BS85" s="507"/>
      <c r="BT85" s="507"/>
      <c r="BU85" s="558"/>
      <c r="BV85" s="507"/>
      <c r="BW85" s="2368"/>
      <c r="BX85" s="2368"/>
      <c r="BY85" s="2368"/>
      <c r="BZ85" s="2368"/>
      <c r="CA85" s="507"/>
      <c r="CB85" s="507"/>
      <c r="CC85" s="507"/>
      <c r="CD85" s="558"/>
      <c r="CE85" s="558"/>
      <c r="CF85" s="558"/>
      <c r="CG85" s="558"/>
      <c r="CH85" s="558"/>
      <c r="CI85" s="558"/>
      <c r="CJ85" s="558"/>
      <c r="CK85" s="558"/>
      <c r="CL85" s="558"/>
      <c r="CM85" s="558"/>
      <c r="CN85" s="558"/>
      <c r="CO85" s="558"/>
      <c r="CP85" s="558"/>
      <c r="CQ85" s="558"/>
      <c r="CR85" s="558"/>
      <c r="CS85" s="558"/>
      <c r="CT85" s="560" t="s">
        <v>3326</v>
      </c>
      <c r="CU85" s="561" t="s">
        <v>1999</v>
      </c>
      <c r="CV85" s="561"/>
      <c r="CW85" s="1585"/>
    </row>
    <row r="86" spans="2:102" ht="18" x14ac:dyDescent="0.25">
      <c r="B86" s="1527">
        <v>83</v>
      </c>
      <c r="C86" s="1528" t="s">
        <v>4578</v>
      </c>
      <c r="D86" s="557" t="s">
        <v>2841</v>
      </c>
      <c r="E86" s="507"/>
      <c r="F86" s="507"/>
      <c r="G86" s="507"/>
      <c r="H86" s="507"/>
      <c r="I86" s="507"/>
      <c r="J86" s="507"/>
      <c r="K86" s="507"/>
      <c r="L86" s="507"/>
      <c r="M86" s="507"/>
      <c r="N86" s="507"/>
      <c r="O86" s="507"/>
      <c r="P86" s="507"/>
      <c r="Q86" s="507"/>
      <c r="R86" s="558"/>
      <c r="S86" s="507"/>
      <c r="T86" s="507"/>
      <c r="U86" s="507"/>
      <c r="V86" s="507"/>
      <c r="W86" s="507"/>
      <c r="X86" s="507"/>
      <c r="Y86" s="507"/>
      <c r="Z86" s="507"/>
      <c r="AA86" s="507"/>
      <c r="AB86" s="507"/>
      <c r="AC86" s="507"/>
      <c r="AD86" s="507"/>
      <c r="AE86" s="507"/>
      <c r="AF86" s="507"/>
      <c r="AG86" s="507"/>
      <c r="AH86" s="507"/>
      <c r="AI86" s="507"/>
      <c r="AJ86" s="507"/>
      <c r="AK86" s="507"/>
      <c r="AL86" s="507"/>
      <c r="AM86" s="507">
        <v>-1</v>
      </c>
      <c r="AN86" s="507"/>
      <c r="AO86" s="507"/>
      <c r="AP86" s="507"/>
      <c r="AQ86" s="507"/>
      <c r="AR86" s="507"/>
      <c r="AS86" s="507"/>
      <c r="AT86" s="507"/>
      <c r="AU86" s="507"/>
      <c r="AV86" s="507"/>
      <c r="AW86" s="507"/>
      <c r="AX86" s="507"/>
      <c r="AY86" s="507"/>
      <c r="AZ86" s="507"/>
      <c r="BA86" s="507"/>
      <c r="BB86" s="507"/>
      <c r="BC86" s="507"/>
      <c r="BD86" s="558" t="s">
        <v>4230</v>
      </c>
      <c r="BE86" s="507"/>
      <c r="BF86" s="507"/>
      <c r="BG86" s="558" t="s">
        <v>4231</v>
      </c>
      <c r="BH86" s="507"/>
      <c r="BI86" s="558"/>
      <c r="BJ86" s="558"/>
      <c r="BK86" s="558"/>
      <c r="BL86" s="507"/>
      <c r="BM86" s="507"/>
      <c r="BN86" s="558"/>
      <c r="BO86" s="507"/>
      <c r="BP86" s="558"/>
      <c r="BQ86" s="558"/>
      <c r="BR86" s="507"/>
      <c r="BS86" s="507"/>
      <c r="BT86" s="507"/>
      <c r="BU86" s="558"/>
      <c r="BV86" s="507"/>
      <c r="BW86" s="2368"/>
      <c r="BX86" s="2368"/>
      <c r="BY86" s="2368"/>
      <c r="BZ86" s="2368"/>
      <c r="CA86" s="507"/>
      <c r="CB86" s="507"/>
      <c r="CC86" s="507"/>
      <c r="CD86" s="558"/>
      <c r="CE86" s="558"/>
      <c r="CF86" s="558"/>
      <c r="CG86" s="558"/>
      <c r="CH86" s="558"/>
      <c r="CI86" s="558"/>
      <c r="CJ86" s="558"/>
      <c r="CK86" s="558"/>
      <c r="CL86" s="558"/>
      <c r="CM86" s="558"/>
      <c r="CN86" s="558"/>
      <c r="CO86" s="558"/>
      <c r="CP86" s="558"/>
      <c r="CQ86" s="558"/>
      <c r="CR86" s="558"/>
      <c r="CS86" s="558"/>
      <c r="CT86" s="560" t="s">
        <v>5071</v>
      </c>
      <c r="CU86" s="561" t="s">
        <v>1999</v>
      </c>
      <c r="CV86" s="561"/>
      <c r="CW86" s="1585"/>
    </row>
    <row r="87" spans="2:102" ht="18" x14ac:dyDescent="0.25">
      <c r="B87" s="1527">
        <v>84</v>
      </c>
      <c r="C87" s="1528" t="s">
        <v>2949</v>
      </c>
      <c r="D87" s="557" t="s">
        <v>2842</v>
      </c>
      <c r="E87" s="507"/>
      <c r="F87" s="507"/>
      <c r="G87" s="507"/>
      <c r="H87" s="507"/>
      <c r="I87" s="507"/>
      <c r="J87" s="507"/>
      <c r="K87" s="507"/>
      <c r="L87" s="507"/>
      <c r="M87" s="507"/>
      <c r="N87" s="507"/>
      <c r="O87" s="507"/>
      <c r="P87" s="507"/>
      <c r="Q87" s="507"/>
      <c r="R87" s="558"/>
      <c r="S87" s="507"/>
      <c r="T87" s="507"/>
      <c r="U87" s="507"/>
      <c r="V87" s="507"/>
      <c r="W87" s="507"/>
      <c r="X87" s="507"/>
      <c r="Y87" s="507"/>
      <c r="Z87" s="507"/>
      <c r="AA87" s="507"/>
      <c r="AB87" s="507"/>
      <c r="AC87" s="507"/>
      <c r="AD87" s="507"/>
      <c r="AE87" s="507"/>
      <c r="AF87" s="507"/>
      <c r="AG87" s="507"/>
      <c r="AH87" s="507"/>
      <c r="AI87" s="507"/>
      <c r="AJ87" s="507"/>
      <c r="AK87" s="507"/>
      <c r="AL87" s="507"/>
      <c r="AM87" s="507">
        <v>-1</v>
      </c>
      <c r="AN87" s="507"/>
      <c r="AO87" s="507"/>
      <c r="AP87" s="507"/>
      <c r="AQ87" s="507"/>
      <c r="AR87" s="507"/>
      <c r="AS87" s="507"/>
      <c r="AT87" s="507"/>
      <c r="AU87" s="507"/>
      <c r="AV87" s="507"/>
      <c r="AW87" s="507"/>
      <c r="AX87" s="507"/>
      <c r="AY87" s="507"/>
      <c r="AZ87" s="507"/>
      <c r="BA87" s="507"/>
      <c r="BB87" s="507"/>
      <c r="BC87" s="507"/>
      <c r="BD87" s="507"/>
      <c r="BE87" s="558" t="s">
        <v>4232</v>
      </c>
      <c r="BF87" s="507"/>
      <c r="BG87" s="507"/>
      <c r="BH87" s="558" t="s">
        <v>4233</v>
      </c>
      <c r="BI87" s="507"/>
      <c r="BJ87" s="507"/>
      <c r="BK87" s="507"/>
      <c r="BL87" s="558"/>
      <c r="BM87" s="507"/>
      <c r="BN87" s="507"/>
      <c r="BO87" s="558"/>
      <c r="BP87" s="507"/>
      <c r="BQ87" s="507"/>
      <c r="BR87" s="507"/>
      <c r="BS87" s="507"/>
      <c r="BT87" s="507"/>
      <c r="BU87" s="558"/>
      <c r="BV87" s="507"/>
      <c r="BW87" s="2368"/>
      <c r="BX87" s="2368"/>
      <c r="BY87" s="2368"/>
      <c r="BZ87" s="2368"/>
      <c r="CA87" s="507"/>
      <c r="CB87" s="507"/>
      <c r="CC87" s="507"/>
      <c r="CD87" s="558"/>
      <c r="CE87" s="558"/>
      <c r="CF87" s="558"/>
      <c r="CG87" s="558"/>
      <c r="CH87" s="558"/>
      <c r="CI87" s="558"/>
      <c r="CJ87" s="558"/>
      <c r="CK87" s="558"/>
      <c r="CL87" s="558"/>
      <c r="CM87" s="558"/>
      <c r="CN87" s="558"/>
      <c r="CO87" s="558"/>
      <c r="CP87" s="558"/>
      <c r="CQ87" s="558"/>
      <c r="CR87" s="558"/>
      <c r="CS87" s="558"/>
      <c r="CT87" s="560" t="s">
        <v>5070</v>
      </c>
      <c r="CU87" s="561" t="s">
        <v>1999</v>
      </c>
      <c r="CV87" s="561"/>
      <c r="CW87" s="1585"/>
    </row>
    <row r="88" spans="2:102" ht="18" x14ac:dyDescent="0.35">
      <c r="B88" s="1527">
        <v>85</v>
      </c>
      <c r="C88" s="1528" t="s">
        <v>2950</v>
      </c>
      <c r="D88" s="562" t="s">
        <v>3318</v>
      </c>
      <c r="E88" s="507"/>
      <c r="F88" s="507"/>
      <c r="G88" s="507"/>
      <c r="H88" s="507"/>
      <c r="I88" s="507"/>
      <c r="J88" s="507"/>
      <c r="K88" s="507"/>
      <c r="L88" s="507"/>
      <c r="M88" s="507"/>
      <c r="N88" s="507"/>
      <c r="O88" s="507"/>
      <c r="P88" s="507"/>
      <c r="Q88" s="507"/>
      <c r="R88" s="558"/>
      <c r="S88" s="507"/>
      <c r="T88" s="507"/>
      <c r="U88" s="507"/>
      <c r="V88" s="507"/>
      <c r="W88" s="507"/>
      <c r="X88" s="507"/>
      <c r="Y88" s="507"/>
      <c r="Z88" s="507"/>
      <c r="AA88" s="507"/>
      <c r="AB88" s="507"/>
      <c r="AC88" s="507"/>
      <c r="AD88" s="507"/>
      <c r="AE88" s="507"/>
      <c r="AF88" s="507"/>
      <c r="AG88" s="507"/>
      <c r="AH88" s="507"/>
      <c r="AI88" s="507"/>
      <c r="AJ88" s="507"/>
      <c r="AK88" s="507"/>
      <c r="AL88" s="507"/>
      <c r="AM88" s="558" t="s">
        <v>4227</v>
      </c>
      <c r="AN88" s="507"/>
      <c r="AO88" s="507"/>
      <c r="AP88" s="507"/>
      <c r="AQ88" s="507"/>
      <c r="AR88" s="507"/>
      <c r="AS88" s="507"/>
      <c r="AT88" s="507"/>
      <c r="AU88" s="507"/>
      <c r="AV88" s="507"/>
      <c r="AW88" s="507"/>
      <c r="AX88" s="507"/>
      <c r="AY88" s="507"/>
      <c r="AZ88" s="507"/>
      <c r="BA88" s="507"/>
      <c r="BB88" s="507"/>
      <c r="BC88" s="558"/>
      <c r="BD88" s="507">
        <v>1</v>
      </c>
      <c r="BE88" s="507"/>
      <c r="BF88" s="558"/>
      <c r="BG88" s="558">
        <v>-1</v>
      </c>
      <c r="BH88" s="507"/>
      <c r="BI88" s="558"/>
      <c r="BJ88" s="558"/>
      <c r="BK88" s="507"/>
      <c r="BL88" s="507"/>
      <c r="BM88" s="558"/>
      <c r="BN88" s="558"/>
      <c r="BO88" s="507"/>
      <c r="BP88" s="558"/>
      <c r="BQ88" s="558"/>
      <c r="BR88" s="558"/>
      <c r="BS88" s="558"/>
      <c r="BT88" s="558"/>
      <c r="BU88" s="558"/>
      <c r="BV88" s="558"/>
      <c r="BW88" s="2369"/>
      <c r="BX88" s="2369"/>
      <c r="BY88" s="2369"/>
      <c r="BZ88" s="2369"/>
      <c r="CA88" s="558"/>
      <c r="CB88" s="558"/>
      <c r="CC88" s="558"/>
      <c r="CD88" s="558"/>
      <c r="CE88" s="558"/>
      <c r="CF88" s="558"/>
      <c r="CG88" s="558"/>
      <c r="CH88" s="558"/>
      <c r="CI88" s="558"/>
      <c r="CJ88" s="558"/>
      <c r="CK88" s="558"/>
      <c r="CL88" s="558"/>
      <c r="CM88" s="558"/>
      <c r="CN88" s="558"/>
      <c r="CO88" s="558"/>
      <c r="CP88" s="558"/>
      <c r="CQ88" s="558"/>
      <c r="CR88" s="558"/>
      <c r="CS88" s="558"/>
      <c r="CT88" s="560" t="s">
        <v>5068</v>
      </c>
      <c r="CU88" s="561" t="s">
        <v>1999</v>
      </c>
      <c r="CV88" s="561"/>
      <c r="CW88" s="1585"/>
    </row>
    <row r="89" spans="2:102" ht="18" x14ac:dyDescent="0.35">
      <c r="B89" s="1527">
        <v>86</v>
      </c>
      <c r="C89" s="1528" t="s">
        <v>3094</v>
      </c>
      <c r="D89" s="562" t="s">
        <v>3319</v>
      </c>
      <c r="E89" s="507"/>
      <c r="F89" s="507"/>
      <c r="G89" s="507"/>
      <c r="H89" s="507"/>
      <c r="I89" s="507"/>
      <c r="J89" s="507"/>
      <c r="K89" s="507"/>
      <c r="L89" s="507"/>
      <c r="M89" s="507"/>
      <c r="N89" s="507"/>
      <c r="O89" s="507"/>
      <c r="P89" s="507"/>
      <c r="Q89" s="507"/>
      <c r="R89" s="558"/>
      <c r="S89" s="507"/>
      <c r="T89" s="507"/>
      <c r="U89" s="507"/>
      <c r="V89" s="507"/>
      <c r="W89" s="507"/>
      <c r="X89" s="507"/>
      <c r="Y89" s="507"/>
      <c r="Z89" s="507"/>
      <c r="AA89" s="507"/>
      <c r="AB89" s="507"/>
      <c r="AC89" s="507"/>
      <c r="AD89" s="507"/>
      <c r="AE89" s="507"/>
      <c r="AF89" s="507"/>
      <c r="AG89" s="507"/>
      <c r="AH89" s="507"/>
      <c r="AI89" s="507"/>
      <c r="AJ89" s="507"/>
      <c r="AK89" s="507"/>
      <c r="AL89" s="507"/>
      <c r="AM89" s="558" t="s">
        <v>4228</v>
      </c>
      <c r="AN89" s="507"/>
      <c r="AO89" s="507"/>
      <c r="AP89" s="507"/>
      <c r="AQ89" s="507"/>
      <c r="AR89" s="507"/>
      <c r="AS89" s="507"/>
      <c r="AT89" s="507"/>
      <c r="AU89" s="507"/>
      <c r="AV89" s="507"/>
      <c r="AW89" s="507"/>
      <c r="AX89" s="507"/>
      <c r="AY89" s="507"/>
      <c r="AZ89" s="507"/>
      <c r="BA89" s="507"/>
      <c r="BB89" s="507"/>
      <c r="BC89" s="558"/>
      <c r="BD89" s="507"/>
      <c r="BE89" s="507">
        <v>1</v>
      </c>
      <c r="BF89" s="558"/>
      <c r="BG89" s="558"/>
      <c r="BH89" s="507">
        <v>-1</v>
      </c>
      <c r="BI89" s="558"/>
      <c r="BJ89" s="558"/>
      <c r="BK89" s="507"/>
      <c r="BL89" s="507"/>
      <c r="BM89" s="558"/>
      <c r="BN89" s="558"/>
      <c r="BO89" s="507"/>
      <c r="BP89" s="558"/>
      <c r="BQ89" s="558"/>
      <c r="BR89" s="558"/>
      <c r="BS89" s="558"/>
      <c r="BT89" s="558"/>
      <c r="BU89" s="558"/>
      <c r="BV89" s="558"/>
      <c r="BW89" s="2369"/>
      <c r="BX89" s="2369"/>
      <c r="BY89" s="2369"/>
      <c r="BZ89" s="2369"/>
      <c r="CA89" s="558"/>
      <c r="CB89" s="558"/>
      <c r="CC89" s="558"/>
      <c r="CD89" s="558"/>
      <c r="CE89" s="558"/>
      <c r="CF89" s="558"/>
      <c r="CG89" s="558"/>
      <c r="CH89" s="558"/>
      <c r="CI89" s="558"/>
      <c r="CJ89" s="558"/>
      <c r="CK89" s="558"/>
      <c r="CL89" s="558"/>
      <c r="CM89" s="558"/>
      <c r="CN89" s="558"/>
      <c r="CO89" s="558"/>
      <c r="CP89" s="558"/>
      <c r="CQ89" s="558"/>
      <c r="CR89" s="558"/>
      <c r="CS89" s="558"/>
      <c r="CT89" s="560" t="s">
        <v>5069</v>
      </c>
      <c r="CU89" s="561" t="s">
        <v>1999</v>
      </c>
      <c r="CV89" s="561"/>
      <c r="CW89" s="1585"/>
    </row>
    <row r="90" spans="2:102" ht="18" customHeight="1" x14ac:dyDescent="0.35">
      <c r="B90" s="1527">
        <v>87</v>
      </c>
      <c r="C90" s="1528" t="s">
        <v>3095</v>
      </c>
      <c r="D90" s="562" t="s">
        <v>3320</v>
      </c>
      <c r="E90" s="507"/>
      <c r="F90" s="507"/>
      <c r="G90" s="507"/>
      <c r="H90" s="507"/>
      <c r="I90" s="507"/>
      <c r="J90" s="507"/>
      <c r="K90" s="507"/>
      <c r="L90" s="507"/>
      <c r="M90" s="507"/>
      <c r="N90" s="507"/>
      <c r="O90" s="507"/>
      <c r="P90" s="507"/>
      <c r="Q90" s="507"/>
      <c r="R90" s="558"/>
      <c r="S90" s="507"/>
      <c r="T90" s="507"/>
      <c r="U90" s="507"/>
      <c r="V90" s="507"/>
      <c r="W90" s="507"/>
      <c r="X90" s="507"/>
      <c r="Y90" s="507"/>
      <c r="Z90" s="507"/>
      <c r="AA90" s="507"/>
      <c r="AB90" s="507"/>
      <c r="AC90" s="507"/>
      <c r="AD90" s="507"/>
      <c r="AE90" s="507"/>
      <c r="AF90" s="507"/>
      <c r="AG90" s="507"/>
      <c r="AH90" s="507"/>
      <c r="AI90" s="507"/>
      <c r="AJ90" s="507"/>
      <c r="AK90" s="507"/>
      <c r="AL90" s="507"/>
      <c r="AM90" s="558" t="s">
        <v>4229</v>
      </c>
      <c r="AN90" s="507"/>
      <c r="AO90" s="507"/>
      <c r="AP90" s="507"/>
      <c r="AQ90" s="507"/>
      <c r="AR90" s="507"/>
      <c r="AS90" s="507"/>
      <c r="AT90" s="507"/>
      <c r="AU90" s="507"/>
      <c r="AV90" s="507"/>
      <c r="AW90" s="507"/>
      <c r="AX90" s="507"/>
      <c r="AY90" s="507"/>
      <c r="AZ90" s="507"/>
      <c r="BA90" s="507"/>
      <c r="BB90" s="507"/>
      <c r="BC90" s="558"/>
      <c r="BD90" s="507"/>
      <c r="BE90" s="507"/>
      <c r="BF90" s="558">
        <v>1</v>
      </c>
      <c r="BG90" s="558"/>
      <c r="BH90" s="507"/>
      <c r="BI90" s="1584" t="s">
        <v>3322</v>
      </c>
      <c r="BJ90" s="1584" t="s">
        <v>3323</v>
      </c>
      <c r="BK90" s="563"/>
      <c r="BL90" s="563"/>
      <c r="BM90" s="564"/>
      <c r="BN90" s="564"/>
      <c r="BO90" s="563"/>
      <c r="BP90" s="565"/>
      <c r="BQ90" s="565"/>
      <c r="BR90" s="558"/>
      <c r="BS90" s="558"/>
      <c r="BT90" s="558"/>
      <c r="BU90" s="558"/>
      <c r="BV90" s="558"/>
      <c r="BW90" s="2369"/>
      <c r="BX90" s="2369"/>
      <c r="BY90" s="2369"/>
      <c r="BZ90" s="2369"/>
      <c r="CA90" s="558"/>
      <c r="CB90" s="558"/>
      <c r="CC90" s="558"/>
      <c r="CD90" s="558"/>
      <c r="CE90" s="558"/>
      <c r="CF90" s="558"/>
      <c r="CG90" s="558"/>
      <c r="CH90" s="558"/>
      <c r="CI90" s="558"/>
      <c r="CJ90" s="558"/>
      <c r="CK90" s="558"/>
      <c r="CL90" s="558"/>
      <c r="CM90" s="558"/>
      <c r="CN90" s="558"/>
      <c r="CO90" s="558"/>
      <c r="CP90" s="558"/>
      <c r="CQ90" s="558"/>
      <c r="CR90" s="558"/>
      <c r="CS90" s="558"/>
      <c r="CT90" s="560" t="s">
        <v>4685</v>
      </c>
      <c r="CU90" s="561" t="s">
        <v>1999</v>
      </c>
      <c r="CV90" s="561"/>
      <c r="CW90" s="1585"/>
    </row>
    <row r="91" spans="2:102" ht="18.75" customHeight="1" x14ac:dyDescent="0.25">
      <c r="B91" s="1529">
        <v>88</v>
      </c>
      <c r="C91" s="566" t="s">
        <v>3096</v>
      </c>
      <c r="D91" s="567" t="s">
        <v>1684</v>
      </c>
      <c r="E91" s="568" t="s">
        <v>1863</v>
      </c>
      <c r="F91" s="568" t="s">
        <v>1862</v>
      </c>
      <c r="G91" s="508"/>
      <c r="H91" s="508"/>
      <c r="I91" s="508"/>
      <c r="J91" s="508"/>
      <c r="K91" s="508"/>
      <c r="L91" s="508"/>
      <c r="M91" s="508"/>
      <c r="N91" s="508"/>
      <c r="O91" s="508"/>
      <c r="P91" s="508"/>
      <c r="Q91" s="508"/>
      <c r="R91" s="568"/>
      <c r="S91" s="508"/>
      <c r="T91" s="508"/>
      <c r="U91" s="508"/>
      <c r="V91" s="508"/>
      <c r="W91" s="508"/>
      <c r="X91" s="508"/>
      <c r="Y91" s="508"/>
      <c r="Z91" s="508"/>
      <c r="AA91" s="508"/>
      <c r="AB91" s="508"/>
      <c r="AC91" s="508"/>
      <c r="AD91" s="508"/>
      <c r="AE91" s="508"/>
      <c r="AF91" s="508"/>
      <c r="AG91" s="508"/>
      <c r="AH91" s="508"/>
      <c r="AI91" s="508"/>
      <c r="AJ91" s="508"/>
      <c r="AK91" s="508"/>
      <c r="AL91" s="508"/>
      <c r="AM91" s="569" t="s">
        <v>4321</v>
      </c>
      <c r="AN91" s="508"/>
      <c r="AO91" s="508"/>
      <c r="AP91" s="508"/>
      <c r="AQ91" s="508"/>
      <c r="AR91" s="508"/>
      <c r="AS91" s="508"/>
      <c r="AT91" s="508"/>
      <c r="AU91" s="508"/>
      <c r="AV91" s="568" t="s">
        <v>1962</v>
      </c>
      <c r="AW91" s="508"/>
      <c r="AX91" s="508"/>
      <c r="AY91" s="508"/>
      <c r="AZ91" s="508"/>
      <c r="BA91" s="508"/>
      <c r="BB91" s="508"/>
      <c r="BC91" s="568">
        <v>1</v>
      </c>
      <c r="BD91" s="569" t="s">
        <v>4313</v>
      </c>
      <c r="BE91" s="569" t="s">
        <v>4314</v>
      </c>
      <c r="BF91" s="569" t="s">
        <v>4315</v>
      </c>
      <c r="BG91" s="569" t="s">
        <v>4316</v>
      </c>
      <c r="BH91" s="569" t="s">
        <v>4317</v>
      </c>
      <c r="BI91" s="569" t="s">
        <v>4318</v>
      </c>
      <c r="BJ91" s="569" t="s">
        <v>4319</v>
      </c>
      <c r="BK91" s="569"/>
      <c r="BL91" s="569"/>
      <c r="BM91" s="569"/>
      <c r="BN91" s="569"/>
      <c r="BO91" s="569"/>
      <c r="BP91" s="569"/>
      <c r="BQ91" s="569"/>
      <c r="BR91" s="568"/>
      <c r="BS91" s="568"/>
      <c r="BT91" s="568"/>
      <c r="BU91" s="568"/>
      <c r="BV91" s="568"/>
      <c r="BW91" s="2370"/>
      <c r="BX91" s="2370"/>
      <c r="BY91" s="2370"/>
      <c r="BZ91" s="2370"/>
      <c r="CA91" s="568"/>
      <c r="CB91" s="568"/>
      <c r="CC91" s="568"/>
      <c r="CD91" s="568"/>
      <c r="CE91" s="568"/>
      <c r="CF91" s="568"/>
      <c r="CG91" s="568"/>
      <c r="CH91" s="568"/>
      <c r="CI91" s="568"/>
      <c r="CJ91" s="568"/>
      <c r="CK91" s="568"/>
      <c r="CL91" s="568"/>
      <c r="CM91" s="568"/>
      <c r="CN91" s="568"/>
      <c r="CO91" s="568"/>
      <c r="CP91" s="568"/>
      <c r="CQ91" s="568"/>
      <c r="CR91" s="568"/>
      <c r="CS91" s="568"/>
      <c r="CT91" s="570" t="s">
        <v>4320</v>
      </c>
      <c r="CU91" s="567" t="s">
        <v>1999</v>
      </c>
      <c r="CV91" s="567"/>
      <c r="CW91" s="1586"/>
    </row>
    <row r="92" spans="2:102" ht="18" x14ac:dyDescent="0.25">
      <c r="B92" s="1530">
        <v>89</v>
      </c>
      <c r="C92" s="1531" t="s">
        <v>3097</v>
      </c>
      <c r="D92" s="571" t="s">
        <v>1685</v>
      </c>
      <c r="E92" s="508"/>
      <c r="F92" s="508"/>
      <c r="G92" s="508"/>
      <c r="H92" s="508"/>
      <c r="I92" s="508"/>
      <c r="J92" s="508"/>
      <c r="K92" s="508"/>
      <c r="L92" s="508"/>
      <c r="M92" s="508"/>
      <c r="N92" s="508"/>
      <c r="O92" s="508"/>
      <c r="P92" s="508"/>
      <c r="Q92" s="508"/>
      <c r="R92" s="568"/>
      <c r="S92" s="508"/>
      <c r="T92" s="508"/>
      <c r="U92" s="508"/>
      <c r="V92" s="508"/>
      <c r="W92" s="508"/>
      <c r="X92" s="508"/>
      <c r="Y92" s="508"/>
      <c r="Z92" s="508"/>
      <c r="AA92" s="508"/>
      <c r="AB92" s="508"/>
      <c r="AC92" s="508"/>
      <c r="AD92" s="508"/>
      <c r="AE92" s="508"/>
      <c r="AF92" s="508"/>
      <c r="AG92" s="508"/>
      <c r="AH92" s="508"/>
      <c r="AI92" s="508"/>
      <c r="AJ92" s="508"/>
      <c r="AK92" s="508"/>
      <c r="AL92" s="508"/>
      <c r="AM92" s="568"/>
      <c r="AN92" s="508"/>
      <c r="AO92" s="508"/>
      <c r="AP92" s="508"/>
      <c r="AQ92" s="508"/>
      <c r="AR92" s="508"/>
      <c r="AS92" s="568" t="s">
        <v>1686</v>
      </c>
      <c r="AT92" s="508"/>
      <c r="AU92" s="508"/>
      <c r="AV92" s="568"/>
      <c r="AW92" s="508"/>
      <c r="AX92" s="508"/>
      <c r="AY92" s="508"/>
      <c r="AZ92" s="508"/>
      <c r="BA92" s="508"/>
      <c r="BB92" s="508"/>
      <c r="BC92" s="568" t="s">
        <v>1147</v>
      </c>
      <c r="BD92" s="508">
        <v>1</v>
      </c>
      <c r="BE92" s="508"/>
      <c r="BF92" s="508"/>
      <c r="BG92" s="568"/>
      <c r="BH92" s="508"/>
      <c r="BI92" s="568"/>
      <c r="BJ92" s="568"/>
      <c r="BK92" s="508"/>
      <c r="BL92" s="508"/>
      <c r="BM92" s="508"/>
      <c r="BN92" s="568"/>
      <c r="BO92" s="508"/>
      <c r="BP92" s="568"/>
      <c r="BQ92" s="568"/>
      <c r="BR92" s="568"/>
      <c r="BS92" s="568"/>
      <c r="BT92" s="568"/>
      <c r="BU92" s="568"/>
      <c r="BV92" s="568"/>
      <c r="BW92" s="2370"/>
      <c r="BX92" s="2370"/>
      <c r="BY92" s="2370"/>
      <c r="BZ92" s="2370"/>
      <c r="CA92" s="568"/>
      <c r="CB92" s="568"/>
      <c r="CC92" s="568"/>
      <c r="CD92" s="568"/>
      <c r="CE92" s="568"/>
      <c r="CF92" s="568"/>
      <c r="CG92" s="568"/>
      <c r="CH92" s="568"/>
      <c r="CI92" s="568"/>
      <c r="CJ92" s="568"/>
      <c r="CK92" s="568"/>
      <c r="CL92" s="568"/>
      <c r="CM92" s="568"/>
      <c r="CN92" s="568"/>
      <c r="CO92" s="568"/>
      <c r="CP92" s="568"/>
      <c r="CQ92" s="568"/>
      <c r="CR92" s="568"/>
      <c r="CS92" s="568"/>
      <c r="CT92" s="570" t="s">
        <v>3327</v>
      </c>
      <c r="CU92" s="567" t="s">
        <v>1999</v>
      </c>
      <c r="CV92" s="567"/>
      <c r="CW92" s="1586"/>
    </row>
    <row r="93" spans="2:102" s="68" customFormat="1" ht="18" x14ac:dyDescent="0.25">
      <c r="B93" s="1532">
        <v>90</v>
      </c>
      <c r="C93" s="1406" t="s">
        <v>3098</v>
      </c>
      <c r="D93" s="1407" t="s">
        <v>4182</v>
      </c>
      <c r="E93" s="506"/>
      <c r="F93" s="506"/>
      <c r="G93" s="506"/>
      <c r="H93" s="506"/>
      <c r="I93" s="506"/>
      <c r="J93" s="506"/>
      <c r="K93" s="506"/>
      <c r="L93" s="506"/>
      <c r="M93" s="506"/>
      <c r="N93" s="506"/>
      <c r="O93" s="506"/>
      <c r="P93" s="506"/>
      <c r="Q93" s="506"/>
      <c r="R93" s="556"/>
      <c r="S93" s="506"/>
      <c r="T93" s="506"/>
      <c r="U93" s="506"/>
      <c r="V93" s="506"/>
      <c r="W93" s="506"/>
      <c r="X93" s="506"/>
      <c r="Y93" s="506"/>
      <c r="Z93" s="506"/>
      <c r="AA93" s="506"/>
      <c r="AB93" s="506"/>
      <c r="AC93" s="506"/>
      <c r="AD93" s="506"/>
      <c r="AE93" s="1587"/>
      <c r="AF93" s="1587"/>
      <c r="AG93" s="506"/>
      <c r="AH93" s="506"/>
      <c r="AI93" s="506"/>
      <c r="AJ93" s="506"/>
      <c r="AK93" s="506"/>
      <c r="AL93" s="506"/>
      <c r="AM93" s="1587"/>
      <c r="AN93" s="506"/>
      <c r="AO93" s="556"/>
      <c r="AP93" s="506"/>
      <c r="AQ93" s="506"/>
      <c r="AR93" s="506"/>
      <c r="AS93" s="556"/>
      <c r="AT93" s="506"/>
      <c r="AU93" s="506"/>
      <c r="AV93" s="506"/>
      <c r="AW93" s="506"/>
      <c r="AX93" s="506"/>
      <c r="AY93" s="506"/>
      <c r="AZ93" s="556"/>
      <c r="BA93" s="506"/>
      <c r="BB93" s="506"/>
      <c r="BC93" s="506"/>
      <c r="BD93" s="556"/>
      <c r="BE93" s="506"/>
      <c r="BF93" s="556"/>
      <c r="BG93" s="556"/>
      <c r="BH93" s="1588"/>
      <c r="BI93" s="1588"/>
      <c r="BJ93" s="506"/>
      <c r="BK93" s="1588" t="s">
        <v>4183</v>
      </c>
      <c r="BL93" s="1588" t="s">
        <v>4184</v>
      </c>
      <c r="BM93" s="506"/>
      <c r="BN93" s="1588" t="s">
        <v>4185</v>
      </c>
      <c r="BO93" s="506"/>
      <c r="BP93" s="1588" t="s">
        <v>4186</v>
      </c>
      <c r="BQ93" s="506"/>
      <c r="BR93" s="556"/>
      <c r="BS93" s="556"/>
      <c r="BT93" s="556"/>
      <c r="BU93" s="556"/>
      <c r="BV93" s="556"/>
      <c r="BW93" s="2371"/>
      <c r="BX93" s="2371"/>
      <c r="BY93" s="2371"/>
      <c r="BZ93" s="2371"/>
      <c r="CA93" s="556"/>
      <c r="CB93" s="556"/>
      <c r="CC93" s="556"/>
      <c r="CD93" s="556"/>
      <c r="CE93" s="556"/>
      <c r="CF93" s="556"/>
      <c r="CG93" s="556"/>
      <c r="CH93" s="556"/>
      <c r="CI93" s="556"/>
      <c r="CJ93" s="556"/>
      <c r="CK93" s="556"/>
      <c r="CL93" s="556"/>
      <c r="CM93" s="556"/>
      <c r="CN93" s="556"/>
      <c r="CO93" s="556"/>
      <c r="CP93" s="556"/>
      <c r="CQ93" s="556"/>
      <c r="CR93" s="556"/>
      <c r="CS93" s="556"/>
      <c r="CT93" s="554" t="s">
        <v>4187</v>
      </c>
      <c r="CU93" s="1589" t="s">
        <v>1999</v>
      </c>
      <c r="CV93" s="1407"/>
      <c r="CW93" s="1539"/>
      <c r="CX93" s="2059"/>
    </row>
    <row r="94" spans="2:102" s="68" customFormat="1" ht="18" x14ac:dyDescent="0.25">
      <c r="B94" s="1532">
        <v>91</v>
      </c>
      <c r="C94" s="1406" t="s">
        <v>3099</v>
      </c>
      <c r="D94" s="1407" t="s">
        <v>4188</v>
      </c>
      <c r="E94" s="506"/>
      <c r="F94" s="506"/>
      <c r="G94" s="506"/>
      <c r="H94" s="506"/>
      <c r="I94" s="506"/>
      <c r="J94" s="506"/>
      <c r="K94" s="506"/>
      <c r="L94" s="506"/>
      <c r="M94" s="506"/>
      <c r="N94" s="506"/>
      <c r="O94" s="506"/>
      <c r="P94" s="506"/>
      <c r="Q94" s="506"/>
      <c r="R94" s="556"/>
      <c r="S94" s="506"/>
      <c r="T94" s="506"/>
      <c r="U94" s="506"/>
      <c r="V94" s="506"/>
      <c r="W94" s="506"/>
      <c r="X94" s="506"/>
      <c r="Y94" s="506"/>
      <c r="Z94" s="506"/>
      <c r="AA94" s="506"/>
      <c r="AB94" s="506"/>
      <c r="AC94" s="506"/>
      <c r="AD94" s="506"/>
      <c r="AE94" s="1587"/>
      <c r="AF94" s="1587"/>
      <c r="AG94" s="506"/>
      <c r="AH94" s="506"/>
      <c r="AI94" s="506"/>
      <c r="AJ94" s="506"/>
      <c r="AK94" s="506"/>
      <c r="AL94" s="506"/>
      <c r="AM94" s="1587"/>
      <c r="AN94" s="506"/>
      <c r="AO94" s="556"/>
      <c r="AP94" s="506"/>
      <c r="AQ94" s="506"/>
      <c r="AR94" s="506"/>
      <c r="AS94" s="556"/>
      <c r="AT94" s="506"/>
      <c r="AU94" s="506"/>
      <c r="AV94" s="506"/>
      <c r="AW94" s="506"/>
      <c r="AX94" s="506"/>
      <c r="AY94" s="506"/>
      <c r="AZ94" s="556"/>
      <c r="BA94" s="506"/>
      <c r="BB94" s="506"/>
      <c r="BC94" s="506"/>
      <c r="BD94" s="556"/>
      <c r="BE94" s="506"/>
      <c r="BF94" s="556"/>
      <c r="BG94" s="556"/>
      <c r="BH94" s="506"/>
      <c r="BI94" s="1588"/>
      <c r="BJ94" s="1588"/>
      <c r="BK94" s="506"/>
      <c r="BL94" s="1588" t="s">
        <v>4189</v>
      </c>
      <c r="BM94" s="1588" t="s">
        <v>4190</v>
      </c>
      <c r="BN94" s="1588"/>
      <c r="BO94" s="1588" t="s">
        <v>4191</v>
      </c>
      <c r="BP94" s="1588"/>
      <c r="BQ94" s="1588" t="s">
        <v>4192</v>
      </c>
      <c r="BR94" s="556"/>
      <c r="BS94" s="556"/>
      <c r="BT94" s="556"/>
      <c r="BU94" s="556"/>
      <c r="BV94" s="556"/>
      <c r="BW94" s="2371"/>
      <c r="BX94" s="2371"/>
      <c r="BY94" s="2371"/>
      <c r="BZ94" s="2371"/>
      <c r="CA94" s="556"/>
      <c r="CB94" s="556"/>
      <c r="CC94" s="556"/>
      <c r="CD94" s="556"/>
      <c r="CE94" s="556"/>
      <c r="CF94" s="556"/>
      <c r="CG94" s="556"/>
      <c r="CH94" s="556"/>
      <c r="CI94" s="556"/>
      <c r="CJ94" s="556"/>
      <c r="CK94" s="556"/>
      <c r="CL94" s="556"/>
      <c r="CM94" s="556"/>
      <c r="CN94" s="556"/>
      <c r="CO94" s="556"/>
      <c r="CP94" s="556"/>
      <c r="CQ94" s="556"/>
      <c r="CR94" s="556"/>
      <c r="CS94" s="556"/>
      <c r="CT94" s="554" t="s">
        <v>4193</v>
      </c>
      <c r="CU94" s="1589" t="s">
        <v>1999</v>
      </c>
      <c r="CV94" s="1407"/>
      <c r="CW94" s="1539"/>
      <c r="CX94" s="2059"/>
    </row>
    <row r="95" spans="2:102" s="68" customFormat="1" ht="18" x14ac:dyDescent="0.25">
      <c r="B95" s="1532">
        <v>92</v>
      </c>
      <c r="C95" s="1406" t="s">
        <v>3299</v>
      </c>
      <c r="D95" s="1407" t="s">
        <v>4194</v>
      </c>
      <c r="E95" s="506"/>
      <c r="F95" s="506"/>
      <c r="G95" s="506"/>
      <c r="H95" s="506"/>
      <c r="I95" s="506"/>
      <c r="J95" s="506"/>
      <c r="K95" s="506"/>
      <c r="L95" s="506"/>
      <c r="M95" s="506"/>
      <c r="N95" s="506"/>
      <c r="O95" s="506"/>
      <c r="P95" s="506"/>
      <c r="Q95" s="506"/>
      <c r="R95" s="556"/>
      <c r="S95" s="506"/>
      <c r="T95" s="506"/>
      <c r="U95" s="506"/>
      <c r="V95" s="506"/>
      <c r="W95" s="506"/>
      <c r="X95" s="506"/>
      <c r="Y95" s="506"/>
      <c r="Z95" s="506"/>
      <c r="AA95" s="506"/>
      <c r="AB95" s="506"/>
      <c r="AC95" s="506"/>
      <c r="AD95" s="506"/>
      <c r="AE95" s="1587"/>
      <c r="AF95" s="1587"/>
      <c r="AG95" s="506"/>
      <c r="AH95" s="506"/>
      <c r="AI95" s="506"/>
      <c r="AJ95" s="506"/>
      <c r="AK95" s="506"/>
      <c r="AL95" s="506"/>
      <c r="AM95" s="1587">
        <v>-1</v>
      </c>
      <c r="AN95" s="506"/>
      <c r="AO95" s="556"/>
      <c r="AP95" s="506"/>
      <c r="AQ95" s="506"/>
      <c r="AR95" s="506"/>
      <c r="AS95" s="556"/>
      <c r="AT95" s="506"/>
      <c r="AU95" s="506"/>
      <c r="AV95" s="506"/>
      <c r="AW95" s="506"/>
      <c r="AX95" s="506"/>
      <c r="AY95" s="506"/>
      <c r="AZ95" s="556"/>
      <c r="BA95" s="506"/>
      <c r="BB95" s="506"/>
      <c r="BC95" s="506"/>
      <c r="BD95" s="556"/>
      <c r="BE95" s="506"/>
      <c r="BF95" s="556"/>
      <c r="BG95" s="556"/>
      <c r="BH95" s="556"/>
      <c r="BI95" s="506"/>
      <c r="BJ95" s="506"/>
      <c r="BK95" s="556" t="s">
        <v>4195</v>
      </c>
      <c r="BL95" s="506"/>
      <c r="BM95" s="506"/>
      <c r="BN95" s="556" t="s">
        <v>4196</v>
      </c>
      <c r="BO95" s="506"/>
      <c r="BP95" s="556"/>
      <c r="BQ95" s="556"/>
      <c r="BR95" s="556"/>
      <c r="BS95" s="556"/>
      <c r="BT95" s="556"/>
      <c r="BU95" s="556"/>
      <c r="BV95" s="556"/>
      <c r="BW95" s="2371"/>
      <c r="BX95" s="2371"/>
      <c r="BY95" s="2371"/>
      <c r="BZ95" s="2371"/>
      <c r="CA95" s="556"/>
      <c r="CB95" s="556"/>
      <c r="CC95" s="556"/>
      <c r="CD95" s="556"/>
      <c r="CE95" s="556"/>
      <c r="CF95" s="556"/>
      <c r="CG95" s="556"/>
      <c r="CH95" s="556"/>
      <c r="CI95" s="556"/>
      <c r="CJ95" s="556"/>
      <c r="CK95" s="556"/>
      <c r="CL95" s="556"/>
      <c r="CM95" s="556"/>
      <c r="CN95" s="556"/>
      <c r="CO95" s="556"/>
      <c r="CP95" s="556"/>
      <c r="CQ95" s="556"/>
      <c r="CR95" s="556"/>
      <c r="CS95" s="556"/>
      <c r="CT95" s="554" t="s">
        <v>4197</v>
      </c>
      <c r="CU95" s="1589" t="s">
        <v>1999</v>
      </c>
      <c r="CV95" s="1407"/>
      <c r="CW95" s="1539"/>
      <c r="CX95" s="2059"/>
    </row>
    <row r="96" spans="2:102" s="68" customFormat="1" ht="18" x14ac:dyDescent="0.25">
      <c r="B96" s="1532">
        <v>93</v>
      </c>
      <c r="C96" s="1406" t="s">
        <v>3300</v>
      </c>
      <c r="D96" s="1407" t="s">
        <v>4198</v>
      </c>
      <c r="E96" s="506"/>
      <c r="F96" s="506"/>
      <c r="G96" s="506"/>
      <c r="H96" s="506"/>
      <c r="I96" s="506"/>
      <c r="J96" s="506"/>
      <c r="K96" s="506"/>
      <c r="L96" s="506"/>
      <c r="M96" s="506"/>
      <c r="N96" s="506"/>
      <c r="O96" s="506"/>
      <c r="P96" s="506"/>
      <c r="Q96" s="506"/>
      <c r="R96" s="556"/>
      <c r="S96" s="506"/>
      <c r="T96" s="506"/>
      <c r="U96" s="506"/>
      <c r="V96" s="506"/>
      <c r="W96" s="506"/>
      <c r="X96" s="506"/>
      <c r="Y96" s="506"/>
      <c r="Z96" s="506"/>
      <c r="AA96" s="506"/>
      <c r="AB96" s="506"/>
      <c r="AC96" s="506"/>
      <c r="AD96" s="506"/>
      <c r="AE96" s="1587"/>
      <c r="AF96" s="1587"/>
      <c r="AG96" s="506"/>
      <c r="AH96" s="506"/>
      <c r="AI96" s="506"/>
      <c r="AJ96" s="506"/>
      <c r="AK96" s="506"/>
      <c r="AL96" s="506"/>
      <c r="AM96" s="1587">
        <v>-1</v>
      </c>
      <c r="AN96" s="506"/>
      <c r="AO96" s="556"/>
      <c r="AP96" s="506"/>
      <c r="AQ96" s="506"/>
      <c r="AR96" s="506"/>
      <c r="AS96" s="556"/>
      <c r="AT96" s="506"/>
      <c r="AU96" s="506"/>
      <c r="AV96" s="506"/>
      <c r="AW96" s="506"/>
      <c r="AX96" s="506"/>
      <c r="AY96" s="506"/>
      <c r="AZ96" s="556"/>
      <c r="BA96" s="506"/>
      <c r="BB96" s="506"/>
      <c r="BC96" s="506"/>
      <c r="BD96" s="556"/>
      <c r="BE96" s="506"/>
      <c r="BF96" s="556"/>
      <c r="BG96" s="556"/>
      <c r="BH96" s="506"/>
      <c r="BI96" s="556"/>
      <c r="BJ96" s="506"/>
      <c r="BK96" s="506"/>
      <c r="BL96" s="556" t="s">
        <v>4199</v>
      </c>
      <c r="BM96" s="506"/>
      <c r="BN96" s="506"/>
      <c r="BO96" s="556" t="s">
        <v>4200</v>
      </c>
      <c r="BP96" s="506"/>
      <c r="BQ96" s="506"/>
      <c r="BR96" s="556"/>
      <c r="BS96" s="556"/>
      <c r="BT96" s="556"/>
      <c r="BU96" s="556"/>
      <c r="BV96" s="556"/>
      <c r="BW96" s="2371"/>
      <c r="BX96" s="2371"/>
      <c r="BY96" s="2371"/>
      <c r="BZ96" s="2371"/>
      <c r="CA96" s="556"/>
      <c r="CB96" s="556"/>
      <c r="CC96" s="556"/>
      <c r="CD96" s="556"/>
      <c r="CE96" s="556"/>
      <c r="CF96" s="556"/>
      <c r="CG96" s="556"/>
      <c r="CH96" s="556"/>
      <c r="CI96" s="556"/>
      <c r="CJ96" s="556"/>
      <c r="CK96" s="556"/>
      <c r="CL96" s="556"/>
      <c r="CM96" s="556"/>
      <c r="CN96" s="556"/>
      <c r="CO96" s="556"/>
      <c r="CP96" s="556"/>
      <c r="CQ96" s="556"/>
      <c r="CR96" s="556"/>
      <c r="CS96" s="556"/>
      <c r="CT96" s="554" t="s">
        <v>4201</v>
      </c>
      <c r="CU96" s="1589" t="s">
        <v>1999</v>
      </c>
      <c r="CV96" s="1407"/>
      <c r="CW96" s="1539"/>
      <c r="CX96" s="2059"/>
    </row>
    <row r="97" spans="2:102" s="68" customFormat="1" ht="18" x14ac:dyDescent="0.25">
      <c r="B97" s="1532">
        <v>94</v>
      </c>
      <c r="C97" s="1406" t="s">
        <v>3321</v>
      </c>
      <c r="D97" s="1407" t="s">
        <v>4202</v>
      </c>
      <c r="E97" s="506"/>
      <c r="F97" s="506"/>
      <c r="G97" s="506"/>
      <c r="H97" s="506"/>
      <c r="I97" s="506"/>
      <c r="J97" s="506"/>
      <c r="K97" s="506"/>
      <c r="L97" s="506"/>
      <c r="M97" s="506"/>
      <c r="N97" s="506"/>
      <c r="O97" s="506"/>
      <c r="P97" s="506"/>
      <c r="Q97" s="506"/>
      <c r="R97" s="556"/>
      <c r="S97" s="506"/>
      <c r="T97" s="506"/>
      <c r="U97" s="506"/>
      <c r="V97" s="506"/>
      <c r="W97" s="506"/>
      <c r="X97" s="506"/>
      <c r="Y97" s="506"/>
      <c r="Z97" s="506"/>
      <c r="AA97" s="506"/>
      <c r="AB97" s="506"/>
      <c r="AC97" s="506"/>
      <c r="AD97" s="506"/>
      <c r="AE97" s="556"/>
      <c r="AF97" s="556"/>
      <c r="AG97" s="506"/>
      <c r="AH97" s="506"/>
      <c r="AI97" s="506"/>
      <c r="AJ97" s="506"/>
      <c r="AK97" s="506"/>
      <c r="AL97" s="506"/>
      <c r="AM97" s="556" t="s">
        <v>4203</v>
      </c>
      <c r="AN97" s="506"/>
      <c r="AO97" s="556"/>
      <c r="AP97" s="506"/>
      <c r="AQ97" s="506"/>
      <c r="AR97" s="506"/>
      <c r="AS97" s="556"/>
      <c r="AT97" s="506"/>
      <c r="AU97" s="506"/>
      <c r="AV97" s="506"/>
      <c r="AW97" s="506"/>
      <c r="AX97" s="506"/>
      <c r="AY97" s="506"/>
      <c r="AZ97" s="556"/>
      <c r="BA97" s="506"/>
      <c r="BB97" s="506"/>
      <c r="BC97" s="506"/>
      <c r="BD97" s="556"/>
      <c r="BE97" s="506"/>
      <c r="BF97" s="556"/>
      <c r="BG97" s="556"/>
      <c r="BH97" s="1589"/>
      <c r="BI97" s="1589"/>
      <c r="BJ97" s="1589"/>
      <c r="BK97" s="1589">
        <v>1</v>
      </c>
      <c r="BL97" s="1589"/>
      <c r="BM97" s="1589"/>
      <c r="BN97" s="1589">
        <v>-1</v>
      </c>
      <c r="BO97" s="1589"/>
      <c r="BP97" s="1589"/>
      <c r="BQ97" s="1589"/>
      <c r="BR97" s="556"/>
      <c r="BS97" s="556"/>
      <c r="BT97" s="556"/>
      <c r="BU97" s="556"/>
      <c r="BV97" s="556"/>
      <c r="BW97" s="2371"/>
      <c r="BX97" s="2371"/>
      <c r="BY97" s="2371"/>
      <c r="BZ97" s="2371"/>
      <c r="CA97" s="556"/>
      <c r="CB97" s="556"/>
      <c r="CC97" s="556"/>
      <c r="CD97" s="556"/>
      <c r="CE97" s="556"/>
      <c r="CF97" s="556"/>
      <c r="CG97" s="556"/>
      <c r="CH97" s="556"/>
      <c r="CI97" s="556"/>
      <c r="CJ97" s="556"/>
      <c r="CK97" s="556"/>
      <c r="CL97" s="556"/>
      <c r="CM97" s="556"/>
      <c r="CN97" s="556"/>
      <c r="CO97" s="556"/>
      <c r="CP97" s="556"/>
      <c r="CQ97" s="556"/>
      <c r="CR97" s="556"/>
      <c r="CS97" s="556"/>
      <c r="CT97" s="554" t="s">
        <v>4204</v>
      </c>
      <c r="CU97" s="1589" t="s">
        <v>1999</v>
      </c>
      <c r="CV97" s="1407"/>
      <c r="CW97" s="1539"/>
      <c r="CX97" s="2059"/>
    </row>
    <row r="98" spans="2:102" s="68" customFormat="1" ht="18" x14ac:dyDescent="0.25">
      <c r="B98" s="1532">
        <v>95</v>
      </c>
      <c r="C98" s="1406" t="s">
        <v>3613</v>
      </c>
      <c r="D98" s="1407" t="s">
        <v>4205</v>
      </c>
      <c r="E98" s="506"/>
      <c r="F98" s="506"/>
      <c r="G98" s="506"/>
      <c r="H98" s="506"/>
      <c r="I98" s="506"/>
      <c r="J98" s="506"/>
      <c r="K98" s="506"/>
      <c r="L98" s="506"/>
      <c r="M98" s="506"/>
      <c r="N98" s="506"/>
      <c r="O98" s="506"/>
      <c r="P98" s="506"/>
      <c r="Q98" s="506"/>
      <c r="R98" s="556"/>
      <c r="S98" s="506"/>
      <c r="T98" s="506"/>
      <c r="U98" s="506"/>
      <c r="V98" s="506"/>
      <c r="W98" s="506"/>
      <c r="X98" s="506"/>
      <c r="Y98" s="506"/>
      <c r="Z98" s="506"/>
      <c r="AA98" s="506"/>
      <c r="AB98" s="506"/>
      <c r="AC98" s="506"/>
      <c r="AD98" s="506"/>
      <c r="AE98" s="556"/>
      <c r="AF98" s="556"/>
      <c r="AG98" s="506"/>
      <c r="AH98" s="506"/>
      <c r="AI98" s="506"/>
      <c r="AJ98" s="506"/>
      <c r="AK98" s="506"/>
      <c r="AL98" s="506"/>
      <c r="AM98" s="556" t="s">
        <v>4206</v>
      </c>
      <c r="AN98" s="506"/>
      <c r="AO98" s="556"/>
      <c r="AP98" s="506"/>
      <c r="AQ98" s="506"/>
      <c r="AR98" s="506"/>
      <c r="AS98" s="556"/>
      <c r="AT98" s="506"/>
      <c r="AU98" s="506"/>
      <c r="AV98" s="506"/>
      <c r="AW98" s="506"/>
      <c r="AX98" s="506"/>
      <c r="AY98" s="506"/>
      <c r="AZ98" s="556"/>
      <c r="BA98" s="506"/>
      <c r="BB98" s="506"/>
      <c r="BC98" s="506"/>
      <c r="BD98" s="556"/>
      <c r="BE98" s="506"/>
      <c r="BF98" s="556"/>
      <c r="BG98" s="556"/>
      <c r="BH98" s="1589"/>
      <c r="BI98" s="1589"/>
      <c r="BJ98" s="1589"/>
      <c r="BK98" s="1589"/>
      <c r="BL98" s="1589">
        <v>1</v>
      </c>
      <c r="BM98" s="1589"/>
      <c r="BN98" s="1589"/>
      <c r="BO98" s="1589">
        <v>-1</v>
      </c>
      <c r="BP98" s="1589"/>
      <c r="BQ98" s="1589"/>
      <c r="BR98" s="556"/>
      <c r="BS98" s="556"/>
      <c r="BT98" s="556"/>
      <c r="BU98" s="556"/>
      <c r="BV98" s="556"/>
      <c r="BW98" s="2371"/>
      <c r="BX98" s="2371"/>
      <c r="BY98" s="2371"/>
      <c r="BZ98" s="2371"/>
      <c r="CA98" s="556"/>
      <c r="CB98" s="556"/>
      <c r="CC98" s="556"/>
      <c r="CD98" s="556"/>
      <c r="CE98" s="556"/>
      <c r="CF98" s="556"/>
      <c r="CG98" s="556"/>
      <c r="CH98" s="556"/>
      <c r="CI98" s="556"/>
      <c r="CJ98" s="556"/>
      <c r="CK98" s="556"/>
      <c r="CL98" s="556"/>
      <c r="CM98" s="556"/>
      <c r="CN98" s="556"/>
      <c r="CO98" s="556"/>
      <c r="CP98" s="556"/>
      <c r="CQ98" s="556"/>
      <c r="CR98" s="556"/>
      <c r="CS98" s="556"/>
      <c r="CT98" s="554" t="s">
        <v>4207</v>
      </c>
      <c r="CU98" s="1589" t="s">
        <v>1999</v>
      </c>
      <c r="CV98" s="1407"/>
      <c r="CW98" s="1539"/>
      <c r="CX98" s="2059"/>
    </row>
    <row r="99" spans="2:102" s="68" customFormat="1" ht="18" x14ac:dyDescent="0.25">
      <c r="B99" s="1532">
        <v>96</v>
      </c>
      <c r="C99" s="1406" t="s">
        <v>3614</v>
      </c>
      <c r="D99" s="1407" t="s">
        <v>4208</v>
      </c>
      <c r="E99" s="506"/>
      <c r="F99" s="506"/>
      <c r="G99" s="506"/>
      <c r="H99" s="506"/>
      <c r="I99" s="506"/>
      <c r="J99" s="506"/>
      <c r="K99" s="506"/>
      <c r="L99" s="506"/>
      <c r="M99" s="506"/>
      <c r="N99" s="506"/>
      <c r="O99" s="506"/>
      <c r="P99" s="506"/>
      <c r="Q99" s="506"/>
      <c r="R99" s="556"/>
      <c r="S99" s="506"/>
      <c r="T99" s="506"/>
      <c r="U99" s="506"/>
      <c r="V99" s="506"/>
      <c r="W99" s="506"/>
      <c r="X99" s="506"/>
      <c r="Y99" s="506"/>
      <c r="Z99" s="506"/>
      <c r="AA99" s="506"/>
      <c r="AB99" s="506"/>
      <c r="AC99" s="506"/>
      <c r="AD99" s="506"/>
      <c r="AE99" s="556"/>
      <c r="AF99" s="556"/>
      <c r="AG99" s="506"/>
      <c r="AH99" s="506"/>
      <c r="AI99" s="506"/>
      <c r="AJ99" s="506"/>
      <c r="AK99" s="506"/>
      <c r="AL99" s="506"/>
      <c r="AM99" s="556" t="s">
        <v>4209</v>
      </c>
      <c r="AN99" s="506"/>
      <c r="AO99" s="556"/>
      <c r="AP99" s="506"/>
      <c r="AQ99" s="506"/>
      <c r="AR99" s="506"/>
      <c r="AS99" s="556"/>
      <c r="AT99" s="506"/>
      <c r="AU99" s="506"/>
      <c r="AV99" s="506"/>
      <c r="AW99" s="506"/>
      <c r="AX99" s="506"/>
      <c r="AY99" s="506"/>
      <c r="AZ99" s="556"/>
      <c r="BA99" s="506"/>
      <c r="BB99" s="506"/>
      <c r="BC99" s="506"/>
      <c r="BD99" s="556"/>
      <c r="BE99" s="506"/>
      <c r="BF99" s="556"/>
      <c r="BG99" s="556"/>
      <c r="BH99" s="1589"/>
      <c r="BI99" s="1589"/>
      <c r="BJ99" s="1589"/>
      <c r="BK99" s="1589"/>
      <c r="BL99" s="1589"/>
      <c r="BM99" s="1589">
        <v>1</v>
      </c>
      <c r="BN99" s="1589"/>
      <c r="BO99" s="1589"/>
      <c r="BP99" s="1588" t="s">
        <v>4210</v>
      </c>
      <c r="BQ99" s="1588" t="s">
        <v>4211</v>
      </c>
      <c r="BR99" s="556"/>
      <c r="BS99" s="556"/>
      <c r="BT99" s="556"/>
      <c r="BU99" s="556"/>
      <c r="BV99" s="556"/>
      <c r="BW99" s="2371"/>
      <c r="BX99" s="2371"/>
      <c r="BY99" s="2371"/>
      <c r="BZ99" s="2371"/>
      <c r="CA99" s="556"/>
      <c r="CB99" s="556"/>
      <c r="CC99" s="556"/>
      <c r="CD99" s="556"/>
      <c r="CE99" s="556"/>
      <c r="CF99" s="556"/>
      <c r="CG99" s="556"/>
      <c r="CH99" s="556"/>
      <c r="CI99" s="556"/>
      <c r="CJ99" s="556"/>
      <c r="CK99" s="556"/>
      <c r="CL99" s="556"/>
      <c r="CM99" s="556"/>
      <c r="CN99" s="556"/>
      <c r="CO99" s="556"/>
      <c r="CP99" s="556"/>
      <c r="CQ99" s="556"/>
      <c r="CR99" s="556"/>
      <c r="CS99" s="556"/>
      <c r="CT99" s="554" t="s">
        <v>4212</v>
      </c>
      <c r="CU99" s="1589" t="s">
        <v>1999</v>
      </c>
      <c r="CV99" s="1407"/>
      <c r="CW99" s="1539"/>
      <c r="CX99" s="2059"/>
    </row>
    <row r="100" spans="2:102" ht="18" x14ac:dyDescent="0.25">
      <c r="B100" s="1533">
        <v>97</v>
      </c>
      <c r="C100" s="1408" t="s">
        <v>3615</v>
      </c>
      <c r="D100" s="572" t="s">
        <v>1126</v>
      </c>
      <c r="E100" s="509"/>
      <c r="F100" s="509"/>
      <c r="G100" s="509"/>
      <c r="H100" s="509"/>
      <c r="I100" s="509"/>
      <c r="J100" s="509"/>
      <c r="K100" s="509"/>
      <c r="L100" s="509"/>
      <c r="M100" s="509"/>
      <c r="N100" s="509"/>
      <c r="O100" s="509"/>
      <c r="P100" s="509"/>
      <c r="Q100" s="509"/>
      <c r="R100" s="510"/>
      <c r="S100" s="509"/>
      <c r="T100" s="509"/>
      <c r="U100" s="509"/>
      <c r="V100" s="509"/>
      <c r="W100" s="509"/>
      <c r="X100" s="509"/>
      <c r="Y100" s="509"/>
      <c r="Z100" s="509"/>
      <c r="AA100" s="509"/>
      <c r="AB100" s="509"/>
      <c r="AC100" s="509"/>
      <c r="AD100" s="509"/>
      <c r="AE100" s="509"/>
      <c r="AF100" s="509"/>
      <c r="AG100" s="509"/>
      <c r="AH100" s="509"/>
      <c r="AI100" s="509"/>
      <c r="AJ100" s="509"/>
      <c r="AK100" s="509"/>
      <c r="AL100" s="509"/>
      <c r="AM100" s="510"/>
      <c r="AN100" s="509"/>
      <c r="AO100" s="509"/>
      <c r="AP100" s="509"/>
      <c r="AQ100" s="509"/>
      <c r="AR100" s="509"/>
      <c r="AS100" s="509"/>
      <c r="AT100" s="509"/>
      <c r="AU100" s="509"/>
      <c r="AV100" s="510" t="s">
        <v>2425</v>
      </c>
      <c r="AW100" s="509"/>
      <c r="AX100" s="509"/>
      <c r="AY100" s="509"/>
      <c r="AZ100" s="510" t="s">
        <v>1687</v>
      </c>
      <c r="BA100" s="509"/>
      <c r="BB100" s="509"/>
      <c r="BC100" s="510"/>
      <c r="BD100" s="509"/>
      <c r="BE100" s="509"/>
      <c r="BF100" s="510"/>
      <c r="BG100" s="510"/>
      <c r="BH100" s="509"/>
      <c r="BI100" s="510"/>
      <c r="BJ100" s="510"/>
      <c r="BK100" s="509"/>
      <c r="BL100" s="509"/>
      <c r="BM100" s="510"/>
      <c r="BN100" s="510"/>
      <c r="BO100" s="509"/>
      <c r="BP100" s="510"/>
      <c r="BQ100" s="510"/>
      <c r="BR100" s="510">
        <v>1</v>
      </c>
      <c r="BS100" s="510"/>
      <c r="BT100" s="510"/>
      <c r="BU100" s="510"/>
      <c r="BV100" s="510"/>
      <c r="BW100" s="2372"/>
      <c r="BX100" s="2372"/>
      <c r="BY100" s="2372"/>
      <c r="BZ100" s="2372"/>
      <c r="CA100" s="510"/>
      <c r="CB100" s="510"/>
      <c r="CC100" s="510"/>
      <c r="CD100" s="510"/>
      <c r="CE100" s="510"/>
      <c r="CF100" s="510"/>
      <c r="CG100" s="510"/>
      <c r="CH100" s="510"/>
      <c r="CI100" s="510"/>
      <c r="CJ100" s="510"/>
      <c r="CK100" s="510"/>
      <c r="CL100" s="510"/>
      <c r="CM100" s="510"/>
      <c r="CN100" s="510"/>
      <c r="CO100" s="510"/>
      <c r="CP100" s="510"/>
      <c r="CQ100" s="510"/>
      <c r="CR100" s="510"/>
      <c r="CS100" s="510"/>
      <c r="CT100" s="573" t="s">
        <v>1688</v>
      </c>
      <c r="CU100" s="574" t="s">
        <v>1999</v>
      </c>
      <c r="CV100" s="574" t="s">
        <v>1127</v>
      </c>
      <c r="CW100" s="1590"/>
    </row>
    <row r="101" spans="2:102" ht="18" x14ac:dyDescent="0.25">
      <c r="B101" s="1533">
        <v>98</v>
      </c>
      <c r="C101" s="1408" t="s">
        <v>3616</v>
      </c>
      <c r="D101" s="572" t="s">
        <v>1125</v>
      </c>
      <c r="E101" s="509"/>
      <c r="F101" s="509"/>
      <c r="G101" s="509"/>
      <c r="H101" s="509"/>
      <c r="I101" s="509"/>
      <c r="J101" s="509"/>
      <c r="K101" s="509"/>
      <c r="L101" s="509"/>
      <c r="M101" s="509"/>
      <c r="N101" s="509"/>
      <c r="O101" s="509"/>
      <c r="P101" s="509"/>
      <c r="Q101" s="509"/>
      <c r="R101" s="510"/>
      <c r="S101" s="509"/>
      <c r="T101" s="509"/>
      <c r="U101" s="509"/>
      <c r="V101" s="509"/>
      <c r="W101" s="509"/>
      <c r="X101" s="509"/>
      <c r="Y101" s="509"/>
      <c r="Z101" s="509"/>
      <c r="AA101" s="509"/>
      <c r="AB101" s="509"/>
      <c r="AC101" s="509"/>
      <c r="AD101" s="509"/>
      <c r="AE101" s="509"/>
      <c r="AF101" s="509"/>
      <c r="AG101" s="509"/>
      <c r="AH101" s="509"/>
      <c r="AI101" s="509"/>
      <c r="AJ101" s="509"/>
      <c r="AK101" s="509"/>
      <c r="AL101" s="509"/>
      <c r="AM101" s="510" t="s">
        <v>1689</v>
      </c>
      <c r="AN101" s="509"/>
      <c r="AO101" s="509"/>
      <c r="AP101" s="509"/>
      <c r="AQ101" s="509"/>
      <c r="AR101" s="509"/>
      <c r="AS101" s="509"/>
      <c r="AT101" s="509"/>
      <c r="AU101" s="509"/>
      <c r="AV101" s="509"/>
      <c r="AW101" s="509"/>
      <c r="AX101" s="509"/>
      <c r="AY101" s="509"/>
      <c r="AZ101" s="510" t="s">
        <v>1690</v>
      </c>
      <c r="BA101" s="509"/>
      <c r="BB101" s="509"/>
      <c r="BC101" s="510"/>
      <c r="BD101" s="509"/>
      <c r="BE101" s="509"/>
      <c r="BF101" s="510"/>
      <c r="BG101" s="510"/>
      <c r="BH101" s="509"/>
      <c r="BI101" s="510"/>
      <c r="BJ101" s="510"/>
      <c r="BK101" s="509"/>
      <c r="BL101" s="509"/>
      <c r="BM101" s="510"/>
      <c r="BN101" s="510"/>
      <c r="BO101" s="509"/>
      <c r="BP101" s="510"/>
      <c r="BQ101" s="510"/>
      <c r="BR101" s="510"/>
      <c r="BS101" s="510">
        <v>1</v>
      </c>
      <c r="BT101" s="510"/>
      <c r="BU101" s="510"/>
      <c r="BV101" s="510"/>
      <c r="BW101" s="2372"/>
      <c r="BX101" s="2372"/>
      <c r="BY101" s="2372"/>
      <c r="BZ101" s="2372"/>
      <c r="CA101" s="510"/>
      <c r="CB101" s="510"/>
      <c r="CC101" s="510"/>
      <c r="CD101" s="510"/>
      <c r="CE101" s="510"/>
      <c r="CF101" s="510"/>
      <c r="CG101" s="510"/>
      <c r="CH101" s="510"/>
      <c r="CI101" s="510"/>
      <c r="CJ101" s="510"/>
      <c r="CK101" s="510"/>
      <c r="CL101" s="510"/>
      <c r="CM101" s="510"/>
      <c r="CN101" s="510"/>
      <c r="CO101" s="510"/>
      <c r="CP101" s="510"/>
      <c r="CQ101" s="510"/>
      <c r="CR101" s="510"/>
      <c r="CS101" s="510"/>
      <c r="CT101" s="573" t="s">
        <v>1691</v>
      </c>
      <c r="CU101" s="574" t="s">
        <v>1999</v>
      </c>
      <c r="CV101" s="574" t="s">
        <v>1128</v>
      </c>
      <c r="CW101" s="1590"/>
    </row>
    <row r="102" spans="2:102" s="68" customFormat="1" ht="18" x14ac:dyDescent="0.25">
      <c r="B102" s="1533">
        <v>99</v>
      </c>
      <c r="C102" s="1408" t="s">
        <v>3617</v>
      </c>
      <c r="D102" s="1409" t="s">
        <v>4213</v>
      </c>
      <c r="E102" s="509"/>
      <c r="F102" s="509"/>
      <c r="G102" s="509"/>
      <c r="H102" s="509"/>
      <c r="I102" s="509"/>
      <c r="J102" s="509"/>
      <c r="K102" s="509"/>
      <c r="L102" s="509"/>
      <c r="M102" s="509"/>
      <c r="N102" s="509"/>
      <c r="O102" s="509"/>
      <c r="P102" s="509"/>
      <c r="Q102" s="509"/>
      <c r="R102" s="510"/>
      <c r="S102" s="509"/>
      <c r="T102" s="509"/>
      <c r="U102" s="509"/>
      <c r="V102" s="509"/>
      <c r="W102" s="509"/>
      <c r="X102" s="509"/>
      <c r="Y102" s="509"/>
      <c r="Z102" s="509"/>
      <c r="AA102" s="509"/>
      <c r="AB102" s="509"/>
      <c r="AC102" s="509"/>
      <c r="AD102" s="509"/>
      <c r="AE102" s="510"/>
      <c r="AF102" s="510"/>
      <c r="AG102" s="509"/>
      <c r="AH102" s="509"/>
      <c r="AI102" s="510"/>
      <c r="AJ102" s="509"/>
      <c r="AK102" s="509"/>
      <c r="AL102" s="509"/>
      <c r="AM102" s="510" t="s">
        <v>4214</v>
      </c>
      <c r="AN102" s="509"/>
      <c r="AO102" s="509"/>
      <c r="AP102" s="509"/>
      <c r="AQ102" s="509"/>
      <c r="AR102" s="509"/>
      <c r="AS102" s="509"/>
      <c r="AT102" s="510"/>
      <c r="AU102" s="509"/>
      <c r="AV102" s="509"/>
      <c r="AW102" s="510"/>
      <c r="AX102" s="509"/>
      <c r="AY102" s="509"/>
      <c r="AZ102" s="510" t="s">
        <v>4215</v>
      </c>
      <c r="BA102" s="510"/>
      <c r="BB102" s="509"/>
      <c r="BC102" s="510"/>
      <c r="BD102" s="510"/>
      <c r="BE102" s="509"/>
      <c r="BF102" s="509"/>
      <c r="BG102" s="510"/>
      <c r="BH102" s="510"/>
      <c r="BI102" s="509"/>
      <c r="BJ102" s="510"/>
      <c r="BK102" s="510"/>
      <c r="BL102" s="510"/>
      <c r="BM102" s="510"/>
      <c r="BN102" s="510"/>
      <c r="BO102" s="510"/>
      <c r="BP102" s="510"/>
      <c r="BQ102" s="510"/>
      <c r="BR102" s="510"/>
      <c r="BS102" s="510"/>
      <c r="BT102" s="510">
        <v>1</v>
      </c>
      <c r="BU102" s="510"/>
      <c r="BV102" s="510"/>
      <c r="BW102" s="2372"/>
      <c r="BX102" s="2372"/>
      <c r="BY102" s="2372"/>
      <c r="BZ102" s="2372"/>
      <c r="CA102" s="510"/>
      <c r="CB102" s="510"/>
      <c r="CC102" s="510"/>
      <c r="CD102" s="510"/>
      <c r="CE102" s="510"/>
      <c r="CF102" s="510"/>
      <c r="CG102" s="510"/>
      <c r="CH102" s="510"/>
      <c r="CI102" s="510"/>
      <c r="CJ102" s="510"/>
      <c r="CK102" s="510"/>
      <c r="CL102" s="510"/>
      <c r="CM102" s="510"/>
      <c r="CN102" s="510"/>
      <c r="CO102" s="510"/>
      <c r="CP102" s="510"/>
      <c r="CQ102" s="510"/>
      <c r="CR102" s="510"/>
      <c r="CS102" s="510"/>
      <c r="CT102" s="573" t="s">
        <v>4216</v>
      </c>
      <c r="CU102" s="509" t="s">
        <v>1999</v>
      </c>
      <c r="CV102" s="574" t="s">
        <v>4217</v>
      </c>
      <c r="CW102" s="1590"/>
      <c r="CX102" s="2059"/>
    </row>
    <row r="103" spans="2:102" ht="18" x14ac:dyDescent="0.25">
      <c r="B103" s="1533">
        <v>100</v>
      </c>
      <c r="C103" s="1408" t="s">
        <v>3618</v>
      </c>
      <c r="D103" s="572" t="s">
        <v>288</v>
      </c>
      <c r="E103" s="509"/>
      <c r="F103" s="509"/>
      <c r="G103" s="509"/>
      <c r="H103" s="509"/>
      <c r="I103" s="509"/>
      <c r="J103" s="509"/>
      <c r="K103" s="509"/>
      <c r="L103" s="509"/>
      <c r="M103" s="509"/>
      <c r="N103" s="509"/>
      <c r="O103" s="509"/>
      <c r="P103" s="509"/>
      <c r="Q103" s="509"/>
      <c r="R103" s="510"/>
      <c r="S103" s="509"/>
      <c r="T103" s="509"/>
      <c r="U103" s="509"/>
      <c r="V103" s="509"/>
      <c r="W103" s="509"/>
      <c r="X103" s="509"/>
      <c r="Y103" s="509"/>
      <c r="Z103" s="509"/>
      <c r="AA103" s="510" t="s">
        <v>1692</v>
      </c>
      <c r="AB103" s="510"/>
      <c r="AC103" s="509"/>
      <c r="AD103" s="509"/>
      <c r="AE103" s="509"/>
      <c r="AF103" s="509"/>
      <c r="AG103" s="509"/>
      <c r="AH103" s="509"/>
      <c r="AI103" s="509"/>
      <c r="AJ103" s="509"/>
      <c r="AK103" s="509"/>
      <c r="AL103" s="509"/>
      <c r="AM103" s="510" t="s">
        <v>1693</v>
      </c>
      <c r="AN103" s="509"/>
      <c r="AO103" s="509"/>
      <c r="AP103" s="509"/>
      <c r="AQ103" s="509"/>
      <c r="AR103" s="509"/>
      <c r="AS103" s="509"/>
      <c r="AT103" s="509"/>
      <c r="AU103" s="509"/>
      <c r="AV103" s="509"/>
      <c r="AW103" s="509"/>
      <c r="AX103" s="509"/>
      <c r="AY103" s="509"/>
      <c r="AZ103" s="509"/>
      <c r="BA103" s="510" t="s">
        <v>1694</v>
      </c>
      <c r="BB103" s="509"/>
      <c r="BC103" s="510"/>
      <c r="BD103" s="509"/>
      <c r="BE103" s="509"/>
      <c r="BF103" s="510"/>
      <c r="BG103" s="510"/>
      <c r="BH103" s="509"/>
      <c r="BI103" s="510"/>
      <c r="BJ103" s="510"/>
      <c r="BK103" s="509"/>
      <c r="BL103" s="509"/>
      <c r="BM103" s="510"/>
      <c r="BN103" s="510"/>
      <c r="BO103" s="509"/>
      <c r="BP103" s="510"/>
      <c r="BQ103" s="510"/>
      <c r="BR103" s="510"/>
      <c r="BS103" s="510"/>
      <c r="BT103" s="510"/>
      <c r="BU103" s="510">
        <v>1</v>
      </c>
      <c r="BV103" s="510"/>
      <c r="BW103" s="2372"/>
      <c r="BX103" s="2372"/>
      <c r="BY103" s="2372"/>
      <c r="BZ103" s="2372"/>
      <c r="CA103" s="510"/>
      <c r="CB103" s="510"/>
      <c r="CC103" s="510"/>
      <c r="CD103" s="510"/>
      <c r="CE103" s="510"/>
      <c r="CF103" s="510"/>
      <c r="CG103" s="510"/>
      <c r="CH103" s="510"/>
      <c r="CI103" s="510"/>
      <c r="CJ103" s="510"/>
      <c r="CK103" s="510"/>
      <c r="CL103" s="510"/>
      <c r="CM103" s="510"/>
      <c r="CN103" s="510"/>
      <c r="CO103" s="510"/>
      <c r="CP103" s="510"/>
      <c r="CQ103" s="510"/>
      <c r="CR103" s="510"/>
      <c r="CS103" s="510"/>
      <c r="CT103" s="573" t="s">
        <v>1695</v>
      </c>
      <c r="CU103" s="574" t="s">
        <v>1999</v>
      </c>
      <c r="CV103" s="574" t="s">
        <v>1124</v>
      </c>
      <c r="CW103" s="1590"/>
    </row>
    <row r="104" spans="2:102" ht="18" x14ac:dyDescent="0.25">
      <c r="B104" s="1533">
        <v>101</v>
      </c>
      <c r="C104" s="1408" t="s">
        <v>3619</v>
      </c>
      <c r="D104" s="572" t="s">
        <v>1123</v>
      </c>
      <c r="E104" s="509"/>
      <c r="F104" s="509"/>
      <c r="G104" s="509"/>
      <c r="H104" s="509"/>
      <c r="I104" s="509"/>
      <c r="J104" s="509"/>
      <c r="K104" s="509"/>
      <c r="L104" s="509"/>
      <c r="M104" s="509"/>
      <c r="N104" s="509"/>
      <c r="O104" s="509"/>
      <c r="P104" s="509"/>
      <c r="Q104" s="509"/>
      <c r="R104" s="510"/>
      <c r="S104" s="509"/>
      <c r="T104" s="509"/>
      <c r="U104" s="509"/>
      <c r="V104" s="509"/>
      <c r="W104" s="509"/>
      <c r="X104" s="509"/>
      <c r="Y104" s="509"/>
      <c r="Z104" s="509"/>
      <c r="AA104" s="510"/>
      <c r="AB104" s="510"/>
      <c r="AC104" s="509"/>
      <c r="AD104" s="509"/>
      <c r="AE104" s="509"/>
      <c r="AF104" s="509"/>
      <c r="AG104" s="509"/>
      <c r="AH104" s="509"/>
      <c r="AI104" s="509"/>
      <c r="AJ104" s="509"/>
      <c r="AK104" s="509"/>
      <c r="AL104" s="509"/>
      <c r="AM104" s="510" t="s">
        <v>1696</v>
      </c>
      <c r="AN104" s="509"/>
      <c r="AO104" s="509"/>
      <c r="AP104" s="509"/>
      <c r="AQ104" s="509"/>
      <c r="AR104" s="509"/>
      <c r="AS104" s="509"/>
      <c r="AT104" s="509"/>
      <c r="AU104" s="509"/>
      <c r="AV104" s="509"/>
      <c r="AW104" s="509"/>
      <c r="AX104" s="509"/>
      <c r="AY104" s="509"/>
      <c r="AZ104" s="509"/>
      <c r="BA104" s="510"/>
      <c r="BB104" s="509"/>
      <c r="BC104" s="510" t="s">
        <v>1697</v>
      </c>
      <c r="BD104" s="509"/>
      <c r="BE104" s="509"/>
      <c r="BF104" s="510"/>
      <c r="BG104" s="510"/>
      <c r="BH104" s="509"/>
      <c r="BI104" s="510"/>
      <c r="BJ104" s="510"/>
      <c r="BK104" s="509"/>
      <c r="BL104" s="509"/>
      <c r="BM104" s="510"/>
      <c r="BN104" s="510"/>
      <c r="BO104" s="509"/>
      <c r="BP104" s="510"/>
      <c r="BQ104" s="510"/>
      <c r="BR104" s="510"/>
      <c r="BS104" s="510"/>
      <c r="BT104" s="510"/>
      <c r="BU104" s="510"/>
      <c r="BV104" s="510">
        <v>1</v>
      </c>
      <c r="BW104" s="2372"/>
      <c r="BX104" s="2372"/>
      <c r="BY104" s="2372"/>
      <c r="BZ104" s="2372"/>
      <c r="CA104" s="510"/>
      <c r="CB104" s="510"/>
      <c r="CC104" s="510"/>
      <c r="CD104" s="510"/>
      <c r="CE104" s="510"/>
      <c r="CF104" s="510"/>
      <c r="CG104" s="510"/>
      <c r="CH104" s="510"/>
      <c r="CI104" s="510"/>
      <c r="CJ104" s="510"/>
      <c r="CK104" s="510"/>
      <c r="CL104" s="510"/>
      <c r="CM104" s="510"/>
      <c r="CN104" s="510"/>
      <c r="CO104" s="510"/>
      <c r="CP104" s="510"/>
      <c r="CQ104" s="510"/>
      <c r="CR104" s="510"/>
      <c r="CS104" s="510"/>
      <c r="CT104" s="573" t="s">
        <v>1698</v>
      </c>
      <c r="CU104" s="574" t="s">
        <v>1999</v>
      </c>
      <c r="CV104" s="574" t="s">
        <v>1129</v>
      </c>
      <c r="CW104" s="1590"/>
    </row>
    <row r="105" spans="2:102" ht="18" x14ac:dyDescent="0.25">
      <c r="B105" s="2378">
        <v>102</v>
      </c>
      <c r="C105" s="2379" t="s">
        <v>3620</v>
      </c>
      <c r="D105" s="2380" t="s">
        <v>5300</v>
      </c>
      <c r="E105" s="2381"/>
      <c r="F105" s="2381"/>
      <c r="G105" s="2381"/>
      <c r="H105" s="2381"/>
      <c r="I105" s="2381"/>
      <c r="J105" s="2421"/>
      <c r="K105" s="2382"/>
      <c r="L105" s="2381"/>
      <c r="M105" s="2381"/>
      <c r="N105" s="2381"/>
      <c r="O105" s="2381"/>
      <c r="P105" s="2381"/>
      <c r="Q105" s="2381"/>
      <c r="R105" s="2381"/>
      <c r="S105" s="2381"/>
      <c r="T105" s="2381"/>
      <c r="U105" s="2381"/>
      <c r="V105" s="2381"/>
      <c r="W105" s="2381"/>
      <c r="X105" s="2381"/>
      <c r="Y105" s="2381"/>
      <c r="Z105" s="2381"/>
      <c r="AA105" s="2381"/>
      <c r="AB105" s="2382"/>
      <c r="AC105" s="2382"/>
      <c r="AD105" s="2382"/>
      <c r="AE105" s="2382"/>
      <c r="AF105" s="2382"/>
      <c r="AG105" s="2382"/>
      <c r="AH105" s="2382"/>
      <c r="AI105" s="2382"/>
      <c r="AJ105" s="2382"/>
      <c r="AK105" s="2423"/>
      <c r="AL105" s="2382"/>
      <c r="AM105" s="2382"/>
      <c r="AN105" s="2381"/>
      <c r="AO105" s="2382"/>
      <c r="AP105" s="2382"/>
      <c r="AQ105" s="2423"/>
      <c r="AR105" s="2382"/>
      <c r="AS105" s="2381"/>
      <c r="AT105" s="2382"/>
      <c r="AU105" s="2382"/>
      <c r="AV105" s="2382"/>
      <c r="AW105" s="2382"/>
      <c r="AX105" s="2382"/>
      <c r="AY105" s="2382"/>
      <c r="AZ105" s="2382"/>
      <c r="BA105" s="2382"/>
      <c r="BB105" s="2382"/>
      <c r="BC105" s="2382"/>
      <c r="BD105" s="2382"/>
      <c r="BE105" s="2382"/>
      <c r="BF105" s="2382"/>
      <c r="BG105" s="2382"/>
      <c r="BH105" s="2382"/>
      <c r="BI105" s="2382"/>
      <c r="BJ105" s="2382"/>
      <c r="BK105" s="2382"/>
      <c r="BL105" s="2382"/>
      <c r="BM105" s="2382"/>
      <c r="BN105" s="2382"/>
      <c r="BO105" s="2382"/>
      <c r="BP105" s="2382"/>
      <c r="BQ105" s="2382"/>
      <c r="BR105" s="2382"/>
      <c r="BS105" s="2382"/>
      <c r="BT105" s="2382"/>
      <c r="BU105" s="2382"/>
      <c r="BV105" s="2382"/>
      <c r="BW105" s="2382">
        <v>-1</v>
      </c>
      <c r="BX105" s="2382">
        <v>1</v>
      </c>
      <c r="BY105" s="2382"/>
      <c r="BZ105" s="2382"/>
      <c r="CA105" s="2382"/>
      <c r="CB105" s="2382"/>
      <c r="CC105" s="2382"/>
      <c r="CD105" s="2382"/>
      <c r="CE105" s="2382"/>
      <c r="CF105" s="2382"/>
      <c r="CG105" s="2382"/>
      <c r="CH105" s="2382"/>
      <c r="CI105" s="2382"/>
      <c r="CJ105" s="2382"/>
      <c r="CK105" s="2380"/>
      <c r="CL105" s="2380"/>
      <c r="CM105" s="2380"/>
      <c r="CN105" s="2380"/>
      <c r="CO105" s="2380"/>
      <c r="CP105" s="2380"/>
      <c r="CQ105" s="2380"/>
      <c r="CR105" s="2380"/>
      <c r="CS105" s="2380"/>
      <c r="CT105" s="2383" t="s">
        <v>5301</v>
      </c>
      <c r="CU105" s="2381" t="s">
        <v>1999</v>
      </c>
      <c r="CV105" s="2382"/>
      <c r="CW105" s="2384" t="s">
        <v>5286</v>
      </c>
      <c r="CX105"/>
    </row>
    <row r="106" spans="2:102" ht="18" x14ac:dyDescent="0.25">
      <c r="B106" s="2378">
        <v>103</v>
      </c>
      <c r="C106" s="2379" t="s">
        <v>3846</v>
      </c>
      <c r="D106" s="2380" t="s">
        <v>5302</v>
      </c>
      <c r="E106" s="2381"/>
      <c r="F106" s="2381"/>
      <c r="G106" s="2381"/>
      <c r="H106" s="2381"/>
      <c r="I106" s="2381"/>
      <c r="J106" s="2421"/>
      <c r="K106" s="2382"/>
      <c r="L106" s="2381"/>
      <c r="M106" s="2381"/>
      <c r="N106" s="2381"/>
      <c r="O106" s="2381"/>
      <c r="P106" s="2381"/>
      <c r="Q106" s="2381"/>
      <c r="R106" s="2381"/>
      <c r="S106" s="2381"/>
      <c r="T106" s="2381"/>
      <c r="U106" s="2381"/>
      <c r="V106" s="2381"/>
      <c r="W106" s="2381"/>
      <c r="X106" s="2381"/>
      <c r="Y106" s="2381"/>
      <c r="Z106" s="2381"/>
      <c r="AA106" s="2381"/>
      <c r="AB106" s="2382"/>
      <c r="AC106" s="2382"/>
      <c r="AD106" s="2382"/>
      <c r="AE106" s="2382"/>
      <c r="AF106" s="2382"/>
      <c r="AG106" s="2382"/>
      <c r="AH106" s="2382"/>
      <c r="AI106" s="2382"/>
      <c r="AJ106" s="2382"/>
      <c r="AK106" s="2423"/>
      <c r="AL106" s="2382"/>
      <c r="AM106" s="2382"/>
      <c r="AN106" s="2381"/>
      <c r="AO106" s="2382"/>
      <c r="AP106" s="2382"/>
      <c r="AQ106" s="2423"/>
      <c r="AR106" s="2382"/>
      <c r="AS106" s="2381"/>
      <c r="AT106" s="2382"/>
      <c r="AU106" s="2382"/>
      <c r="AV106" s="2382"/>
      <c r="AW106" s="2382"/>
      <c r="AX106" s="2382"/>
      <c r="AY106" s="2382"/>
      <c r="AZ106" s="2382"/>
      <c r="BA106" s="2382"/>
      <c r="BB106" s="2382"/>
      <c r="BC106" s="2382"/>
      <c r="BD106" s="2382"/>
      <c r="BE106" s="2382"/>
      <c r="BF106" s="2382"/>
      <c r="BG106" s="2382"/>
      <c r="BH106" s="2382"/>
      <c r="BI106" s="2382"/>
      <c r="BJ106" s="2382"/>
      <c r="BK106" s="2382"/>
      <c r="BL106" s="2382"/>
      <c r="BM106" s="2382"/>
      <c r="BN106" s="2382"/>
      <c r="BO106" s="2382"/>
      <c r="BP106" s="2382"/>
      <c r="BQ106" s="2382"/>
      <c r="BR106" s="2382"/>
      <c r="BS106" s="2382"/>
      <c r="BT106" s="2382"/>
      <c r="BU106" s="2382"/>
      <c r="BV106" s="2382"/>
      <c r="BW106" s="2382"/>
      <c r="BX106" s="2382"/>
      <c r="BY106" s="2382">
        <v>-1</v>
      </c>
      <c r="BZ106" s="2382">
        <v>1</v>
      </c>
      <c r="CA106" s="2382"/>
      <c r="CB106" s="2382"/>
      <c r="CC106" s="2382"/>
      <c r="CD106" s="2382"/>
      <c r="CE106" s="2382"/>
      <c r="CF106" s="2382"/>
      <c r="CG106" s="2382"/>
      <c r="CH106" s="2382"/>
      <c r="CI106" s="2382"/>
      <c r="CJ106" s="2382"/>
      <c r="CK106" s="2380"/>
      <c r="CL106" s="2380"/>
      <c r="CM106" s="2380"/>
      <c r="CN106" s="2380"/>
      <c r="CO106" s="2380"/>
      <c r="CP106" s="2380"/>
      <c r="CQ106" s="2380"/>
      <c r="CR106" s="2380"/>
      <c r="CS106" s="2380"/>
      <c r="CT106" s="2383" t="s">
        <v>5303</v>
      </c>
      <c r="CU106" s="2381" t="s">
        <v>1999</v>
      </c>
      <c r="CV106" s="2382"/>
      <c r="CW106" s="2384" t="s">
        <v>5286</v>
      </c>
      <c r="CX106"/>
    </row>
    <row r="107" spans="2:102" ht="18" x14ac:dyDescent="0.25">
      <c r="B107" s="1534">
        <v>104</v>
      </c>
      <c r="C107" s="1472" t="s">
        <v>3847</v>
      </c>
      <c r="D107" s="1410" t="s">
        <v>4219</v>
      </c>
      <c r="E107" s="1472"/>
      <c r="F107" s="1472"/>
      <c r="G107" s="1472"/>
      <c r="H107" s="1472"/>
      <c r="I107" s="1472"/>
      <c r="J107" s="1472"/>
      <c r="K107" s="1472"/>
      <c r="L107" s="1472"/>
      <c r="M107" s="1472"/>
      <c r="N107" s="1472"/>
      <c r="O107" s="1472"/>
      <c r="P107" s="1472"/>
      <c r="Q107" s="1472"/>
      <c r="R107" s="1472"/>
      <c r="S107" s="1472"/>
      <c r="T107" s="1472"/>
      <c r="U107" s="1472"/>
      <c r="V107" s="1472"/>
      <c r="W107" s="1472"/>
      <c r="X107" s="1472"/>
      <c r="Y107" s="1472"/>
      <c r="Z107" s="1472"/>
      <c r="AA107" s="1472"/>
      <c r="AB107" s="1472"/>
      <c r="AC107" s="1472"/>
      <c r="AD107" s="1472"/>
      <c r="AE107" s="1472"/>
      <c r="AF107" s="1472"/>
      <c r="AG107" s="1472"/>
      <c r="AH107" s="1472"/>
      <c r="AI107" s="1472"/>
      <c r="AJ107" s="1472"/>
      <c r="AK107" s="1472"/>
      <c r="AL107" s="1472"/>
      <c r="AM107" s="1472"/>
      <c r="AN107" s="1472"/>
      <c r="AO107" s="1472"/>
      <c r="AP107" s="1472"/>
      <c r="AQ107" s="1472"/>
      <c r="AR107" s="1472"/>
      <c r="AS107" s="1472"/>
      <c r="AT107" s="1472"/>
      <c r="AU107" s="1472"/>
      <c r="AV107" s="1472"/>
      <c r="AW107" s="1472"/>
      <c r="AX107" s="1472"/>
      <c r="AY107" s="1472"/>
      <c r="AZ107" s="1472"/>
      <c r="BA107" s="1472"/>
      <c r="BB107" s="1472"/>
      <c r="BC107" s="1472"/>
      <c r="BD107" s="1472"/>
      <c r="BE107" s="1472"/>
      <c r="BF107" s="1472"/>
      <c r="BG107" s="1472"/>
      <c r="BH107" s="1472"/>
      <c r="BI107" s="1472"/>
      <c r="BJ107" s="1472"/>
      <c r="BK107" s="1472"/>
      <c r="BL107" s="1472"/>
      <c r="BM107" s="1472"/>
      <c r="BN107" s="1472"/>
      <c r="BO107" s="1472"/>
      <c r="BP107" s="1472"/>
      <c r="BQ107" s="1472"/>
      <c r="BR107" s="1472"/>
      <c r="BS107" s="1472"/>
      <c r="BT107" s="1472"/>
      <c r="BU107" s="1591"/>
      <c r="BV107" s="1472"/>
      <c r="BW107" s="2373"/>
      <c r="BX107" s="2373"/>
      <c r="BY107" s="2373"/>
      <c r="BZ107" s="2373"/>
      <c r="CA107" s="1472"/>
      <c r="CB107" s="1472">
        <v>1</v>
      </c>
      <c r="CC107" s="1472"/>
      <c r="CD107" s="1472"/>
      <c r="CE107" s="1472"/>
      <c r="CF107" s="1472"/>
      <c r="CG107" s="1472"/>
      <c r="CH107" s="1472"/>
      <c r="CI107" s="1472"/>
      <c r="CJ107" s="1472"/>
      <c r="CK107" s="1472"/>
      <c r="CL107" s="1472"/>
      <c r="CM107" s="1472"/>
      <c r="CN107" s="1472"/>
      <c r="CO107" s="1472"/>
      <c r="CP107" s="1472"/>
      <c r="CQ107" s="1472"/>
      <c r="CR107" s="1472"/>
      <c r="CS107" s="1472"/>
      <c r="CT107" s="1592" t="s">
        <v>4842</v>
      </c>
      <c r="CU107" s="1593" t="s">
        <v>4220</v>
      </c>
      <c r="CV107" s="1594"/>
      <c r="CW107" s="1595"/>
    </row>
    <row r="108" spans="2:102" ht="18" x14ac:dyDescent="0.25">
      <c r="B108" s="1535">
        <v>105</v>
      </c>
      <c r="C108" s="575" t="s">
        <v>3848</v>
      </c>
      <c r="D108" s="576" t="s">
        <v>3088</v>
      </c>
      <c r="E108" s="511"/>
      <c r="F108" s="511"/>
      <c r="G108" s="511"/>
      <c r="H108" s="511"/>
      <c r="I108" s="511"/>
      <c r="J108" s="511"/>
      <c r="K108" s="511"/>
      <c r="L108" s="511"/>
      <c r="M108" s="511"/>
      <c r="N108" s="511"/>
      <c r="O108" s="511"/>
      <c r="P108" s="511"/>
      <c r="Q108" s="511"/>
      <c r="R108" s="577"/>
      <c r="S108" s="511"/>
      <c r="T108" s="511"/>
      <c r="U108" s="511"/>
      <c r="V108" s="511"/>
      <c r="W108" s="511"/>
      <c r="X108" s="511"/>
      <c r="Y108" s="511"/>
      <c r="Z108" s="511"/>
      <c r="AA108" s="511"/>
      <c r="AB108" s="511"/>
      <c r="AC108" s="511"/>
      <c r="AD108" s="511"/>
      <c r="AE108" s="511"/>
      <c r="AF108" s="511"/>
      <c r="AG108" s="511"/>
      <c r="AH108" s="511"/>
      <c r="AI108" s="511"/>
      <c r="AJ108" s="511"/>
      <c r="AK108" s="511"/>
      <c r="AL108" s="511"/>
      <c r="AM108" s="511"/>
      <c r="AN108" s="511"/>
      <c r="AO108" s="511"/>
      <c r="AP108" s="511"/>
      <c r="AQ108" s="511"/>
      <c r="AR108" s="511"/>
      <c r="AS108" s="511"/>
      <c r="AT108" s="511"/>
      <c r="AU108" s="511"/>
      <c r="AV108" s="511">
        <v>1</v>
      </c>
      <c r="AW108" s="511"/>
      <c r="AX108" s="511"/>
      <c r="AY108" s="511"/>
      <c r="AZ108" s="511"/>
      <c r="BA108" s="511"/>
      <c r="BB108" s="511"/>
      <c r="BC108" s="577"/>
      <c r="BD108" s="577"/>
      <c r="BE108" s="577"/>
      <c r="BF108" s="577"/>
      <c r="BG108" s="577"/>
      <c r="BH108" s="577"/>
      <c r="BI108" s="577"/>
      <c r="BJ108" s="577"/>
      <c r="BK108" s="577"/>
      <c r="BL108" s="577"/>
      <c r="BM108" s="577"/>
      <c r="BN108" s="577"/>
      <c r="BO108" s="577"/>
      <c r="BP108" s="577"/>
      <c r="BQ108" s="577"/>
      <c r="BR108" s="577"/>
      <c r="BS108" s="577"/>
      <c r="BT108" s="577"/>
      <c r="BU108" s="577"/>
      <c r="BV108" s="577"/>
      <c r="BW108" s="2374"/>
      <c r="BX108" s="2374"/>
      <c r="BY108" s="2374"/>
      <c r="BZ108" s="2374"/>
      <c r="CA108" s="577"/>
      <c r="CB108" s="577"/>
      <c r="CC108" s="577"/>
      <c r="CD108" s="511">
        <v>-1</v>
      </c>
      <c r="CE108" s="511"/>
      <c r="CF108" s="511"/>
      <c r="CG108" s="511"/>
      <c r="CH108" s="511"/>
      <c r="CI108" s="511"/>
      <c r="CJ108" s="511"/>
      <c r="CK108" s="511"/>
      <c r="CL108" s="577"/>
      <c r="CM108" s="577"/>
      <c r="CN108" s="577"/>
      <c r="CO108" s="577"/>
      <c r="CP108" s="577"/>
      <c r="CQ108" s="511"/>
      <c r="CR108" s="511"/>
      <c r="CS108" s="577"/>
      <c r="CT108" s="576" t="s">
        <v>3082</v>
      </c>
      <c r="CU108" s="576" t="s">
        <v>1999</v>
      </c>
      <c r="CV108" s="576"/>
      <c r="CW108" s="1596"/>
    </row>
    <row r="109" spans="2:102" ht="18" x14ac:dyDescent="0.25">
      <c r="B109" s="1535">
        <v>106</v>
      </c>
      <c r="C109" s="575" t="s">
        <v>3849</v>
      </c>
      <c r="D109" s="576" t="s">
        <v>3089</v>
      </c>
      <c r="E109" s="511"/>
      <c r="F109" s="511"/>
      <c r="G109" s="511"/>
      <c r="H109" s="511"/>
      <c r="I109" s="511"/>
      <c r="J109" s="511"/>
      <c r="K109" s="511"/>
      <c r="L109" s="511"/>
      <c r="M109" s="511"/>
      <c r="N109" s="511"/>
      <c r="O109" s="511"/>
      <c r="P109" s="511"/>
      <c r="Q109" s="511"/>
      <c r="R109" s="577"/>
      <c r="S109" s="511"/>
      <c r="T109" s="511"/>
      <c r="U109" s="511"/>
      <c r="V109" s="511"/>
      <c r="W109" s="511"/>
      <c r="X109" s="511"/>
      <c r="Y109" s="511"/>
      <c r="Z109" s="511"/>
      <c r="AA109" s="511"/>
      <c r="AB109" s="511"/>
      <c r="AC109" s="511"/>
      <c r="AD109" s="511"/>
      <c r="AE109" s="511"/>
      <c r="AF109" s="511"/>
      <c r="AG109" s="511"/>
      <c r="AH109" s="511"/>
      <c r="AI109" s="511"/>
      <c r="AJ109" s="511"/>
      <c r="AK109" s="511"/>
      <c r="AL109" s="511"/>
      <c r="AM109" s="511"/>
      <c r="AN109" s="511"/>
      <c r="AO109" s="511"/>
      <c r="AP109" s="511"/>
      <c r="AQ109" s="511"/>
      <c r="AR109" s="511"/>
      <c r="AS109" s="511"/>
      <c r="AT109" s="511">
        <v>1</v>
      </c>
      <c r="AU109" s="511"/>
      <c r="AV109" s="511"/>
      <c r="AW109" s="511"/>
      <c r="AX109" s="511"/>
      <c r="AY109" s="511"/>
      <c r="AZ109" s="511"/>
      <c r="BA109" s="511"/>
      <c r="BB109" s="511"/>
      <c r="BC109" s="577"/>
      <c r="BD109" s="577"/>
      <c r="BE109" s="577"/>
      <c r="BF109" s="577"/>
      <c r="BG109" s="577"/>
      <c r="BH109" s="577"/>
      <c r="BI109" s="577"/>
      <c r="BJ109" s="577"/>
      <c r="BK109" s="577"/>
      <c r="BL109" s="577"/>
      <c r="BM109" s="577"/>
      <c r="BN109" s="577"/>
      <c r="BO109" s="577"/>
      <c r="BP109" s="577"/>
      <c r="BQ109" s="577"/>
      <c r="BR109" s="577"/>
      <c r="BS109" s="577"/>
      <c r="BT109" s="577"/>
      <c r="BU109" s="577"/>
      <c r="BV109" s="577"/>
      <c r="BW109" s="2374"/>
      <c r="BX109" s="2374"/>
      <c r="BY109" s="2374"/>
      <c r="BZ109" s="2374"/>
      <c r="CA109" s="577"/>
      <c r="CB109" s="577"/>
      <c r="CC109" s="577"/>
      <c r="CD109" s="511"/>
      <c r="CE109" s="511">
        <v>-1</v>
      </c>
      <c r="CF109" s="511"/>
      <c r="CG109" s="511"/>
      <c r="CH109" s="511"/>
      <c r="CI109" s="511"/>
      <c r="CJ109" s="511"/>
      <c r="CK109" s="511"/>
      <c r="CL109" s="577"/>
      <c r="CM109" s="577"/>
      <c r="CN109" s="577"/>
      <c r="CO109" s="577"/>
      <c r="CP109" s="577"/>
      <c r="CQ109" s="511"/>
      <c r="CR109" s="511"/>
      <c r="CS109" s="577"/>
      <c r="CT109" s="576" t="s">
        <v>3083</v>
      </c>
      <c r="CU109" s="576" t="s">
        <v>1999</v>
      </c>
      <c r="CV109" s="576"/>
      <c r="CW109" s="1596"/>
    </row>
    <row r="110" spans="2:102" ht="18" x14ac:dyDescent="0.25">
      <c r="B110" s="1535">
        <v>107</v>
      </c>
      <c r="C110" s="575" t="s">
        <v>4579</v>
      </c>
      <c r="D110" s="576" t="s">
        <v>3090</v>
      </c>
      <c r="E110" s="511"/>
      <c r="F110" s="511"/>
      <c r="G110" s="511"/>
      <c r="H110" s="511"/>
      <c r="I110" s="511"/>
      <c r="J110" s="511"/>
      <c r="K110" s="511"/>
      <c r="L110" s="511"/>
      <c r="M110" s="511"/>
      <c r="N110" s="511"/>
      <c r="O110" s="511"/>
      <c r="P110" s="511"/>
      <c r="Q110" s="511"/>
      <c r="R110" s="577"/>
      <c r="S110" s="511"/>
      <c r="T110" s="511"/>
      <c r="U110" s="511"/>
      <c r="V110" s="511"/>
      <c r="W110" s="511"/>
      <c r="X110" s="511"/>
      <c r="Y110" s="511"/>
      <c r="Z110" s="511"/>
      <c r="AA110" s="511"/>
      <c r="AB110" s="511"/>
      <c r="AC110" s="511"/>
      <c r="AD110" s="511"/>
      <c r="AE110" s="511"/>
      <c r="AF110" s="511"/>
      <c r="AG110" s="511"/>
      <c r="AH110" s="511"/>
      <c r="AI110" s="511"/>
      <c r="AJ110" s="511"/>
      <c r="AK110" s="511"/>
      <c r="AL110" s="511"/>
      <c r="AM110" s="511"/>
      <c r="AN110" s="511"/>
      <c r="AO110" s="511"/>
      <c r="AP110" s="511"/>
      <c r="AQ110" s="511"/>
      <c r="AR110" s="511"/>
      <c r="AS110" s="511"/>
      <c r="AT110" s="511"/>
      <c r="AU110" s="511">
        <v>1</v>
      </c>
      <c r="AV110" s="511"/>
      <c r="AW110" s="511"/>
      <c r="AX110" s="511"/>
      <c r="AY110" s="511"/>
      <c r="AZ110" s="511"/>
      <c r="BA110" s="511"/>
      <c r="BB110" s="511"/>
      <c r="BC110" s="577"/>
      <c r="BD110" s="577"/>
      <c r="BE110" s="577"/>
      <c r="BF110" s="577"/>
      <c r="BG110" s="577"/>
      <c r="BH110" s="577"/>
      <c r="BI110" s="577"/>
      <c r="BJ110" s="577"/>
      <c r="BK110" s="577"/>
      <c r="BL110" s="577"/>
      <c r="BM110" s="577"/>
      <c r="BN110" s="577"/>
      <c r="BO110" s="577"/>
      <c r="BP110" s="577"/>
      <c r="BQ110" s="577"/>
      <c r="BR110" s="577"/>
      <c r="BS110" s="577"/>
      <c r="BT110" s="577"/>
      <c r="BU110" s="577"/>
      <c r="BV110" s="577"/>
      <c r="BW110" s="2374"/>
      <c r="BX110" s="2374"/>
      <c r="BY110" s="2374"/>
      <c r="BZ110" s="2374"/>
      <c r="CA110" s="577"/>
      <c r="CB110" s="577"/>
      <c r="CC110" s="577"/>
      <c r="CD110" s="511"/>
      <c r="CE110" s="511"/>
      <c r="CF110" s="511">
        <v>-1</v>
      </c>
      <c r="CG110" s="511"/>
      <c r="CH110" s="511"/>
      <c r="CI110" s="511"/>
      <c r="CJ110" s="511"/>
      <c r="CK110" s="511"/>
      <c r="CL110" s="577"/>
      <c r="CM110" s="577"/>
      <c r="CN110" s="577"/>
      <c r="CO110" s="577"/>
      <c r="CP110" s="577"/>
      <c r="CQ110" s="511"/>
      <c r="CR110" s="511"/>
      <c r="CS110" s="577"/>
      <c r="CT110" s="576" t="s">
        <v>3084</v>
      </c>
      <c r="CU110" s="576" t="s">
        <v>1999</v>
      </c>
      <c r="CV110" s="576"/>
      <c r="CW110" s="1596"/>
    </row>
    <row r="111" spans="2:102" ht="18" x14ac:dyDescent="0.25">
      <c r="B111" s="1535">
        <v>108</v>
      </c>
      <c r="C111" s="575" t="s">
        <v>4580</v>
      </c>
      <c r="D111" s="576" t="s">
        <v>3091</v>
      </c>
      <c r="E111" s="511"/>
      <c r="F111" s="511"/>
      <c r="G111" s="511"/>
      <c r="H111" s="511"/>
      <c r="I111" s="511"/>
      <c r="J111" s="511"/>
      <c r="K111" s="511"/>
      <c r="L111" s="511"/>
      <c r="M111" s="511"/>
      <c r="N111" s="511"/>
      <c r="O111" s="511"/>
      <c r="P111" s="511"/>
      <c r="Q111" s="511"/>
      <c r="R111" s="577"/>
      <c r="S111" s="511"/>
      <c r="T111" s="511"/>
      <c r="U111" s="511"/>
      <c r="V111" s="511"/>
      <c r="W111" s="511"/>
      <c r="X111" s="511"/>
      <c r="Y111" s="511"/>
      <c r="Z111" s="511"/>
      <c r="AA111" s="511"/>
      <c r="AB111" s="511"/>
      <c r="AC111" s="511"/>
      <c r="AD111" s="511"/>
      <c r="AE111" s="511"/>
      <c r="AF111" s="511"/>
      <c r="AG111" s="511"/>
      <c r="AH111" s="511"/>
      <c r="AI111" s="511"/>
      <c r="AJ111" s="511"/>
      <c r="AK111" s="511"/>
      <c r="AL111" s="511"/>
      <c r="AM111" s="511"/>
      <c r="AN111" s="511"/>
      <c r="AO111" s="511"/>
      <c r="AP111" s="511"/>
      <c r="AQ111" s="511"/>
      <c r="AR111" s="511"/>
      <c r="AS111" s="511">
        <v>1</v>
      </c>
      <c r="AT111" s="511"/>
      <c r="AU111" s="511"/>
      <c r="AV111" s="511"/>
      <c r="AW111" s="511"/>
      <c r="AX111" s="511"/>
      <c r="AY111" s="511"/>
      <c r="AZ111" s="511"/>
      <c r="BA111" s="511"/>
      <c r="BB111" s="511"/>
      <c r="BC111" s="577"/>
      <c r="BD111" s="577"/>
      <c r="BE111" s="577"/>
      <c r="BF111" s="577"/>
      <c r="BG111" s="577"/>
      <c r="BH111" s="577"/>
      <c r="BI111" s="577"/>
      <c r="BJ111" s="577"/>
      <c r="BK111" s="577"/>
      <c r="BL111" s="577"/>
      <c r="BM111" s="577"/>
      <c r="BN111" s="577"/>
      <c r="BO111" s="577"/>
      <c r="BP111" s="577"/>
      <c r="BQ111" s="577"/>
      <c r="BR111" s="577"/>
      <c r="BS111" s="577"/>
      <c r="BT111" s="577"/>
      <c r="BU111" s="577"/>
      <c r="BV111" s="577"/>
      <c r="BW111" s="2374"/>
      <c r="BX111" s="2374"/>
      <c r="BY111" s="2374"/>
      <c r="BZ111" s="2374"/>
      <c r="CA111" s="577"/>
      <c r="CB111" s="577"/>
      <c r="CC111" s="577"/>
      <c r="CD111" s="511"/>
      <c r="CE111" s="511"/>
      <c r="CF111" s="511"/>
      <c r="CG111" s="511">
        <v>-1</v>
      </c>
      <c r="CH111" s="511"/>
      <c r="CI111" s="511"/>
      <c r="CJ111" s="511"/>
      <c r="CK111" s="511"/>
      <c r="CL111" s="577"/>
      <c r="CM111" s="577"/>
      <c r="CN111" s="577"/>
      <c r="CO111" s="577"/>
      <c r="CP111" s="577"/>
      <c r="CQ111" s="511"/>
      <c r="CR111" s="511"/>
      <c r="CS111" s="577"/>
      <c r="CT111" s="576" t="s">
        <v>3085</v>
      </c>
      <c r="CU111" s="576" t="s">
        <v>1999</v>
      </c>
      <c r="CV111" s="576"/>
      <c r="CW111" s="1596"/>
    </row>
    <row r="112" spans="2:102" ht="18" x14ac:dyDescent="0.25">
      <c r="B112" s="1535">
        <v>109</v>
      </c>
      <c r="C112" s="575" t="s">
        <v>4852</v>
      </c>
      <c r="D112" s="576" t="s">
        <v>3092</v>
      </c>
      <c r="E112" s="511"/>
      <c r="F112" s="511"/>
      <c r="G112" s="511"/>
      <c r="H112" s="511"/>
      <c r="I112" s="511"/>
      <c r="J112" s="511"/>
      <c r="K112" s="511"/>
      <c r="L112" s="511"/>
      <c r="M112" s="511"/>
      <c r="N112" s="511"/>
      <c r="O112" s="511"/>
      <c r="P112" s="511"/>
      <c r="Q112" s="511"/>
      <c r="R112" s="577"/>
      <c r="S112" s="511"/>
      <c r="T112" s="511"/>
      <c r="U112" s="511"/>
      <c r="V112" s="511"/>
      <c r="W112" s="511"/>
      <c r="X112" s="511"/>
      <c r="Y112" s="511"/>
      <c r="Z112" s="511"/>
      <c r="AA112" s="511">
        <v>1</v>
      </c>
      <c r="AB112" s="511"/>
      <c r="AC112" s="511"/>
      <c r="AD112" s="511"/>
      <c r="AE112" s="511"/>
      <c r="AF112" s="511"/>
      <c r="AG112" s="511"/>
      <c r="AH112" s="511"/>
      <c r="AI112" s="511"/>
      <c r="AJ112" s="511"/>
      <c r="AK112" s="511"/>
      <c r="AL112" s="511"/>
      <c r="AM112" s="511"/>
      <c r="AN112" s="511"/>
      <c r="AO112" s="511"/>
      <c r="AP112" s="511"/>
      <c r="AQ112" s="511"/>
      <c r="AR112" s="511"/>
      <c r="AS112" s="511"/>
      <c r="AT112" s="511"/>
      <c r="AU112" s="511"/>
      <c r="AV112" s="511"/>
      <c r="AW112" s="511"/>
      <c r="AX112" s="511"/>
      <c r="AY112" s="511"/>
      <c r="AZ112" s="511"/>
      <c r="BA112" s="511"/>
      <c r="BB112" s="511"/>
      <c r="BC112" s="577"/>
      <c r="BD112" s="577"/>
      <c r="BE112" s="577"/>
      <c r="BF112" s="577"/>
      <c r="BG112" s="577"/>
      <c r="BH112" s="577"/>
      <c r="BI112" s="577"/>
      <c r="BJ112" s="577"/>
      <c r="BK112" s="577"/>
      <c r="BL112" s="577"/>
      <c r="BM112" s="577"/>
      <c r="BN112" s="577"/>
      <c r="BO112" s="577"/>
      <c r="BP112" s="577"/>
      <c r="BQ112" s="577"/>
      <c r="BR112" s="577"/>
      <c r="BS112" s="577"/>
      <c r="BT112" s="577"/>
      <c r="BU112" s="577"/>
      <c r="BV112" s="577"/>
      <c r="BW112" s="2374"/>
      <c r="BX112" s="2374"/>
      <c r="BY112" s="2374"/>
      <c r="BZ112" s="2374"/>
      <c r="CA112" s="577"/>
      <c r="CB112" s="577"/>
      <c r="CC112" s="577"/>
      <c r="CD112" s="511"/>
      <c r="CE112" s="511"/>
      <c r="CF112" s="511"/>
      <c r="CG112" s="511"/>
      <c r="CH112" s="511">
        <v>-1</v>
      </c>
      <c r="CI112" s="511"/>
      <c r="CJ112" s="511"/>
      <c r="CK112" s="511"/>
      <c r="CL112" s="577"/>
      <c r="CM112" s="577"/>
      <c r="CN112" s="577"/>
      <c r="CO112" s="577"/>
      <c r="CP112" s="577"/>
      <c r="CQ112" s="511"/>
      <c r="CR112" s="511"/>
      <c r="CS112" s="577"/>
      <c r="CT112" s="576" t="s">
        <v>3086</v>
      </c>
      <c r="CU112" s="576" t="s">
        <v>1999</v>
      </c>
      <c r="CV112" s="576"/>
      <c r="CW112" s="1596"/>
    </row>
    <row r="113" spans="1:102" ht="18" x14ac:dyDescent="0.25">
      <c r="B113" s="1535">
        <v>110</v>
      </c>
      <c r="C113" s="575" t="s">
        <v>4895</v>
      </c>
      <c r="D113" s="576" t="s">
        <v>3608</v>
      </c>
      <c r="E113" s="1597"/>
      <c r="F113" s="1597"/>
      <c r="G113" s="1597"/>
      <c r="H113" s="1597"/>
      <c r="I113" s="1597"/>
      <c r="J113" s="1597"/>
      <c r="K113" s="1597"/>
      <c r="L113" s="1597"/>
      <c r="M113" s="1597"/>
      <c r="N113" s="1597"/>
      <c r="O113" s="1597"/>
      <c r="P113" s="1597"/>
      <c r="Q113" s="1597"/>
      <c r="R113" s="1473"/>
      <c r="S113" s="1597"/>
      <c r="T113" s="1597"/>
      <c r="U113" s="1597"/>
      <c r="V113" s="1597"/>
      <c r="W113" s="1597"/>
      <c r="X113" s="1597"/>
      <c r="Y113" s="1597"/>
      <c r="Z113" s="1597"/>
      <c r="AA113" s="1597"/>
      <c r="AB113" s="1597"/>
      <c r="AC113" s="1597"/>
      <c r="AD113" s="1597"/>
      <c r="AE113" s="1597" t="s">
        <v>4772</v>
      </c>
      <c r="AF113" s="1597" t="s">
        <v>4773</v>
      </c>
      <c r="AG113" s="1597"/>
      <c r="AH113" s="1597"/>
      <c r="AI113" s="1597"/>
      <c r="AJ113" s="1597"/>
      <c r="AK113" s="1597"/>
      <c r="AL113" s="1597"/>
      <c r="AM113" s="1597"/>
      <c r="AN113" s="1597"/>
      <c r="AO113" s="1597"/>
      <c r="AP113" s="1597"/>
      <c r="AQ113" s="1597"/>
      <c r="AR113" s="1597"/>
      <c r="AS113" s="1597"/>
      <c r="AT113" s="1597"/>
      <c r="AU113" s="1597"/>
      <c r="AV113" s="1597"/>
      <c r="AW113" s="1597"/>
      <c r="AX113" s="1597"/>
      <c r="AY113" s="1597"/>
      <c r="AZ113" s="1597"/>
      <c r="BA113" s="1597"/>
      <c r="BB113" s="1597"/>
      <c r="BC113" s="1473"/>
      <c r="BD113" s="1473"/>
      <c r="BE113" s="1473"/>
      <c r="BF113" s="1473"/>
      <c r="BG113" s="1473"/>
      <c r="BH113" s="1473"/>
      <c r="BI113" s="1473"/>
      <c r="BJ113" s="1473"/>
      <c r="BK113" s="1473"/>
      <c r="BL113" s="1473"/>
      <c r="BM113" s="1473"/>
      <c r="BN113" s="1473"/>
      <c r="BO113" s="1473"/>
      <c r="BP113" s="1473"/>
      <c r="BQ113" s="1473"/>
      <c r="BR113" s="1473"/>
      <c r="BS113" s="1473"/>
      <c r="BT113" s="1473"/>
      <c r="BU113" s="1473"/>
      <c r="BV113" s="1473"/>
      <c r="BW113" s="1473"/>
      <c r="BX113" s="1473"/>
      <c r="BY113" s="1473"/>
      <c r="BZ113" s="1473"/>
      <c r="CA113" s="1473"/>
      <c r="CB113" s="1473"/>
      <c r="CC113" s="1473"/>
      <c r="CD113" s="1597"/>
      <c r="CE113" s="1597"/>
      <c r="CF113" s="1597"/>
      <c r="CG113" s="1597"/>
      <c r="CH113" s="1597"/>
      <c r="CI113" s="511">
        <v>-1</v>
      </c>
      <c r="CJ113" s="1597"/>
      <c r="CK113" s="1597"/>
      <c r="CL113" s="1473"/>
      <c r="CM113" s="1473"/>
      <c r="CN113" s="1473"/>
      <c r="CO113" s="1473"/>
      <c r="CP113" s="1473"/>
      <c r="CQ113" s="1597"/>
      <c r="CR113" s="1597"/>
      <c r="CS113" s="1473"/>
      <c r="CT113" s="576" t="s">
        <v>3674</v>
      </c>
      <c r="CU113" s="576" t="s">
        <v>1999</v>
      </c>
      <c r="CV113" s="1411"/>
      <c r="CW113" s="367"/>
    </row>
    <row r="114" spans="1:102" ht="18" x14ac:dyDescent="0.25">
      <c r="B114" s="1535">
        <v>111</v>
      </c>
      <c r="C114" s="575" t="s">
        <v>4974</v>
      </c>
      <c r="D114" s="576" t="s">
        <v>3609</v>
      </c>
      <c r="E114" s="1597"/>
      <c r="F114" s="1597"/>
      <c r="G114" s="1597"/>
      <c r="H114" s="1597"/>
      <c r="I114" s="1597"/>
      <c r="J114" s="1597"/>
      <c r="K114" s="1597"/>
      <c r="L114" s="1597"/>
      <c r="M114" s="1597"/>
      <c r="N114" s="1597"/>
      <c r="O114" s="1597"/>
      <c r="P114" s="1597"/>
      <c r="Q114" s="1597"/>
      <c r="R114" s="1473"/>
      <c r="S114" s="1597"/>
      <c r="T114" s="1597"/>
      <c r="U114" s="1597"/>
      <c r="V114" s="1597"/>
      <c r="W114" s="1597"/>
      <c r="X114" s="1597"/>
      <c r="Y114" s="1597"/>
      <c r="Z114" s="1597"/>
      <c r="AA114" s="1597"/>
      <c r="AB114" s="1597"/>
      <c r="AC114" s="1597"/>
      <c r="AD114" s="1597"/>
      <c r="AE114" s="1597"/>
      <c r="AF114" s="1597"/>
      <c r="AG114" s="1597">
        <v>1</v>
      </c>
      <c r="AH114" s="1597"/>
      <c r="AI114" s="1597"/>
      <c r="AJ114" s="1597"/>
      <c r="AK114" s="1597"/>
      <c r="AL114" s="1597"/>
      <c r="AM114" s="1597"/>
      <c r="AN114" s="1597"/>
      <c r="AO114" s="1597"/>
      <c r="AP114" s="1597"/>
      <c r="AQ114" s="1597"/>
      <c r="AR114" s="1597"/>
      <c r="AS114" s="1597"/>
      <c r="AT114" s="1597"/>
      <c r="AU114" s="1597"/>
      <c r="AV114" s="1597"/>
      <c r="AW114" s="1597"/>
      <c r="AX114" s="1597"/>
      <c r="AY114" s="1597"/>
      <c r="AZ114" s="1597"/>
      <c r="BA114" s="1597"/>
      <c r="BB114" s="1597"/>
      <c r="BC114" s="1473"/>
      <c r="BD114" s="1473"/>
      <c r="BE114" s="1473"/>
      <c r="BF114" s="1473"/>
      <c r="BG114" s="1473"/>
      <c r="BH114" s="1473"/>
      <c r="BI114" s="1473"/>
      <c r="BJ114" s="1473"/>
      <c r="BK114" s="1473"/>
      <c r="BL114" s="1473"/>
      <c r="BM114" s="1473"/>
      <c r="BN114" s="1473"/>
      <c r="BO114" s="1473"/>
      <c r="BP114" s="1473"/>
      <c r="BQ114" s="1473"/>
      <c r="BR114" s="1473"/>
      <c r="BS114" s="1473"/>
      <c r="BT114" s="1473"/>
      <c r="BU114" s="1473"/>
      <c r="BV114" s="1473"/>
      <c r="BW114" s="1473"/>
      <c r="BX114" s="1473"/>
      <c r="BY114" s="1473"/>
      <c r="BZ114" s="1473"/>
      <c r="CA114" s="1473"/>
      <c r="CB114" s="1473"/>
      <c r="CC114" s="1473"/>
      <c r="CD114" s="1597"/>
      <c r="CE114" s="1597"/>
      <c r="CF114" s="1597"/>
      <c r="CG114" s="1597"/>
      <c r="CH114" s="1597"/>
      <c r="CI114" s="1597"/>
      <c r="CJ114" s="511">
        <v>-1</v>
      </c>
      <c r="CK114" s="1597"/>
      <c r="CL114" s="1473"/>
      <c r="CM114" s="1473"/>
      <c r="CN114" s="1473"/>
      <c r="CO114" s="1473"/>
      <c r="CP114" s="1473"/>
      <c r="CQ114" s="1597"/>
      <c r="CR114" s="1597"/>
      <c r="CS114" s="1473"/>
      <c r="CT114" s="576" t="s">
        <v>3675</v>
      </c>
      <c r="CU114" s="576" t="s">
        <v>1999</v>
      </c>
      <c r="CV114" s="1411"/>
      <c r="CW114" s="367"/>
    </row>
    <row r="115" spans="1:102" ht="18.75" thickBot="1" x14ac:dyDescent="0.3">
      <c r="B115" s="1598">
        <v>112</v>
      </c>
      <c r="C115" s="1599" t="s">
        <v>4975</v>
      </c>
      <c r="D115" s="1600" t="s">
        <v>3093</v>
      </c>
      <c r="E115" s="1601"/>
      <c r="F115" s="1601"/>
      <c r="G115" s="1601"/>
      <c r="H115" s="1601"/>
      <c r="I115" s="1601"/>
      <c r="J115" s="1601"/>
      <c r="K115" s="1601"/>
      <c r="L115" s="1601"/>
      <c r="M115" s="1601"/>
      <c r="N115" s="1601"/>
      <c r="O115" s="1601"/>
      <c r="P115" s="1601"/>
      <c r="Q115" s="1601"/>
      <c r="R115" s="1602"/>
      <c r="S115" s="1601"/>
      <c r="T115" s="1601"/>
      <c r="U115" s="1601"/>
      <c r="V115" s="1601"/>
      <c r="W115" s="1601"/>
      <c r="X115" s="1601"/>
      <c r="Y115" s="1601"/>
      <c r="Z115" s="1601"/>
      <c r="AA115" s="1601"/>
      <c r="AB115" s="1601"/>
      <c r="AC115" s="1601"/>
      <c r="AD115" s="1601"/>
      <c r="AE115" s="1601"/>
      <c r="AF115" s="1601"/>
      <c r="AG115" s="1601"/>
      <c r="AH115" s="1601">
        <v>1</v>
      </c>
      <c r="AI115" s="1601"/>
      <c r="AJ115" s="1601"/>
      <c r="AK115" s="1601"/>
      <c r="AL115" s="1601"/>
      <c r="AM115" s="1601"/>
      <c r="AN115" s="1601"/>
      <c r="AO115" s="1601"/>
      <c r="AP115" s="1601"/>
      <c r="AQ115" s="1601"/>
      <c r="AR115" s="1601"/>
      <c r="AS115" s="1601"/>
      <c r="AT115" s="1601"/>
      <c r="AU115" s="1601"/>
      <c r="AV115" s="1601"/>
      <c r="AW115" s="1601"/>
      <c r="AX115" s="1601"/>
      <c r="AY115" s="1601"/>
      <c r="AZ115" s="1601"/>
      <c r="BA115" s="1601"/>
      <c r="BB115" s="1601"/>
      <c r="BC115" s="1602"/>
      <c r="BD115" s="1602"/>
      <c r="BE115" s="1602"/>
      <c r="BF115" s="1602"/>
      <c r="BG115" s="1602"/>
      <c r="BH115" s="1602"/>
      <c r="BI115" s="1602"/>
      <c r="BJ115" s="1602"/>
      <c r="BK115" s="1602"/>
      <c r="BL115" s="1602"/>
      <c r="BM115" s="1602"/>
      <c r="BN115" s="1602"/>
      <c r="BO115" s="1602"/>
      <c r="BP115" s="1602"/>
      <c r="BQ115" s="1602"/>
      <c r="BR115" s="1602"/>
      <c r="BS115" s="1602"/>
      <c r="BT115" s="1602"/>
      <c r="BU115" s="1602"/>
      <c r="BV115" s="1602"/>
      <c r="BW115" s="1602"/>
      <c r="BX115" s="1602"/>
      <c r="BY115" s="1602"/>
      <c r="BZ115" s="1602"/>
      <c r="CA115" s="1602"/>
      <c r="CB115" s="1602"/>
      <c r="CC115" s="1602"/>
      <c r="CD115" s="1601"/>
      <c r="CE115" s="1601"/>
      <c r="CF115" s="1601"/>
      <c r="CG115" s="1601"/>
      <c r="CH115" s="1601"/>
      <c r="CI115" s="1601"/>
      <c r="CJ115" s="1601"/>
      <c r="CK115" s="1601">
        <v>-1</v>
      </c>
      <c r="CL115" s="1602"/>
      <c r="CM115" s="1602"/>
      <c r="CN115" s="1602"/>
      <c r="CO115" s="1602"/>
      <c r="CP115" s="1602"/>
      <c r="CQ115" s="1601"/>
      <c r="CR115" s="1601"/>
      <c r="CS115" s="1602"/>
      <c r="CT115" s="1600" t="s">
        <v>3087</v>
      </c>
      <c r="CU115" s="1600" t="s">
        <v>1999</v>
      </c>
      <c r="CV115" s="1600"/>
      <c r="CW115" s="1603"/>
    </row>
    <row r="116" spans="1:102" s="136" customFormat="1" ht="18" x14ac:dyDescent="0.25">
      <c r="A116"/>
      <c r="B116" s="1540">
        <v>113</v>
      </c>
      <c r="C116" s="1541" t="s">
        <v>4976</v>
      </c>
      <c r="D116" s="1542" t="s">
        <v>3069</v>
      </c>
      <c r="E116" s="1543"/>
      <c r="F116" s="1543"/>
      <c r="G116" s="1543"/>
      <c r="H116" s="1543"/>
      <c r="I116" s="1543"/>
      <c r="J116" s="1543"/>
      <c r="K116" s="1543"/>
      <c r="L116" s="1543"/>
      <c r="M116" s="1543"/>
      <c r="N116" s="1543"/>
      <c r="O116" s="1543"/>
      <c r="P116" s="1543"/>
      <c r="Q116" s="1543"/>
      <c r="R116" s="1543"/>
      <c r="S116" s="1543"/>
      <c r="T116" s="1543"/>
      <c r="U116" s="1543"/>
      <c r="V116" s="1543"/>
      <c r="W116" s="1543"/>
      <c r="X116" s="1543"/>
      <c r="Y116" s="1543"/>
      <c r="Z116" s="1543"/>
      <c r="AA116" s="1543"/>
      <c r="AB116" s="1543"/>
      <c r="AC116" s="1543"/>
      <c r="AD116" s="1543"/>
      <c r="AE116" s="1543"/>
      <c r="AF116" s="1543"/>
      <c r="AG116" s="1543"/>
      <c r="AH116" s="1543"/>
      <c r="AI116" s="1543"/>
      <c r="AJ116" s="1543"/>
      <c r="AK116" s="1543"/>
      <c r="AL116" s="1543"/>
      <c r="AM116" s="1543"/>
      <c r="AN116" s="1543"/>
      <c r="AO116" s="1543"/>
      <c r="AP116" s="1543"/>
      <c r="AQ116" s="1543"/>
      <c r="AR116" s="1543"/>
      <c r="AS116" s="1543"/>
      <c r="AT116" s="1543"/>
      <c r="AU116" s="1543"/>
      <c r="AV116" s="1543">
        <v>1</v>
      </c>
      <c r="AW116" s="1543"/>
      <c r="AX116" s="1543"/>
      <c r="AY116" s="1543"/>
      <c r="AZ116" s="1543"/>
      <c r="BA116" s="1543"/>
      <c r="BB116" s="1543"/>
      <c r="BC116" s="1543"/>
      <c r="BD116" s="1543"/>
      <c r="BE116" s="1543"/>
      <c r="BF116" s="1543"/>
      <c r="BG116" s="1543"/>
      <c r="BH116" s="1543"/>
      <c r="BI116" s="1543"/>
      <c r="BJ116" s="1543"/>
      <c r="BK116" s="1543"/>
      <c r="BL116" s="1543"/>
      <c r="BM116" s="1543"/>
      <c r="BN116" s="1543"/>
      <c r="BO116" s="1543"/>
      <c r="BP116" s="1543"/>
      <c r="BQ116" s="1543"/>
      <c r="BR116" s="1543"/>
      <c r="BS116" s="1543"/>
      <c r="BT116" s="1543"/>
      <c r="BU116" s="1543"/>
      <c r="BV116" s="1543"/>
      <c r="BW116" s="1543"/>
      <c r="BX116" s="1543"/>
      <c r="BY116" s="1543"/>
      <c r="BZ116" s="1543"/>
      <c r="CA116" s="1543"/>
      <c r="CB116" s="1543"/>
      <c r="CC116" s="1543"/>
      <c r="CD116" s="1543"/>
      <c r="CE116" s="1543"/>
      <c r="CF116" s="1543"/>
      <c r="CG116" s="1543"/>
      <c r="CH116" s="1543"/>
      <c r="CI116" s="1543"/>
      <c r="CJ116" s="1543"/>
      <c r="CK116" s="1543"/>
      <c r="CL116" s="1544" t="s">
        <v>3070</v>
      </c>
      <c r="CM116" s="1543"/>
      <c r="CN116" s="1543"/>
      <c r="CO116" s="1543"/>
      <c r="CP116" s="1543"/>
      <c r="CQ116" s="1543"/>
      <c r="CR116" s="1543"/>
      <c r="CS116" s="1543"/>
      <c r="CT116" s="1542" t="s">
        <v>3071</v>
      </c>
      <c r="CU116" s="1542" t="s">
        <v>1999</v>
      </c>
      <c r="CV116" s="1542"/>
      <c r="CW116" s="1545"/>
      <c r="CX116" s="2060"/>
    </row>
    <row r="117" spans="1:102" s="136" customFormat="1" ht="18" x14ac:dyDescent="0.25">
      <c r="A117"/>
      <c r="B117" s="1536">
        <v>114</v>
      </c>
      <c r="C117" s="578" t="s">
        <v>4977</v>
      </c>
      <c r="D117" s="550" t="s">
        <v>3072</v>
      </c>
      <c r="E117" s="505"/>
      <c r="F117" s="505"/>
      <c r="G117" s="505"/>
      <c r="H117" s="505"/>
      <c r="I117" s="505"/>
      <c r="J117" s="505"/>
      <c r="K117" s="505"/>
      <c r="L117" s="505"/>
      <c r="M117" s="505"/>
      <c r="N117" s="505"/>
      <c r="O117" s="505"/>
      <c r="P117" s="505"/>
      <c r="Q117" s="505"/>
      <c r="R117" s="505"/>
      <c r="S117" s="505"/>
      <c r="T117" s="505"/>
      <c r="U117" s="505"/>
      <c r="V117" s="505"/>
      <c r="W117" s="505"/>
      <c r="X117" s="505"/>
      <c r="Y117" s="505"/>
      <c r="Z117" s="505"/>
      <c r="AA117" s="505"/>
      <c r="AB117" s="505"/>
      <c r="AC117" s="505"/>
      <c r="AD117" s="505"/>
      <c r="AE117" s="505"/>
      <c r="AF117" s="505"/>
      <c r="AG117" s="505"/>
      <c r="AH117" s="505"/>
      <c r="AI117" s="505"/>
      <c r="AJ117" s="505"/>
      <c r="AK117" s="505"/>
      <c r="AL117" s="505"/>
      <c r="AM117" s="505"/>
      <c r="AN117" s="505"/>
      <c r="AO117" s="505"/>
      <c r="AP117" s="505"/>
      <c r="AQ117" s="505"/>
      <c r="AR117" s="505"/>
      <c r="AS117" s="505"/>
      <c r="AT117" s="505">
        <v>1</v>
      </c>
      <c r="AU117" s="505"/>
      <c r="AV117" s="505"/>
      <c r="AW117" s="505"/>
      <c r="AX117" s="505"/>
      <c r="AY117" s="505"/>
      <c r="AZ117" s="505"/>
      <c r="BA117" s="505"/>
      <c r="BB117" s="505"/>
      <c r="BC117" s="505"/>
      <c r="BD117" s="505"/>
      <c r="BE117" s="505"/>
      <c r="BF117" s="505"/>
      <c r="BG117" s="505"/>
      <c r="BH117" s="505"/>
      <c r="BI117" s="505"/>
      <c r="BJ117" s="505"/>
      <c r="BK117" s="505"/>
      <c r="BL117" s="505"/>
      <c r="BM117" s="505"/>
      <c r="BN117" s="505"/>
      <c r="BO117" s="505"/>
      <c r="BP117" s="505"/>
      <c r="BQ117" s="505"/>
      <c r="BR117" s="505"/>
      <c r="BS117" s="505"/>
      <c r="BT117" s="624"/>
      <c r="BU117" s="505"/>
      <c r="BV117" s="505"/>
      <c r="BW117" s="2365"/>
      <c r="BX117" s="2365"/>
      <c r="BY117" s="2365"/>
      <c r="BZ117" s="2365"/>
      <c r="CA117" s="505"/>
      <c r="CB117" s="624"/>
      <c r="CC117" s="505"/>
      <c r="CD117" s="505"/>
      <c r="CE117" s="505"/>
      <c r="CF117" s="505"/>
      <c r="CG117" s="505"/>
      <c r="CH117" s="505"/>
      <c r="CI117" s="505"/>
      <c r="CJ117" s="505"/>
      <c r="CK117" s="505"/>
      <c r="CL117" s="505"/>
      <c r="CM117" s="548" t="s">
        <v>3070</v>
      </c>
      <c r="CN117" s="505"/>
      <c r="CO117" s="505"/>
      <c r="CP117" s="505"/>
      <c r="CQ117" s="505"/>
      <c r="CR117" s="505"/>
      <c r="CS117" s="505"/>
      <c r="CT117" s="550" t="s">
        <v>3073</v>
      </c>
      <c r="CU117" s="550" t="s">
        <v>1999</v>
      </c>
      <c r="CV117" s="550"/>
      <c r="CW117" s="385"/>
      <c r="CX117" s="2060"/>
    </row>
    <row r="118" spans="1:102" s="136" customFormat="1" ht="18" x14ac:dyDescent="0.25">
      <c r="A118"/>
      <c r="B118" s="1536">
        <v>115</v>
      </c>
      <c r="C118" s="578" t="s">
        <v>5103</v>
      </c>
      <c r="D118" s="550" t="s">
        <v>3074</v>
      </c>
      <c r="E118" s="505"/>
      <c r="F118" s="505"/>
      <c r="G118" s="505"/>
      <c r="H118" s="505"/>
      <c r="I118" s="505"/>
      <c r="J118" s="505"/>
      <c r="K118" s="505"/>
      <c r="L118" s="505"/>
      <c r="M118" s="505"/>
      <c r="N118" s="505"/>
      <c r="O118" s="505"/>
      <c r="P118" s="505"/>
      <c r="Q118" s="505"/>
      <c r="R118" s="505"/>
      <c r="S118" s="505"/>
      <c r="T118" s="505"/>
      <c r="U118" s="505"/>
      <c r="V118" s="505"/>
      <c r="W118" s="505"/>
      <c r="X118" s="505"/>
      <c r="Y118" s="505"/>
      <c r="Z118" s="505"/>
      <c r="AA118" s="505"/>
      <c r="AB118" s="505"/>
      <c r="AC118" s="505"/>
      <c r="AD118" s="505"/>
      <c r="AE118" s="505"/>
      <c r="AF118" s="505"/>
      <c r="AG118" s="505"/>
      <c r="AH118" s="505"/>
      <c r="AI118" s="505"/>
      <c r="AJ118" s="505"/>
      <c r="AK118" s="505"/>
      <c r="AL118" s="505"/>
      <c r="AM118" s="505"/>
      <c r="AN118" s="505"/>
      <c r="AO118" s="505"/>
      <c r="AP118" s="505"/>
      <c r="AQ118" s="505"/>
      <c r="AR118" s="505"/>
      <c r="AS118" s="505"/>
      <c r="AT118" s="505"/>
      <c r="AU118" s="505">
        <v>1</v>
      </c>
      <c r="AV118" s="505"/>
      <c r="AW118" s="505"/>
      <c r="AX118" s="505"/>
      <c r="AY118" s="505"/>
      <c r="AZ118" s="505"/>
      <c r="BA118" s="505"/>
      <c r="BB118" s="505"/>
      <c r="BC118" s="505"/>
      <c r="BD118" s="505"/>
      <c r="BE118" s="505"/>
      <c r="BF118" s="505"/>
      <c r="BG118" s="505"/>
      <c r="BH118" s="505"/>
      <c r="BI118" s="505"/>
      <c r="BJ118" s="505"/>
      <c r="BK118" s="505"/>
      <c r="BL118" s="505"/>
      <c r="BM118" s="505"/>
      <c r="BN118" s="505"/>
      <c r="BO118" s="505"/>
      <c r="BP118" s="505"/>
      <c r="BQ118" s="505"/>
      <c r="BR118" s="505"/>
      <c r="BS118" s="505"/>
      <c r="BT118" s="624"/>
      <c r="BU118" s="505"/>
      <c r="BV118" s="505"/>
      <c r="BW118" s="2365"/>
      <c r="BX118" s="2365"/>
      <c r="BY118" s="2365"/>
      <c r="BZ118" s="2365"/>
      <c r="CA118" s="505"/>
      <c r="CB118" s="624"/>
      <c r="CC118" s="505"/>
      <c r="CD118" s="505"/>
      <c r="CE118" s="505"/>
      <c r="CF118" s="505"/>
      <c r="CG118" s="505"/>
      <c r="CH118" s="505"/>
      <c r="CI118" s="505"/>
      <c r="CJ118" s="505"/>
      <c r="CK118" s="505"/>
      <c r="CL118" s="505"/>
      <c r="CM118" s="505"/>
      <c r="CN118" s="548" t="s">
        <v>3070</v>
      </c>
      <c r="CO118" s="505"/>
      <c r="CP118" s="505"/>
      <c r="CQ118" s="505"/>
      <c r="CR118" s="505"/>
      <c r="CS118" s="505"/>
      <c r="CT118" s="550" t="s">
        <v>3075</v>
      </c>
      <c r="CU118" s="550" t="s">
        <v>1999</v>
      </c>
      <c r="CV118" s="550"/>
      <c r="CW118" s="385"/>
      <c r="CX118" s="2060"/>
    </row>
    <row r="119" spans="1:102" s="136" customFormat="1" ht="18" x14ac:dyDescent="0.25">
      <c r="A119"/>
      <c r="B119" s="1536">
        <v>116</v>
      </c>
      <c r="C119" s="578" t="s">
        <v>5116</v>
      </c>
      <c r="D119" s="550" t="s">
        <v>3076</v>
      </c>
      <c r="E119" s="505"/>
      <c r="F119" s="505"/>
      <c r="G119" s="505"/>
      <c r="H119" s="505"/>
      <c r="I119" s="505"/>
      <c r="J119" s="505"/>
      <c r="K119" s="505"/>
      <c r="L119" s="505"/>
      <c r="M119" s="505"/>
      <c r="N119" s="505"/>
      <c r="O119" s="505"/>
      <c r="P119" s="505"/>
      <c r="Q119" s="505"/>
      <c r="R119" s="505"/>
      <c r="S119" s="505"/>
      <c r="T119" s="505"/>
      <c r="U119" s="505"/>
      <c r="V119" s="505"/>
      <c r="W119" s="505"/>
      <c r="X119" s="505"/>
      <c r="Y119" s="505"/>
      <c r="Z119" s="505"/>
      <c r="AA119" s="505"/>
      <c r="AB119" s="505"/>
      <c r="AC119" s="505"/>
      <c r="AD119" s="505"/>
      <c r="AE119" s="505"/>
      <c r="AF119" s="505"/>
      <c r="AG119" s="505"/>
      <c r="AH119" s="505"/>
      <c r="AI119" s="505"/>
      <c r="AJ119" s="505"/>
      <c r="AK119" s="505"/>
      <c r="AL119" s="505"/>
      <c r="AM119" s="505"/>
      <c r="AN119" s="505"/>
      <c r="AO119" s="505"/>
      <c r="AP119" s="505"/>
      <c r="AQ119" s="505"/>
      <c r="AR119" s="505"/>
      <c r="AS119" s="505">
        <v>1</v>
      </c>
      <c r="AT119" s="505"/>
      <c r="AU119" s="505"/>
      <c r="AV119" s="505"/>
      <c r="AW119" s="505"/>
      <c r="AX119" s="505"/>
      <c r="AY119" s="505"/>
      <c r="AZ119" s="505"/>
      <c r="BA119" s="505"/>
      <c r="BB119" s="505"/>
      <c r="BC119" s="505"/>
      <c r="BD119" s="505"/>
      <c r="BE119" s="505"/>
      <c r="BF119" s="505"/>
      <c r="BG119" s="505"/>
      <c r="BH119" s="505"/>
      <c r="BI119" s="505"/>
      <c r="BJ119" s="505"/>
      <c r="BK119" s="505"/>
      <c r="BL119" s="505"/>
      <c r="BM119" s="505"/>
      <c r="BN119" s="505"/>
      <c r="BO119" s="505"/>
      <c r="BP119" s="505"/>
      <c r="BQ119" s="505"/>
      <c r="BR119" s="505"/>
      <c r="BS119" s="505"/>
      <c r="BT119" s="624"/>
      <c r="BU119" s="505"/>
      <c r="BV119" s="505"/>
      <c r="BW119" s="2365"/>
      <c r="BX119" s="2365"/>
      <c r="BY119" s="2365"/>
      <c r="BZ119" s="2365"/>
      <c r="CA119" s="505"/>
      <c r="CB119" s="624"/>
      <c r="CC119" s="505"/>
      <c r="CD119" s="505"/>
      <c r="CE119" s="505"/>
      <c r="CF119" s="505"/>
      <c r="CG119" s="505"/>
      <c r="CH119" s="505"/>
      <c r="CI119" s="505"/>
      <c r="CJ119" s="505"/>
      <c r="CK119" s="505"/>
      <c r="CL119" s="505"/>
      <c r="CM119" s="505"/>
      <c r="CN119" s="505"/>
      <c r="CO119" s="548" t="s">
        <v>3070</v>
      </c>
      <c r="CP119" s="505"/>
      <c r="CQ119" s="505"/>
      <c r="CR119" s="505"/>
      <c r="CS119" s="505"/>
      <c r="CT119" s="550" t="s">
        <v>3077</v>
      </c>
      <c r="CU119" s="550" t="s">
        <v>1999</v>
      </c>
      <c r="CV119" s="550"/>
      <c r="CW119" s="385"/>
      <c r="CX119" s="2060"/>
    </row>
    <row r="120" spans="1:102" s="136" customFormat="1" ht="18" x14ac:dyDescent="0.25">
      <c r="A120"/>
      <c r="B120" s="1536">
        <v>117</v>
      </c>
      <c r="C120" s="578" t="s">
        <v>5117</v>
      </c>
      <c r="D120" s="550" t="s">
        <v>3078</v>
      </c>
      <c r="E120" s="505"/>
      <c r="F120" s="505"/>
      <c r="G120" s="505"/>
      <c r="H120" s="505"/>
      <c r="I120" s="505"/>
      <c r="J120" s="505"/>
      <c r="K120" s="505"/>
      <c r="L120" s="505"/>
      <c r="M120" s="505"/>
      <c r="N120" s="505"/>
      <c r="O120" s="505"/>
      <c r="P120" s="505"/>
      <c r="Q120" s="505"/>
      <c r="R120" s="505"/>
      <c r="S120" s="505"/>
      <c r="T120" s="505"/>
      <c r="U120" s="505"/>
      <c r="V120" s="505"/>
      <c r="W120" s="505"/>
      <c r="X120" s="505"/>
      <c r="Y120" s="505"/>
      <c r="Z120" s="505"/>
      <c r="AA120" s="505">
        <v>1</v>
      </c>
      <c r="AB120" s="505"/>
      <c r="AC120" s="505"/>
      <c r="AD120" s="505"/>
      <c r="AE120" s="505"/>
      <c r="AF120" s="505"/>
      <c r="AG120" s="505"/>
      <c r="AH120" s="505"/>
      <c r="AI120" s="505"/>
      <c r="AJ120" s="505"/>
      <c r="AK120" s="505"/>
      <c r="AL120" s="505"/>
      <c r="AM120" s="505"/>
      <c r="AN120" s="505"/>
      <c r="AO120" s="505"/>
      <c r="AP120" s="505"/>
      <c r="AQ120" s="505"/>
      <c r="AR120" s="505"/>
      <c r="AS120" s="505"/>
      <c r="AT120" s="505"/>
      <c r="AU120" s="505"/>
      <c r="AV120" s="505"/>
      <c r="AW120" s="505"/>
      <c r="AX120" s="505"/>
      <c r="AY120" s="505"/>
      <c r="AZ120" s="505"/>
      <c r="BA120" s="505"/>
      <c r="BB120" s="505"/>
      <c r="BC120" s="505"/>
      <c r="BD120" s="505"/>
      <c r="BE120" s="505"/>
      <c r="BF120" s="505"/>
      <c r="BG120" s="505"/>
      <c r="BH120" s="505"/>
      <c r="BI120" s="505"/>
      <c r="BJ120" s="505"/>
      <c r="BK120" s="505"/>
      <c r="BL120" s="505"/>
      <c r="BM120" s="505"/>
      <c r="BN120" s="505"/>
      <c r="BO120" s="505"/>
      <c r="BP120" s="505"/>
      <c r="BQ120" s="505"/>
      <c r="BR120" s="505"/>
      <c r="BS120" s="505"/>
      <c r="BT120" s="624"/>
      <c r="BU120" s="505"/>
      <c r="BV120" s="505"/>
      <c r="BW120" s="2365"/>
      <c r="BX120" s="2365"/>
      <c r="BY120" s="2365"/>
      <c r="BZ120" s="2365"/>
      <c r="CA120" s="505"/>
      <c r="CB120" s="624"/>
      <c r="CC120" s="505"/>
      <c r="CD120" s="505"/>
      <c r="CE120" s="505"/>
      <c r="CF120" s="505"/>
      <c r="CG120" s="505"/>
      <c r="CH120" s="505"/>
      <c r="CI120" s="505"/>
      <c r="CJ120" s="505"/>
      <c r="CK120" s="505"/>
      <c r="CL120" s="505"/>
      <c r="CM120" s="505"/>
      <c r="CN120" s="505"/>
      <c r="CO120" s="505"/>
      <c r="CP120" s="548" t="s">
        <v>3070</v>
      </c>
      <c r="CQ120" s="505"/>
      <c r="CR120" s="505"/>
      <c r="CS120" s="505"/>
      <c r="CT120" s="550" t="s">
        <v>3079</v>
      </c>
      <c r="CU120" s="550" t="s">
        <v>1999</v>
      </c>
      <c r="CV120" s="550"/>
      <c r="CW120" s="385"/>
      <c r="CX120" s="2060"/>
    </row>
    <row r="121" spans="1:102" s="136" customFormat="1" ht="18" x14ac:dyDescent="0.25">
      <c r="A121"/>
      <c r="B121" s="1536">
        <v>118</v>
      </c>
      <c r="C121" s="578" t="s">
        <v>5304</v>
      </c>
      <c r="D121" s="1412" t="s">
        <v>3610</v>
      </c>
      <c r="E121" s="487"/>
      <c r="F121" s="487"/>
      <c r="G121" s="487"/>
      <c r="H121" s="487"/>
      <c r="I121" s="487"/>
      <c r="J121" s="1474"/>
      <c r="K121" s="487"/>
      <c r="L121" s="487"/>
      <c r="M121" s="487"/>
      <c r="N121" s="487"/>
      <c r="O121" s="487"/>
      <c r="P121" s="487"/>
      <c r="Q121" s="487"/>
      <c r="R121" s="487"/>
      <c r="S121" s="487"/>
      <c r="T121" s="487"/>
      <c r="U121" s="487"/>
      <c r="V121" s="487"/>
      <c r="W121" s="487"/>
      <c r="X121" s="487"/>
      <c r="Y121" s="487"/>
      <c r="Z121" s="1474"/>
      <c r="AA121" s="487"/>
      <c r="AB121" s="487"/>
      <c r="AC121" s="487"/>
      <c r="AD121" s="487"/>
      <c r="AE121" s="505" t="s">
        <v>4772</v>
      </c>
      <c r="AF121" s="505" t="s">
        <v>4773</v>
      </c>
      <c r="AG121" s="487"/>
      <c r="AH121" s="487"/>
      <c r="AI121" s="487"/>
      <c r="AJ121" s="487"/>
      <c r="AK121" s="1474"/>
      <c r="AL121" s="487"/>
      <c r="AM121" s="487"/>
      <c r="AN121" s="487"/>
      <c r="AO121" s="487"/>
      <c r="AP121" s="487"/>
      <c r="AQ121" s="1474"/>
      <c r="AR121" s="487"/>
      <c r="AS121" s="487"/>
      <c r="AT121" s="487"/>
      <c r="AU121" s="487"/>
      <c r="AV121" s="487"/>
      <c r="AW121" s="487"/>
      <c r="AX121" s="487"/>
      <c r="AY121" s="487"/>
      <c r="AZ121" s="487"/>
      <c r="BA121" s="487"/>
      <c r="BB121" s="487"/>
      <c r="BC121" s="487"/>
      <c r="BD121" s="487"/>
      <c r="BE121" s="487"/>
      <c r="BF121" s="487"/>
      <c r="BG121" s="487"/>
      <c r="BH121" s="487"/>
      <c r="BI121" s="487"/>
      <c r="BJ121" s="487"/>
      <c r="BK121" s="487"/>
      <c r="BL121" s="487"/>
      <c r="BM121" s="487"/>
      <c r="BN121" s="487"/>
      <c r="BO121" s="487"/>
      <c r="BP121" s="487"/>
      <c r="BQ121" s="487"/>
      <c r="BR121" s="487"/>
      <c r="BS121" s="487"/>
      <c r="BT121" s="487"/>
      <c r="BU121" s="487"/>
      <c r="BV121" s="487"/>
      <c r="BW121" s="1474"/>
      <c r="BX121" s="1474"/>
      <c r="BY121" s="1474"/>
      <c r="BZ121" s="1474"/>
      <c r="CA121" s="487"/>
      <c r="CB121" s="487"/>
      <c r="CC121" s="1474"/>
      <c r="CD121" s="487"/>
      <c r="CE121" s="487"/>
      <c r="CF121" s="487"/>
      <c r="CG121" s="487"/>
      <c r="CH121" s="487"/>
      <c r="CI121" s="487"/>
      <c r="CJ121" s="487"/>
      <c r="CK121" s="487"/>
      <c r="CL121" s="487"/>
      <c r="CM121" s="487"/>
      <c r="CN121" s="487"/>
      <c r="CO121" s="487"/>
      <c r="CP121" s="488"/>
      <c r="CQ121" s="548" t="s">
        <v>3070</v>
      </c>
      <c r="CR121" s="487"/>
      <c r="CS121" s="487"/>
      <c r="CT121" s="550" t="s">
        <v>3672</v>
      </c>
      <c r="CU121" s="550" t="s">
        <v>1999</v>
      </c>
      <c r="CV121" s="486"/>
      <c r="CW121" s="489"/>
      <c r="CX121" s="2060"/>
    </row>
    <row r="122" spans="1:102" s="136" customFormat="1" ht="18" x14ac:dyDescent="0.25">
      <c r="A122"/>
      <c r="B122" s="1536">
        <v>119</v>
      </c>
      <c r="C122" s="578" t="s">
        <v>5305</v>
      </c>
      <c r="D122" s="1412" t="s">
        <v>3611</v>
      </c>
      <c r="E122" s="487"/>
      <c r="F122" s="487"/>
      <c r="G122" s="487"/>
      <c r="H122" s="487"/>
      <c r="I122" s="487"/>
      <c r="J122" s="1474"/>
      <c r="K122" s="487"/>
      <c r="L122" s="487"/>
      <c r="M122" s="487"/>
      <c r="N122" s="487"/>
      <c r="O122" s="487"/>
      <c r="P122" s="487"/>
      <c r="Q122" s="487"/>
      <c r="R122" s="487"/>
      <c r="S122" s="487"/>
      <c r="T122" s="487"/>
      <c r="U122" s="487"/>
      <c r="V122" s="487"/>
      <c r="W122" s="487"/>
      <c r="X122" s="487"/>
      <c r="Y122" s="487"/>
      <c r="Z122" s="1474"/>
      <c r="AA122" s="487"/>
      <c r="AB122" s="487"/>
      <c r="AC122" s="487"/>
      <c r="AD122" s="487"/>
      <c r="AE122" s="505"/>
      <c r="AF122" s="505"/>
      <c r="AG122" s="487">
        <v>1</v>
      </c>
      <c r="AH122" s="487"/>
      <c r="AI122" s="487"/>
      <c r="AJ122" s="487"/>
      <c r="AK122" s="1474"/>
      <c r="AL122" s="487"/>
      <c r="AM122" s="487"/>
      <c r="AN122" s="487"/>
      <c r="AO122" s="487"/>
      <c r="AP122" s="487"/>
      <c r="AQ122" s="1474"/>
      <c r="AR122" s="487"/>
      <c r="AS122" s="487"/>
      <c r="AT122" s="487"/>
      <c r="AU122" s="487"/>
      <c r="AV122" s="487"/>
      <c r="AW122" s="487"/>
      <c r="AX122" s="487"/>
      <c r="AY122" s="487"/>
      <c r="AZ122" s="487"/>
      <c r="BA122" s="487"/>
      <c r="BB122" s="487"/>
      <c r="BC122" s="487"/>
      <c r="BD122" s="487"/>
      <c r="BE122" s="487"/>
      <c r="BF122" s="487"/>
      <c r="BG122" s="487"/>
      <c r="BH122" s="487"/>
      <c r="BI122" s="487"/>
      <c r="BJ122" s="487"/>
      <c r="BK122" s="487"/>
      <c r="BL122" s="487"/>
      <c r="BM122" s="487"/>
      <c r="BN122" s="487"/>
      <c r="BO122" s="487"/>
      <c r="BP122" s="487"/>
      <c r="BQ122" s="487"/>
      <c r="BR122" s="487"/>
      <c r="BS122" s="487"/>
      <c r="BT122" s="487"/>
      <c r="BU122" s="487"/>
      <c r="BV122" s="487"/>
      <c r="BW122" s="1474"/>
      <c r="BX122" s="1474"/>
      <c r="BY122" s="1474"/>
      <c r="BZ122" s="1474"/>
      <c r="CA122" s="487"/>
      <c r="CB122" s="487"/>
      <c r="CC122" s="1474"/>
      <c r="CD122" s="487"/>
      <c r="CE122" s="487"/>
      <c r="CF122" s="487"/>
      <c r="CG122" s="487"/>
      <c r="CH122" s="487"/>
      <c r="CI122" s="487"/>
      <c r="CJ122" s="487"/>
      <c r="CK122" s="487"/>
      <c r="CL122" s="487"/>
      <c r="CM122" s="487"/>
      <c r="CN122" s="487"/>
      <c r="CO122" s="487"/>
      <c r="CP122" s="488"/>
      <c r="CQ122" s="487"/>
      <c r="CR122" s="548" t="s">
        <v>3070</v>
      </c>
      <c r="CS122" s="487"/>
      <c r="CT122" s="550" t="s">
        <v>3673</v>
      </c>
      <c r="CU122" s="550" t="s">
        <v>1999</v>
      </c>
      <c r="CV122" s="486"/>
      <c r="CW122" s="489"/>
      <c r="CX122" s="2060"/>
    </row>
    <row r="123" spans="1:102" s="136" customFormat="1" ht="18.75" thickBot="1" x14ac:dyDescent="0.3">
      <c r="A123"/>
      <c r="B123" s="1537">
        <v>120</v>
      </c>
      <c r="C123" s="1538" t="s">
        <v>5506</v>
      </c>
      <c r="D123" s="1413" t="s">
        <v>3080</v>
      </c>
      <c r="E123" s="387"/>
      <c r="F123" s="387"/>
      <c r="G123" s="387"/>
      <c r="H123" s="387"/>
      <c r="I123" s="387"/>
      <c r="J123" s="1475"/>
      <c r="K123" s="387"/>
      <c r="L123" s="387"/>
      <c r="M123" s="387"/>
      <c r="N123" s="387"/>
      <c r="O123" s="387"/>
      <c r="P123" s="387"/>
      <c r="Q123" s="387"/>
      <c r="R123" s="387"/>
      <c r="S123" s="387"/>
      <c r="T123" s="387"/>
      <c r="U123" s="387"/>
      <c r="V123" s="387"/>
      <c r="W123" s="387"/>
      <c r="X123" s="387"/>
      <c r="Y123" s="387"/>
      <c r="Z123" s="1475"/>
      <c r="AA123" s="387"/>
      <c r="AB123" s="387"/>
      <c r="AC123" s="387"/>
      <c r="AD123" s="387"/>
      <c r="AE123" s="387"/>
      <c r="AF123" s="387"/>
      <c r="AG123" s="387"/>
      <c r="AH123" s="387">
        <v>1</v>
      </c>
      <c r="AI123" s="387"/>
      <c r="AJ123" s="387"/>
      <c r="AK123" s="1475"/>
      <c r="AL123" s="387"/>
      <c r="AM123" s="387"/>
      <c r="AN123" s="387"/>
      <c r="AO123" s="387"/>
      <c r="AP123" s="387"/>
      <c r="AQ123" s="1475"/>
      <c r="AR123" s="387"/>
      <c r="AS123" s="387"/>
      <c r="AT123" s="387"/>
      <c r="AU123" s="387"/>
      <c r="AV123" s="387"/>
      <c r="AW123" s="387"/>
      <c r="AX123" s="387"/>
      <c r="AY123" s="387"/>
      <c r="AZ123" s="387"/>
      <c r="BA123" s="387"/>
      <c r="BB123" s="387"/>
      <c r="BC123" s="387"/>
      <c r="BD123" s="387"/>
      <c r="BE123" s="387"/>
      <c r="BF123" s="387"/>
      <c r="BG123" s="387"/>
      <c r="BH123" s="387"/>
      <c r="BI123" s="387"/>
      <c r="BJ123" s="387"/>
      <c r="BK123" s="387"/>
      <c r="BL123" s="387"/>
      <c r="BM123" s="387"/>
      <c r="BN123" s="387"/>
      <c r="BO123" s="387"/>
      <c r="BP123" s="387"/>
      <c r="BQ123" s="387"/>
      <c r="BR123" s="387"/>
      <c r="BS123" s="387"/>
      <c r="BT123" s="387"/>
      <c r="BU123" s="387"/>
      <c r="BV123" s="387"/>
      <c r="BW123" s="1475"/>
      <c r="BX123" s="1475"/>
      <c r="BY123" s="1475"/>
      <c r="BZ123" s="1475"/>
      <c r="CA123" s="387"/>
      <c r="CB123" s="387"/>
      <c r="CC123" s="1475"/>
      <c r="CD123" s="387"/>
      <c r="CE123" s="387"/>
      <c r="CF123" s="387"/>
      <c r="CG123" s="387"/>
      <c r="CH123" s="387"/>
      <c r="CI123" s="387"/>
      <c r="CJ123" s="387"/>
      <c r="CK123" s="387"/>
      <c r="CL123" s="387"/>
      <c r="CM123" s="387"/>
      <c r="CN123" s="387"/>
      <c r="CO123" s="387"/>
      <c r="CP123" s="387"/>
      <c r="CQ123" s="387"/>
      <c r="CR123" s="387"/>
      <c r="CS123" s="388" t="s">
        <v>3070</v>
      </c>
      <c r="CT123" s="386" t="s">
        <v>3081</v>
      </c>
      <c r="CU123" s="386" t="s">
        <v>1999</v>
      </c>
      <c r="CV123" s="386"/>
      <c r="CW123" s="389"/>
      <c r="CX123" s="2060"/>
    </row>
    <row r="124" spans="1:102" ht="15.75" thickBot="1" x14ac:dyDescent="0.3"/>
    <row r="125" spans="1:102" ht="15.75" thickBot="1" x14ac:dyDescent="0.3">
      <c r="D125" s="53" t="s">
        <v>6</v>
      </c>
      <c r="E125" s="70"/>
      <c r="F125" s="70"/>
      <c r="G125" s="70"/>
      <c r="H125" s="70"/>
      <c r="I125" s="70"/>
      <c r="J125" s="70"/>
      <c r="K125" s="70"/>
      <c r="L125" s="70"/>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70"/>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70"/>
      <c r="CQ125" s="70"/>
      <c r="CR125" s="70"/>
      <c r="CS125" s="70"/>
      <c r="CT125" s="2054"/>
    </row>
    <row r="126" spans="1:102" ht="18.75" x14ac:dyDescent="0.25">
      <c r="D126" s="230" t="s">
        <v>148</v>
      </c>
      <c r="E126" s="231">
        <v>1</v>
      </c>
      <c r="F126" s="231">
        <v>1</v>
      </c>
      <c r="G126" s="231">
        <v>1</v>
      </c>
      <c r="H126" s="231">
        <v>1</v>
      </c>
      <c r="I126" s="231">
        <v>1</v>
      </c>
      <c r="J126" s="2422">
        <v>1</v>
      </c>
      <c r="K126" s="231">
        <v>1</v>
      </c>
      <c r="L126" s="231">
        <v>1</v>
      </c>
      <c r="M126" s="231">
        <v>1</v>
      </c>
      <c r="N126" s="231">
        <v>1</v>
      </c>
      <c r="O126" s="231">
        <v>1</v>
      </c>
      <c r="P126" s="231">
        <v>1</v>
      </c>
      <c r="Q126" s="231">
        <v>1</v>
      </c>
      <c r="R126" s="231">
        <v>1</v>
      </c>
      <c r="S126" s="231">
        <v>1</v>
      </c>
      <c r="T126" s="231">
        <v>1</v>
      </c>
      <c r="U126" s="231">
        <v>1</v>
      </c>
      <c r="V126" s="231">
        <v>1</v>
      </c>
      <c r="W126" s="231">
        <v>1</v>
      </c>
      <c r="X126" s="231">
        <v>1</v>
      </c>
      <c r="Y126" s="231">
        <v>1</v>
      </c>
      <c r="Z126" s="1653">
        <v>1</v>
      </c>
      <c r="AA126" s="231"/>
      <c r="AB126" s="232" t="s">
        <v>3860</v>
      </c>
      <c r="AC126" s="232" t="s">
        <v>1616</v>
      </c>
      <c r="AD126" s="232" t="s">
        <v>2399</v>
      </c>
      <c r="AE126" s="484" t="s">
        <v>3601</v>
      </c>
      <c r="AF126" s="484" t="s">
        <v>3601</v>
      </c>
      <c r="AG126" s="484" t="s">
        <v>3602</v>
      </c>
      <c r="AH126" s="232" t="s">
        <v>1617</v>
      </c>
      <c r="AI126" s="231"/>
      <c r="AJ126" s="231"/>
      <c r="AK126" s="2422"/>
      <c r="AL126" s="231"/>
      <c r="AM126" s="231"/>
      <c r="AN126" s="231"/>
      <c r="AO126" s="231"/>
      <c r="AP126" s="231"/>
      <c r="AQ126" s="2422"/>
      <c r="AR126" s="231"/>
      <c r="AS126" s="231">
        <v>-1</v>
      </c>
      <c r="AT126" s="231">
        <v>1</v>
      </c>
      <c r="AU126" s="231">
        <v>1</v>
      </c>
      <c r="AV126" s="231"/>
      <c r="AW126" s="231"/>
      <c r="AX126" s="231"/>
      <c r="AY126" s="231"/>
      <c r="AZ126" s="231"/>
      <c r="BA126" s="231"/>
      <c r="BB126" s="231"/>
      <c r="BC126" s="231" t="s">
        <v>1343</v>
      </c>
      <c r="BD126" s="231"/>
      <c r="BE126" s="231"/>
      <c r="BF126" s="231"/>
      <c r="BG126" s="231"/>
      <c r="BH126" s="231"/>
      <c r="BI126" s="231"/>
      <c r="BJ126" s="231"/>
      <c r="BK126" s="231"/>
      <c r="BL126" s="231"/>
      <c r="BM126" s="231"/>
      <c r="BN126" s="231"/>
      <c r="BO126" s="231"/>
      <c r="BP126" s="231"/>
      <c r="BQ126" s="231"/>
      <c r="BR126" s="231"/>
      <c r="BS126" s="231"/>
      <c r="BT126" s="625"/>
      <c r="BU126" s="231"/>
      <c r="BV126" s="233" t="s">
        <v>1618</v>
      </c>
      <c r="BW126" s="2375"/>
      <c r="BX126" s="2375"/>
      <c r="BY126" s="2375"/>
      <c r="BZ126" s="2375"/>
      <c r="CA126" s="233"/>
      <c r="CB126" s="629"/>
      <c r="CC126" s="1476"/>
      <c r="CD126" s="373"/>
      <c r="CE126" s="374" t="s">
        <v>3275</v>
      </c>
      <c r="CF126" s="374" t="s">
        <v>3275</v>
      </c>
      <c r="CG126" s="374" t="s">
        <v>1147</v>
      </c>
      <c r="CH126" s="373"/>
      <c r="CI126" s="374" t="s">
        <v>3603</v>
      </c>
      <c r="CJ126" s="374" t="s">
        <v>3604</v>
      </c>
      <c r="CK126" s="374" t="s">
        <v>3276</v>
      </c>
      <c r="CL126" s="368"/>
      <c r="CM126" s="368" t="s">
        <v>3100</v>
      </c>
      <c r="CN126" s="368" t="s">
        <v>3100</v>
      </c>
      <c r="CO126" s="368" t="s">
        <v>3101</v>
      </c>
      <c r="CP126" s="368"/>
      <c r="CQ126" s="374" t="s">
        <v>3607</v>
      </c>
      <c r="CR126" s="374" t="s">
        <v>3605</v>
      </c>
      <c r="CS126" s="374" t="s">
        <v>3102</v>
      </c>
      <c r="CT126" s="285"/>
    </row>
    <row r="127" spans="1:102" ht="18.75" x14ac:dyDescent="0.25">
      <c r="D127" s="212" t="s">
        <v>259</v>
      </c>
      <c r="E127" s="185" t="s">
        <v>1947</v>
      </c>
      <c r="F127" s="185" t="s">
        <v>1948</v>
      </c>
      <c r="G127" s="185" t="s">
        <v>1949</v>
      </c>
      <c r="H127" s="185" t="s">
        <v>1948</v>
      </c>
      <c r="I127" s="185" t="s">
        <v>1948</v>
      </c>
      <c r="J127" s="185" t="s">
        <v>5363</v>
      </c>
      <c r="K127" s="185" t="s">
        <v>1948</v>
      </c>
      <c r="L127" s="185" t="s">
        <v>1948</v>
      </c>
      <c r="M127" s="185" t="s">
        <v>1948</v>
      </c>
      <c r="N127" s="185" t="s">
        <v>1952</v>
      </c>
      <c r="O127" s="185" t="s">
        <v>1952</v>
      </c>
      <c r="P127" s="185" t="s">
        <v>1615</v>
      </c>
      <c r="Q127" s="185" t="s">
        <v>1615</v>
      </c>
      <c r="R127" s="185" t="s">
        <v>1615</v>
      </c>
      <c r="S127" s="185" t="s">
        <v>1615</v>
      </c>
      <c r="T127" s="185" t="s">
        <v>1615</v>
      </c>
      <c r="U127" s="185" t="s">
        <v>1615</v>
      </c>
      <c r="V127" s="185" t="s">
        <v>1615</v>
      </c>
      <c r="W127" s="185" t="s">
        <v>1615</v>
      </c>
      <c r="X127" s="185" t="s">
        <v>1615</v>
      </c>
      <c r="Y127" s="185" t="s">
        <v>1615</v>
      </c>
      <c r="Z127" s="512" t="s">
        <v>4950</v>
      </c>
      <c r="AA127" s="185"/>
      <c r="AB127" s="512"/>
      <c r="AC127" s="229"/>
      <c r="AD127" s="229"/>
      <c r="AE127" s="481"/>
      <c r="AF127" s="481"/>
      <c r="AG127" s="481"/>
      <c r="AH127" s="229"/>
      <c r="AI127" s="185"/>
      <c r="AJ127" s="185"/>
      <c r="AK127" s="512"/>
      <c r="AL127" s="185"/>
      <c r="AM127" s="185"/>
      <c r="AN127" s="185"/>
      <c r="AO127" s="185"/>
      <c r="AP127" s="185"/>
      <c r="AQ127" s="512"/>
      <c r="AR127" s="185"/>
      <c r="AS127" s="185"/>
      <c r="AT127" s="185" t="s">
        <v>1946</v>
      </c>
      <c r="AU127" s="185"/>
      <c r="AV127" s="185">
        <v>1</v>
      </c>
      <c r="AW127" s="185"/>
      <c r="AX127" s="185"/>
      <c r="AY127" s="185"/>
      <c r="AZ127" s="185"/>
      <c r="BA127" s="185"/>
      <c r="BB127" s="185"/>
      <c r="BC127" s="185"/>
      <c r="BD127" s="185"/>
      <c r="BE127" s="185"/>
      <c r="BF127" s="185"/>
      <c r="BG127" s="185"/>
      <c r="BH127" s="185"/>
      <c r="BI127" s="185"/>
      <c r="BJ127" s="185"/>
      <c r="BK127" s="185"/>
      <c r="BL127" s="185"/>
      <c r="BM127" s="185"/>
      <c r="BN127" s="185"/>
      <c r="BO127" s="185"/>
      <c r="BP127" s="185"/>
      <c r="BQ127" s="185"/>
      <c r="BR127" s="185" t="s">
        <v>2426</v>
      </c>
      <c r="BS127" s="185"/>
      <c r="BT127" s="479"/>
      <c r="BU127" s="185"/>
      <c r="BV127" s="186"/>
      <c r="BW127" s="2376"/>
      <c r="BX127" s="2376"/>
      <c r="BY127" s="2376"/>
      <c r="BZ127" s="2376"/>
      <c r="CA127" s="186"/>
      <c r="CB127" s="626"/>
      <c r="CC127" s="1468"/>
      <c r="CD127" s="375" t="s">
        <v>3275</v>
      </c>
      <c r="CE127" s="376" t="s">
        <v>1946</v>
      </c>
      <c r="CF127" s="376"/>
      <c r="CG127" s="375"/>
      <c r="CH127" s="376"/>
      <c r="CI127" s="479"/>
      <c r="CJ127" s="479"/>
      <c r="CK127" s="375"/>
      <c r="CL127" s="369" t="s">
        <v>3100</v>
      </c>
      <c r="CM127" s="369" t="s">
        <v>3103</v>
      </c>
      <c r="CN127" s="369"/>
      <c r="CO127" s="369"/>
      <c r="CP127" s="369"/>
      <c r="CQ127" s="479"/>
      <c r="CR127" s="479"/>
      <c r="CS127" s="479"/>
      <c r="CT127" s="286"/>
    </row>
    <row r="128" spans="1:102" ht="18.75" x14ac:dyDescent="0.25">
      <c r="D128" s="212" t="s">
        <v>255</v>
      </c>
      <c r="E128" s="185"/>
      <c r="F128" s="185"/>
      <c r="G128" s="185"/>
      <c r="H128" s="185" t="s">
        <v>1121</v>
      </c>
      <c r="I128" s="185"/>
      <c r="J128" s="512"/>
      <c r="K128" s="185" t="s">
        <v>1122</v>
      </c>
      <c r="L128" s="185" t="s">
        <v>1056</v>
      </c>
      <c r="M128" s="185"/>
      <c r="N128" s="185"/>
      <c r="O128" s="185"/>
      <c r="P128" s="185" t="s">
        <v>2126</v>
      </c>
      <c r="Q128" s="185" t="s">
        <v>2126</v>
      </c>
      <c r="R128" s="185" t="s">
        <v>1619</v>
      </c>
      <c r="S128" s="185" t="s">
        <v>1619</v>
      </c>
      <c r="T128" s="185" t="s">
        <v>1619</v>
      </c>
      <c r="U128" s="185" t="s">
        <v>1619</v>
      </c>
      <c r="V128" s="185" t="s">
        <v>1619</v>
      </c>
      <c r="W128" s="185" t="s">
        <v>1619</v>
      </c>
      <c r="X128" s="185" t="s">
        <v>1619</v>
      </c>
      <c r="Y128" s="185" t="s">
        <v>1619</v>
      </c>
      <c r="Z128" s="512" t="s">
        <v>4979</v>
      </c>
      <c r="AA128" s="185">
        <v>1</v>
      </c>
      <c r="AB128" s="512">
        <v>1</v>
      </c>
      <c r="AC128" s="185">
        <v>1</v>
      </c>
      <c r="AD128" s="185">
        <v>1</v>
      </c>
      <c r="AE128" s="485">
        <v>1</v>
      </c>
      <c r="AF128" s="485">
        <v>1</v>
      </c>
      <c r="AG128" s="485">
        <v>1</v>
      </c>
      <c r="AH128" s="185">
        <v>1</v>
      </c>
      <c r="AI128" s="185">
        <v>1</v>
      </c>
      <c r="AJ128" s="185">
        <v>1</v>
      </c>
      <c r="AK128" s="512">
        <v>1</v>
      </c>
      <c r="AL128" s="185">
        <v>1</v>
      </c>
      <c r="AM128" s="185"/>
      <c r="AN128" s="185"/>
      <c r="AO128" s="185"/>
      <c r="AP128" s="185"/>
      <c r="AQ128" s="512"/>
      <c r="AR128" s="185"/>
      <c r="AS128" s="185"/>
      <c r="AT128" s="185"/>
      <c r="AU128" s="185"/>
      <c r="AV128" s="185"/>
      <c r="AW128" s="185"/>
      <c r="AX128" s="185"/>
      <c r="AY128" s="185"/>
      <c r="AZ128" s="185"/>
      <c r="BA128" s="185"/>
      <c r="BB128" s="185"/>
      <c r="BC128" s="185"/>
      <c r="BD128" s="185"/>
      <c r="BE128" s="185"/>
      <c r="BF128" s="185"/>
      <c r="BG128" s="185"/>
      <c r="BH128" s="185"/>
      <c r="BI128" s="185"/>
      <c r="BJ128" s="185"/>
      <c r="BK128" s="185"/>
      <c r="BL128" s="185"/>
      <c r="BM128" s="185"/>
      <c r="BN128" s="185"/>
      <c r="BO128" s="185"/>
      <c r="BP128" s="185"/>
      <c r="BQ128" s="185"/>
      <c r="BR128" s="185"/>
      <c r="BS128" s="185"/>
      <c r="BT128" s="479"/>
      <c r="BU128" s="185" t="s">
        <v>1620</v>
      </c>
      <c r="BV128" s="185"/>
      <c r="BW128" s="2377"/>
      <c r="BX128" s="2377"/>
      <c r="BY128" s="2377"/>
      <c r="BZ128" s="2377"/>
      <c r="CA128" s="185"/>
      <c r="CB128" s="479"/>
      <c r="CC128" s="512"/>
      <c r="CD128" s="376"/>
      <c r="CE128" s="376"/>
      <c r="CF128" s="376"/>
      <c r="CG128" s="376"/>
      <c r="CH128" s="375" t="s">
        <v>3275</v>
      </c>
      <c r="CI128" s="481">
        <v>1</v>
      </c>
      <c r="CJ128" s="481">
        <v>1</v>
      </c>
      <c r="CK128" s="375" t="s">
        <v>3275</v>
      </c>
      <c r="CL128" s="370"/>
      <c r="CM128" s="370"/>
      <c r="CN128" s="370"/>
      <c r="CO128" s="370"/>
      <c r="CP128" s="370" t="s">
        <v>3100</v>
      </c>
      <c r="CQ128" s="481" t="s">
        <v>3606</v>
      </c>
      <c r="CR128" s="481" t="s">
        <v>3606</v>
      </c>
      <c r="CS128" s="481" t="s">
        <v>3100</v>
      </c>
      <c r="CT128" s="287"/>
    </row>
    <row r="129" spans="2:110" ht="18" x14ac:dyDescent="0.25">
      <c r="D129" s="212" t="s">
        <v>256</v>
      </c>
      <c r="E129" s="185"/>
      <c r="F129" s="185"/>
      <c r="G129" s="185"/>
      <c r="H129" s="185" t="s">
        <v>1057</v>
      </c>
      <c r="I129" s="185"/>
      <c r="J129" s="512"/>
      <c r="K129" s="185" t="s">
        <v>1059</v>
      </c>
      <c r="L129" s="185" t="s">
        <v>1058</v>
      </c>
      <c r="M129" s="185"/>
      <c r="N129" s="185"/>
      <c r="O129" s="185"/>
      <c r="P129" s="185" t="s">
        <v>1621</v>
      </c>
      <c r="Q129" s="185" t="s">
        <v>1621</v>
      </c>
      <c r="R129" s="185" t="s">
        <v>1621</v>
      </c>
      <c r="S129" s="185" t="s">
        <v>1621</v>
      </c>
      <c r="T129" s="185" t="s">
        <v>1621</v>
      </c>
      <c r="U129" s="185" t="s">
        <v>1621</v>
      </c>
      <c r="V129" s="185" t="s">
        <v>1621</v>
      </c>
      <c r="W129" s="185" t="s">
        <v>1621</v>
      </c>
      <c r="X129" s="185" t="s">
        <v>1621</v>
      </c>
      <c r="Y129" s="185" t="s">
        <v>1621</v>
      </c>
      <c r="Z129" s="512" t="s">
        <v>4980</v>
      </c>
      <c r="AA129" s="185"/>
      <c r="AB129" s="512"/>
      <c r="AC129" s="185"/>
      <c r="AD129" s="185"/>
      <c r="AE129" s="479"/>
      <c r="AF129" s="479"/>
      <c r="AG129" s="479"/>
      <c r="AH129" s="185"/>
      <c r="AI129" s="185"/>
      <c r="AJ129" s="185"/>
      <c r="AK129" s="512"/>
      <c r="AL129" s="185"/>
      <c r="AM129" s="185">
        <v>1</v>
      </c>
      <c r="AN129" s="185">
        <v>1</v>
      </c>
      <c r="AO129" s="185">
        <v>1</v>
      </c>
      <c r="AP129" s="185">
        <v>1</v>
      </c>
      <c r="AQ129" s="512">
        <v>1</v>
      </c>
      <c r="AR129" s="185">
        <v>1</v>
      </c>
      <c r="AS129" s="185"/>
      <c r="AT129" s="185"/>
      <c r="AU129" s="185"/>
      <c r="AV129" s="185"/>
      <c r="AW129" s="185"/>
      <c r="AX129" s="185"/>
      <c r="AY129" s="185"/>
      <c r="AZ129" s="185"/>
      <c r="BA129" s="185"/>
      <c r="BB129" s="185"/>
      <c r="BC129" s="186"/>
      <c r="BD129" s="185"/>
      <c r="BE129" s="185"/>
      <c r="BF129" s="186"/>
      <c r="BG129" s="479" t="s">
        <v>4223</v>
      </c>
      <c r="BH129" s="479" t="s">
        <v>4224</v>
      </c>
      <c r="BI129" s="479" t="s">
        <v>4223</v>
      </c>
      <c r="BJ129" s="479" t="s">
        <v>4224</v>
      </c>
      <c r="BK129" s="479"/>
      <c r="BL129" s="479"/>
      <c r="BM129" s="626"/>
      <c r="BN129" s="479" t="s">
        <v>4225</v>
      </c>
      <c r="BO129" s="479" t="s">
        <v>4226</v>
      </c>
      <c r="BP129" s="479" t="s">
        <v>4225</v>
      </c>
      <c r="BQ129" s="479" t="s">
        <v>4226</v>
      </c>
      <c r="BR129" s="186"/>
      <c r="BS129" s="185" t="s">
        <v>1622</v>
      </c>
      <c r="BT129" s="479" t="s">
        <v>4221</v>
      </c>
      <c r="BU129" s="185" t="s">
        <v>1623</v>
      </c>
      <c r="BV129" s="186" t="s">
        <v>1624</v>
      </c>
      <c r="BW129" s="2376"/>
      <c r="BX129" s="2376"/>
      <c r="BY129" s="2376"/>
      <c r="BZ129" s="2376"/>
      <c r="CA129" s="186"/>
      <c r="CB129" s="626"/>
      <c r="CC129" s="1468"/>
      <c r="CD129" s="376"/>
      <c r="CE129" s="376"/>
      <c r="CF129" s="376"/>
      <c r="CG129" s="376"/>
      <c r="CH129" s="376"/>
      <c r="CI129" s="479"/>
      <c r="CJ129" s="479"/>
      <c r="CK129" s="376"/>
      <c r="CL129" s="370"/>
      <c r="CM129" s="370"/>
      <c r="CN129" s="370"/>
      <c r="CO129" s="370"/>
      <c r="CP129" s="370"/>
      <c r="CQ129" s="479"/>
      <c r="CR129" s="479"/>
      <c r="CS129" s="479"/>
      <c r="CT129" s="287"/>
    </row>
    <row r="130" spans="2:110" ht="18" x14ac:dyDescent="0.25">
      <c r="D130" s="212" t="s">
        <v>1112</v>
      </c>
      <c r="E130" s="185"/>
      <c r="F130" s="185"/>
      <c r="G130" s="185"/>
      <c r="H130" s="185"/>
      <c r="I130" s="185"/>
      <c r="J130" s="512"/>
      <c r="K130" s="185"/>
      <c r="L130" s="185"/>
      <c r="M130" s="185"/>
      <c r="N130" s="185"/>
      <c r="O130" s="185"/>
      <c r="P130" s="185"/>
      <c r="Q130" s="185"/>
      <c r="R130" s="185"/>
      <c r="S130" s="185"/>
      <c r="T130" s="185"/>
      <c r="U130" s="185"/>
      <c r="V130" s="185"/>
      <c r="W130" s="185"/>
      <c r="X130" s="185"/>
      <c r="Y130" s="185"/>
      <c r="Z130" s="512"/>
      <c r="AA130" s="185"/>
      <c r="AB130" s="512"/>
      <c r="AC130" s="185"/>
      <c r="AD130" s="185"/>
      <c r="AE130" s="479"/>
      <c r="AF130" s="479"/>
      <c r="AG130" s="479"/>
      <c r="AH130" s="185"/>
      <c r="AI130" s="185"/>
      <c r="AJ130" s="185"/>
      <c r="AK130" s="512"/>
      <c r="AL130" s="185"/>
      <c r="AM130" s="185"/>
      <c r="AN130" s="185"/>
      <c r="AO130" s="185"/>
      <c r="AP130" s="185"/>
      <c r="AQ130" s="512"/>
      <c r="AR130" s="185"/>
      <c r="AS130" s="185"/>
      <c r="AT130" s="185"/>
      <c r="AU130" s="185"/>
      <c r="AV130" s="185"/>
      <c r="AW130" s="459" t="s">
        <v>3539</v>
      </c>
      <c r="AX130" s="185">
        <v>1</v>
      </c>
      <c r="AY130" s="185"/>
      <c r="AZ130" s="185"/>
      <c r="BA130" s="185"/>
      <c r="BB130" s="185"/>
      <c r="BC130" s="186"/>
      <c r="BD130" s="185"/>
      <c r="BE130" s="185"/>
      <c r="BF130" s="186"/>
      <c r="BG130" s="186"/>
      <c r="BH130" s="185"/>
      <c r="BI130" s="186"/>
      <c r="BJ130" s="186"/>
      <c r="BK130" s="185"/>
      <c r="BL130" s="185"/>
      <c r="BM130" s="186"/>
      <c r="BN130" s="186"/>
      <c r="BO130" s="185"/>
      <c r="BP130" s="186"/>
      <c r="BQ130" s="186"/>
      <c r="BR130" s="186"/>
      <c r="BS130" s="186"/>
      <c r="BT130" s="626"/>
      <c r="BU130" s="185"/>
      <c r="BV130" s="186"/>
      <c r="BW130" s="2376"/>
      <c r="BX130" s="2376"/>
      <c r="BY130" s="2376"/>
      <c r="BZ130" s="2376"/>
      <c r="CA130" s="186"/>
      <c r="CB130" s="626"/>
      <c r="CC130" s="1468"/>
      <c r="CD130" s="376"/>
      <c r="CE130" s="376"/>
      <c r="CF130" s="376"/>
      <c r="CG130" s="376"/>
      <c r="CH130" s="376"/>
      <c r="CI130" s="479"/>
      <c r="CJ130" s="479"/>
      <c r="CK130" s="376"/>
      <c r="CL130" s="371"/>
      <c r="CM130" s="371"/>
      <c r="CN130" s="371"/>
      <c r="CO130" s="371"/>
      <c r="CP130" s="371"/>
      <c r="CQ130" s="479"/>
      <c r="CR130" s="479"/>
      <c r="CS130" s="479"/>
      <c r="CT130" s="287"/>
    </row>
    <row r="131" spans="2:110" ht="18" x14ac:dyDescent="0.25">
      <c r="D131" s="212" t="s">
        <v>475</v>
      </c>
      <c r="E131" s="185"/>
      <c r="F131" s="185"/>
      <c r="G131" s="185"/>
      <c r="H131" s="185"/>
      <c r="I131" s="185"/>
      <c r="J131" s="512"/>
      <c r="K131" s="185"/>
      <c r="L131" s="185"/>
      <c r="M131" s="185"/>
      <c r="N131" s="185"/>
      <c r="O131" s="185"/>
      <c r="P131" s="185"/>
      <c r="Q131" s="185"/>
      <c r="R131" s="185"/>
      <c r="S131" s="185"/>
      <c r="T131" s="185"/>
      <c r="U131" s="185"/>
      <c r="V131" s="185"/>
      <c r="W131" s="185"/>
      <c r="X131" s="185"/>
      <c r="Y131" s="185"/>
      <c r="Z131" s="512"/>
      <c r="AA131" s="185"/>
      <c r="AB131" s="512"/>
      <c r="AC131" s="185"/>
      <c r="AD131" s="185"/>
      <c r="AE131" s="479"/>
      <c r="AF131" s="479"/>
      <c r="AG131" s="479"/>
      <c r="AH131" s="185"/>
      <c r="AI131" s="185"/>
      <c r="AJ131" s="185"/>
      <c r="AK131" s="512"/>
      <c r="AL131" s="185"/>
      <c r="AM131" s="185"/>
      <c r="AN131" s="185" t="s">
        <v>1625</v>
      </c>
      <c r="AO131" s="185"/>
      <c r="AP131" s="185"/>
      <c r="AQ131" s="512"/>
      <c r="AR131" s="185"/>
      <c r="AS131" s="185"/>
      <c r="AT131" s="185"/>
      <c r="AU131" s="185"/>
      <c r="AV131" s="185"/>
      <c r="AW131" s="459"/>
      <c r="AX131" s="185"/>
      <c r="AY131" s="185"/>
      <c r="AZ131" s="185"/>
      <c r="BA131" s="185"/>
      <c r="BB131" s="185">
        <v>1</v>
      </c>
      <c r="BC131" s="185"/>
      <c r="BD131" s="185"/>
      <c r="BE131" s="185"/>
      <c r="BF131" s="185"/>
      <c r="BG131" s="185"/>
      <c r="BH131" s="185"/>
      <c r="BI131" s="185"/>
      <c r="BJ131" s="185"/>
      <c r="BK131" s="185"/>
      <c r="BL131" s="185"/>
      <c r="BM131" s="185"/>
      <c r="BN131" s="185"/>
      <c r="BO131" s="185"/>
      <c r="BP131" s="185"/>
      <c r="BQ131" s="185"/>
      <c r="BR131" s="185"/>
      <c r="BS131" s="185"/>
      <c r="BT131" s="479"/>
      <c r="BU131" s="185"/>
      <c r="BV131" s="185"/>
      <c r="BW131" s="2377"/>
      <c r="BX131" s="2377"/>
      <c r="BY131" s="2377"/>
      <c r="BZ131" s="2377"/>
      <c r="CA131" s="185"/>
      <c r="CB131" s="479"/>
      <c r="CC131" s="512"/>
      <c r="CD131" s="185"/>
      <c r="CE131" s="185"/>
      <c r="CF131" s="185"/>
      <c r="CG131" s="185"/>
      <c r="CH131" s="185"/>
      <c r="CI131" s="482"/>
      <c r="CJ131" s="482"/>
      <c r="CK131" s="234"/>
      <c r="CL131" s="371"/>
      <c r="CM131" s="371"/>
      <c r="CN131" s="371"/>
      <c r="CO131" s="371"/>
      <c r="CP131" s="371"/>
      <c r="CQ131" s="482"/>
      <c r="CR131" s="482"/>
      <c r="CS131" s="482"/>
      <c r="CT131" s="287"/>
    </row>
    <row r="132" spans="2:110" ht="18" x14ac:dyDescent="0.25">
      <c r="D132" s="212" t="s">
        <v>985</v>
      </c>
      <c r="E132" s="185"/>
      <c r="F132" s="185"/>
      <c r="G132" s="185"/>
      <c r="H132" s="185"/>
      <c r="I132" s="185"/>
      <c r="J132" s="512"/>
      <c r="K132" s="185"/>
      <c r="L132" s="185"/>
      <c r="M132" s="185"/>
      <c r="N132" s="185"/>
      <c r="O132" s="185"/>
      <c r="P132" s="185"/>
      <c r="Q132" s="185"/>
      <c r="R132" s="185"/>
      <c r="S132" s="185"/>
      <c r="T132" s="185"/>
      <c r="U132" s="185"/>
      <c r="V132" s="185"/>
      <c r="W132" s="185"/>
      <c r="X132" s="185"/>
      <c r="Y132" s="185"/>
      <c r="Z132" s="512"/>
      <c r="AA132" s="185"/>
      <c r="AB132" s="512"/>
      <c r="AC132" s="185"/>
      <c r="AD132" s="185"/>
      <c r="AE132" s="479"/>
      <c r="AF132" s="479"/>
      <c r="AG132" s="479"/>
      <c r="AH132" s="185"/>
      <c r="AI132" s="185"/>
      <c r="AJ132" s="185"/>
      <c r="AK132" s="512"/>
      <c r="AL132" s="185"/>
      <c r="AM132" s="185"/>
      <c r="AN132" s="185" t="s">
        <v>1626</v>
      </c>
      <c r="AO132" s="185"/>
      <c r="AP132" s="185"/>
      <c r="AQ132" s="512"/>
      <c r="AR132" s="185"/>
      <c r="AS132" s="185"/>
      <c r="AT132" s="185"/>
      <c r="AU132" s="185"/>
      <c r="AV132" s="185"/>
      <c r="AW132" s="459" t="s">
        <v>3521</v>
      </c>
      <c r="AX132" s="185"/>
      <c r="AY132" s="185"/>
      <c r="AZ132" s="185">
        <v>1</v>
      </c>
      <c r="BA132" s="185"/>
      <c r="BB132" s="185"/>
      <c r="BC132" s="185"/>
      <c r="BD132" s="185"/>
      <c r="BE132" s="185"/>
      <c r="BF132" s="185"/>
      <c r="BG132" s="185"/>
      <c r="BH132" s="185"/>
      <c r="BI132" s="185"/>
      <c r="BJ132" s="185"/>
      <c r="BK132" s="185"/>
      <c r="BL132" s="185"/>
      <c r="BM132" s="185"/>
      <c r="BN132" s="185"/>
      <c r="BO132" s="185"/>
      <c r="BP132" s="185"/>
      <c r="BQ132" s="185"/>
      <c r="BR132" s="185" t="s">
        <v>1627</v>
      </c>
      <c r="BS132" s="185" t="s">
        <v>1628</v>
      </c>
      <c r="BT132" s="479" t="s">
        <v>4222</v>
      </c>
      <c r="BU132" s="185"/>
      <c r="BV132" s="185"/>
      <c r="BW132" s="2377"/>
      <c r="BX132" s="2377"/>
      <c r="BY132" s="2377"/>
      <c r="BZ132" s="2377"/>
      <c r="CA132" s="185"/>
      <c r="CB132" s="479"/>
      <c r="CC132" s="512"/>
      <c r="CD132" s="185"/>
      <c r="CE132" s="185"/>
      <c r="CF132" s="185"/>
      <c r="CG132" s="185"/>
      <c r="CH132" s="185"/>
      <c r="CI132" s="482"/>
      <c r="CJ132" s="482"/>
      <c r="CK132" s="234"/>
      <c r="CL132" s="371"/>
      <c r="CM132" s="371"/>
      <c r="CN132" s="371"/>
      <c r="CO132" s="371"/>
      <c r="CP132" s="371"/>
      <c r="CQ132" s="482"/>
      <c r="CR132" s="482"/>
      <c r="CS132" s="482"/>
      <c r="CT132" s="287"/>
    </row>
    <row r="133" spans="2:110" ht="18" x14ac:dyDescent="0.25">
      <c r="D133" s="212" t="s">
        <v>986</v>
      </c>
      <c r="E133" s="185"/>
      <c r="F133" s="185"/>
      <c r="G133" s="185"/>
      <c r="H133" s="185"/>
      <c r="I133" s="185"/>
      <c r="J133" s="512"/>
      <c r="K133" s="185"/>
      <c r="L133" s="185"/>
      <c r="M133" s="185"/>
      <c r="N133" s="185"/>
      <c r="O133" s="185"/>
      <c r="P133" s="185"/>
      <c r="Q133" s="185"/>
      <c r="R133" s="185"/>
      <c r="S133" s="185"/>
      <c r="T133" s="185"/>
      <c r="U133" s="185"/>
      <c r="V133" s="185"/>
      <c r="W133" s="185"/>
      <c r="X133" s="185"/>
      <c r="Y133" s="185"/>
      <c r="Z133" s="512"/>
      <c r="AA133" s="185"/>
      <c r="AB133" s="512"/>
      <c r="AC133" s="185"/>
      <c r="AD133" s="185"/>
      <c r="AE133" s="479"/>
      <c r="AF133" s="479"/>
      <c r="AG133" s="479"/>
      <c r="AH133" s="185"/>
      <c r="AI133" s="185"/>
      <c r="AJ133" s="185"/>
      <c r="AK133" s="512"/>
      <c r="AL133" s="185"/>
      <c r="AM133" s="185"/>
      <c r="AN133" s="185" t="s">
        <v>1629</v>
      </c>
      <c r="AO133" s="185"/>
      <c r="AP133" s="185"/>
      <c r="AQ133" s="512"/>
      <c r="AR133" s="185"/>
      <c r="AS133" s="185"/>
      <c r="AT133" s="185"/>
      <c r="AU133" s="185"/>
      <c r="AV133" s="185"/>
      <c r="AW133" s="459" t="s">
        <v>3524</v>
      </c>
      <c r="AX133" s="185"/>
      <c r="AY133" s="185"/>
      <c r="AZ133" s="185"/>
      <c r="BA133" s="185">
        <v>1</v>
      </c>
      <c r="BB133" s="185"/>
      <c r="BC133" s="185"/>
      <c r="BD133" s="185"/>
      <c r="BE133" s="185"/>
      <c r="BF133" s="185"/>
      <c r="BG133" s="185"/>
      <c r="BH133" s="185"/>
      <c r="BI133" s="185"/>
      <c r="BJ133" s="185"/>
      <c r="BK133" s="185"/>
      <c r="BL133" s="185"/>
      <c r="BM133" s="185"/>
      <c r="BN133" s="185"/>
      <c r="BO133" s="185"/>
      <c r="BP133" s="185"/>
      <c r="BQ133" s="185"/>
      <c r="BR133" s="185"/>
      <c r="BS133" s="185"/>
      <c r="BT133" s="479"/>
      <c r="BU133" s="185" t="s">
        <v>1630</v>
      </c>
      <c r="BV133" s="185"/>
      <c r="BW133" s="2377"/>
      <c r="BX133" s="2377"/>
      <c r="BY133" s="2377"/>
      <c r="BZ133" s="2377"/>
      <c r="CA133" s="185"/>
      <c r="CB133" s="479"/>
      <c r="CC133" s="512"/>
      <c r="CD133" s="185"/>
      <c r="CE133" s="185"/>
      <c r="CF133" s="185"/>
      <c r="CG133" s="185"/>
      <c r="CH133" s="185"/>
      <c r="CI133" s="482"/>
      <c r="CJ133" s="482"/>
      <c r="CK133" s="234"/>
      <c r="CL133" s="371"/>
      <c r="CM133" s="371"/>
      <c r="CN133" s="371"/>
      <c r="CO133" s="371"/>
      <c r="CP133" s="371"/>
      <c r="CQ133" s="482"/>
      <c r="CR133" s="482"/>
      <c r="CS133" s="482"/>
      <c r="CT133" s="287"/>
    </row>
    <row r="134" spans="2:110" ht="18" x14ac:dyDescent="0.25">
      <c r="D134" s="212" t="s">
        <v>142</v>
      </c>
      <c r="E134" s="185"/>
      <c r="F134" s="185"/>
      <c r="G134" s="185"/>
      <c r="H134" s="185"/>
      <c r="I134" s="185"/>
      <c r="J134" s="512"/>
      <c r="K134" s="185"/>
      <c r="L134" s="185"/>
      <c r="M134" s="185"/>
      <c r="N134" s="185"/>
      <c r="O134" s="185"/>
      <c r="P134" s="185"/>
      <c r="Q134" s="185"/>
      <c r="R134" s="185"/>
      <c r="S134" s="185"/>
      <c r="T134" s="185"/>
      <c r="U134" s="185"/>
      <c r="V134" s="185"/>
      <c r="W134" s="185"/>
      <c r="X134" s="185"/>
      <c r="Y134" s="185"/>
      <c r="Z134" s="512"/>
      <c r="AA134" s="185"/>
      <c r="AB134" s="512"/>
      <c r="AC134" s="185"/>
      <c r="AD134" s="185"/>
      <c r="AE134" s="479"/>
      <c r="AF134" s="479"/>
      <c r="AG134" s="479"/>
      <c r="AH134" s="185"/>
      <c r="AI134" s="185"/>
      <c r="AJ134" s="185"/>
      <c r="AK134" s="512"/>
      <c r="AL134" s="185"/>
      <c r="AM134" s="185"/>
      <c r="AN134" s="185"/>
      <c r="AO134" s="185"/>
      <c r="AP134" s="185"/>
      <c r="AQ134" s="512"/>
      <c r="AR134" s="185"/>
      <c r="AS134" s="185"/>
      <c r="AT134" s="185"/>
      <c r="AU134" s="185"/>
      <c r="AV134" s="185"/>
      <c r="AW134" s="459" t="s">
        <v>3540</v>
      </c>
      <c r="AX134" s="185"/>
      <c r="AY134" s="185">
        <v>1</v>
      </c>
      <c r="AZ134" s="185"/>
      <c r="BA134" s="185"/>
      <c r="BB134" s="185"/>
      <c r="BC134" s="185"/>
      <c r="BD134" s="185"/>
      <c r="BE134" s="185"/>
      <c r="BF134" s="185"/>
      <c r="BG134" s="185"/>
      <c r="BH134" s="185"/>
      <c r="BI134" s="185"/>
      <c r="BJ134" s="185"/>
      <c r="BK134" s="185"/>
      <c r="BL134" s="185"/>
      <c r="BM134" s="185"/>
      <c r="BN134" s="185"/>
      <c r="BO134" s="185"/>
      <c r="BP134" s="185"/>
      <c r="BQ134" s="185"/>
      <c r="BR134" s="185"/>
      <c r="BS134" s="185"/>
      <c r="BT134" s="479"/>
      <c r="BU134" s="185"/>
      <c r="BV134" s="185"/>
      <c r="BW134" s="2377"/>
      <c r="BX134" s="2377"/>
      <c r="BY134" s="2377"/>
      <c r="BZ134" s="2377"/>
      <c r="CA134" s="185"/>
      <c r="CB134" s="479"/>
      <c r="CC134" s="512"/>
      <c r="CD134" s="185"/>
      <c r="CE134" s="185"/>
      <c r="CF134" s="185"/>
      <c r="CG134" s="185"/>
      <c r="CH134" s="185"/>
      <c r="CI134" s="482"/>
      <c r="CJ134" s="482"/>
      <c r="CK134" s="234"/>
      <c r="CL134" s="371"/>
      <c r="CM134" s="371"/>
      <c r="CN134" s="371"/>
      <c r="CO134" s="371"/>
      <c r="CP134" s="371"/>
      <c r="CQ134" s="482"/>
      <c r="CR134" s="482"/>
      <c r="CS134" s="482"/>
      <c r="CT134" s="287"/>
    </row>
    <row r="135" spans="2:110" ht="18" x14ac:dyDescent="0.25">
      <c r="D135" s="212" t="s">
        <v>2933</v>
      </c>
      <c r="E135" s="185"/>
      <c r="F135" s="185"/>
      <c r="G135" s="185"/>
      <c r="H135" s="185"/>
      <c r="I135" s="185"/>
      <c r="J135" s="512"/>
      <c r="K135" s="185"/>
      <c r="L135" s="185"/>
      <c r="M135" s="185"/>
      <c r="N135" s="185"/>
      <c r="O135" s="185"/>
      <c r="P135" s="185"/>
      <c r="Q135" s="185"/>
      <c r="R135" s="185"/>
      <c r="S135" s="185"/>
      <c r="T135" s="185"/>
      <c r="U135" s="185"/>
      <c r="V135" s="185"/>
      <c r="W135" s="185"/>
      <c r="X135" s="185"/>
      <c r="Y135" s="185"/>
      <c r="Z135" s="512"/>
      <c r="AA135" s="185"/>
      <c r="AB135" s="512"/>
      <c r="AC135" s="185"/>
      <c r="AD135" s="185"/>
      <c r="AE135" s="479"/>
      <c r="AF135" s="479"/>
      <c r="AG135" s="479"/>
      <c r="AH135" s="185"/>
      <c r="AI135" s="185"/>
      <c r="AJ135" s="185"/>
      <c r="AK135" s="512"/>
      <c r="AL135" s="185"/>
      <c r="AM135" s="185"/>
      <c r="AN135" s="185"/>
      <c r="AO135" s="185"/>
      <c r="AP135" s="185"/>
      <c r="AQ135" s="512"/>
      <c r="AR135" s="185"/>
      <c r="AS135" s="185"/>
      <c r="AT135" s="185"/>
      <c r="AU135" s="185"/>
      <c r="AV135" s="185"/>
      <c r="AW135" s="185"/>
      <c r="AX135" s="185"/>
      <c r="AY135" s="185"/>
      <c r="AZ135" s="185"/>
      <c r="BA135" s="185"/>
      <c r="BB135" s="185"/>
      <c r="BC135" s="185">
        <v>1</v>
      </c>
      <c r="BD135" s="185">
        <v>1</v>
      </c>
      <c r="BE135" s="185">
        <v>1</v>
      </c>
      <c r="BF135" s="185">
        <v>1</v>
      </c>
      <c r="BG135" s="185">
        <v>1</v>
      </c>
      <c r="BH135" s="185">
        <v>1</v>
      </c>
      <c r="BI135" s="185">
        <v>1</v>
      </c>
      <c r="BJ135" s="185">
        <v>1</v>
      </c>
      <c r="BK135" s="185"/>
      <c r="BL135" s="185"/>
      <c r="BM135" s="185"/>
      <c r="BN135" s="185"/>
      <c r="BO135" s="185"/>
      <c r="BP135" s="185"/>
      <c r="BQ135" s="185"/>
      <c r="BR135" s="185"/>
      <c r="BS135" s="185"/>
      <c r="BT135" s="479"/>
      <c r="BU135" s="185"/>
      <c r="BV135" s="185" t="s">
        <v>1631</v>
      </c>
      <c r="BW135" s="2377"/>
      <c r="BX135" s="2377"/>
      <c r="BY135" s="2377"/>
      <c r="BZ135" s="2377"/>
      <c r="CA135" s="185"/>
      <c r="CB135" s="479"/>
      <c r="CC135" s="512"/>
      <c r="CD135" s="185"/>
      <c r="CE135" s="185"/>
      <c r="CF135" s="185"/>
      <c r="CG135" s="185"/>
      <c r="CH135" s="185"/>
      <c r="CI135" s="482"/>
      <c r="CJ135" s="482"/>
      <c r="CK135" s="234"/>
      <c r="CL135" s="371"/>
      <c r="CM135" s="371"/>
      <c r="CN135" s="371"/>
      <c r="CO135" s="371"/>
      <c r="CP135" s="371"/>
      <c r="CQ135" s="482"/>
      <c r="CR135" s="482"/>
      <c r="CS135" s="482"/>
      <c r="CT135" s="287"/>
    </row>
    <row r="136" spans="2:110" ht="15.75" thickBot="1" x14ac:dyDescent="0.3">
      <c r="D136" s="213" t="s">
        <v>2934</v>
      </c>
      <c r="E136" s="214"/>
      <c r="F136" s="214"/>
      <c r="G136" s="214"/>
      <c r="H136" s="214"/>
      <c r="I136" s="214"/>
      <c r="J136" s="1654"/>
      <c r="K136" s="214"/>
      <c r="L136" s="214"/>
      <c r="M136" s="214"/>
      <c r="N136" s="214"/>
      <c r="O136" s="214"/>
      <c r="P136" s="214"/>
      <c r="Q136" s="214"/>
      <c r="R136" s="214"/>
      <c r="S136" s="214"/>
      <c r="T136" s="214"/>
      <c r="U136" s="214"/>
      <c r="V136" s="214"/>
      <c r="W136" s="214"/>
      <c r="X136" s="214"/>
      <c r="Y136" s="214"/>
      <c r="Z136" s="1654"/>
      <c r="AA136" s="214"/>
      <c r="AB136" s="480"/>
      <c r="AC136" s="214"/>
      <c r="AD136" s="214"/>
      <c r="AE136" s="480"/>
      <c r="AF136" s="480"/>
      <c r="AG136" s="480"/>
      <c r="AH136" s="214"/>
      <c r="AI136" s="214"/>
      <c r="AJ136" s="214"/>
      <c r="AK136" s="1654"/>
      <c r="AL136" s="214"/>
      <c r="AM136" s="214"/>
      <c r="AN136" s="214"/>
      <c r="AO136" s="214"/>
      <c r="AP136" s="214"/>
      <c r="AQ136" s="1654"/>
      <c r="AR136" s="214"/>
      <c r="AS136" s="214"/>
      <c r="AT136" s="214"/>
      <c r="AU136" s="214"/>
      <c r="AV136" s="214"/>
      <c r="AW136" s="214"/>
      <c r="AX136" s="214"/>
      <c r="AY136" s="214"/>
      <c r="AZ136" s="214"/>
      <c r="BA136" s="214"/>
      <c r="BB136" s="214"/>
      <c r="BC136" s="215"/>
      <c r="BD136" s="214"/>
      <c r="BE136" s="214"/>
      <c r="BF136" s="215"/>
      <c r="BG136" s="215"/>
      <c r="BH136" s="214"/>
      <c r="BI136" s="215"/>
      <c r="BJ136" s="215"/>
      <c r="BK136" s="214">
        <v>1</v>
      </c>
      <c r="BL136" s="214">
        <v>1</v>
      </c>
      <c r="BM136" s="215">
        <v>1</v>
      </c>
      <c r="BN136" s="215">
        <v>1</v>
      </c>
      <c r="BO136" s="214">
        <v>1</v>
      </c>
      <c r="BP136" s="215">
        <v>1</v>
      </c>
      <c r="BQ136" s="215">
        <v>1</v>
      </c>
      <c r="BR136" s="215"/>
      <c r="BS136" s="215"/>
      <c r="BT136" s="627"/>
      <c r="BU136" s="214"/>
      <c r="BV136" s="215"/>
      <c r="BW136" s="1477"/>
      <c r="BX136" s="1477"/>
      <c r="BY136" s="1477"/>
      <c r="BZ136" s="1477"/>
      <c r="CA136" s="215"/>
      <c r="CB136" s="627"/>
      <c r="CC136" s="1477"/>
      <c r="CD136" s="214"/>
      <c r="CE136" s="214"/>
      <c r="CF136" s="214"/>
      <c r="CG136" s="214"/>
      <c r="CH136" s="214"/>
      <c r="CI136" s="483"/>
      <c r="CJ136" s="483"/>
      <c r="CK136" s="235"/>
      <c r="CL136" s="372"/>
      <c r="CM136" s="372"/>
      <c r="CN136" s="372"/>
      <c r="CO136" s="372"/>
      <c r="CP136" s="372"/>
      <c r="CQ136" s="483"/>
      <c r="CR136" s="483"/>
      <c r="CS136" s="483"/>
      <c r="CT136" s="288"/>
    </row>
    <row r="139" spans="2:110" x14ac:dyDescent="0.25">
      <c r="CT139"/>
    </row>
    <row r="141" spans="2:110" ht="15.75" thickBot="1" x14ac:dyDescent="0.3">
      <c r="CV141" s="4" t="s">
        <v>3667</v>
      </c>
    </row>
    <row r="142" spans="2:110" ht="38.25" thickBot="1" x14ac:dyDescent="0.3">
      <c r="B142" s="1546" t="s">
        <v>93</v>
      </c>
      <c r="C142" s="1547"/>
      <c r="D142" s="1547" t="s">
        <v>1</v>
      </c>
      <c r="E142" s="1548" t="s">
        <v>804</v>
      </c>
      <c r="F142" s="1548" t="s">
        <v>805</v>
      </c>
      <c r="G142" s="1548" t="s">
        <v>806</v>
      </c>
      <c r="H142" s="1548" t="s">
        <v>807</v>
      </c>
      <c r="I142" s="1548" t="s">
        <v>808</v>
      </c>
      <c r="J142" s="2420" t="s">
        <v>5377</v>
      </c>
      <c r="K142" s="1548" t="s">
        <v>809</v>
      </c>
      <c r="L142" s="1548" t="s">
        <v>810</v>
      </c>
      <c r="M142" s="1548" t="s">
        <v>811</v>
      </c>
      <c r="N142" s="1548" t="s">
        <v>5417</v>
      </c>
      <c r="O142" s="1548" t="s">
        <v>5416</v>
      </c>
      <c r="P142" s="1548" t="s">
        <v>812</v>
      </c>
      <c r="Q142" s="1548" t="s">
        <v>1722</v>
      </c>
      <c r="R142" s="1548" t="s">
        <v>813</v>
      </c>
      <c r="S142" s="1548" t="s">
        <v>4181</v>
      </c>
      <c r="T142" s="1548" t="s">
        <v>814</v>
      </c>
      <c r="U142" s="1548" t="s">
        <v>2190</v>
      </c>
      <c r="V142" s="1548" t="s">
        <v>2189</v>
      </c>
      <c r="W142" s="1548" t="s">
        <v>2206</v>
      </c>
      <c r="X142" s="1548" t="s">
        <v>815</v>
      </c>
      <c r="Y142" s="1548" t="s">
        <v>816</v>
      </c>
      <c r="Z142" s="1548" t="s">
        <v>4978</v>
      </c>
      <c r="AA142" s="1548" t="s">
        <v>817</v>
      </c>
      <c r="AB142" s="1548" t="s">
        <v>3859</v>
      </c>
      <c r="AC142" s="1548" t="s">
        <v>2188</v>
      </c>
      <c r="AD142" s="1548" t="s">
        <v>2187</v>
      </c>
      <c r="AE142" s="1548" t="s">
        <v>4756</v>
      </c>
      <c r="AF142" s="1548" t="s">
        <v>4757</v>
      </c>
      <c r="AG142" s="1548" t="s">
        <v>3594</v>
      </c>
      <c r="AH142" s="1548" t="s">
        <v>818</v>
      </c>
      <c r="AI142" s="1548" t="s">
        <v>819</v>
      </c>
      <c r="AJ142" s="1548" t="s">
        <v>821</v>
      </c>
      <c r="AK142" s="2420" t="s">
        <v>5378</v>
      </c>
      <c r="AL142" s="1548" t="s">
        <v>822</v>
      </c>
      <c r="AM142" s="1548" t="s">
        <v>823</v>
      </c>
      <c r="AN142" s="1548" t="s">
        <v>2100</v>
      </c>
      <c r="AO142" s="1548" t="s">
        <v>824</v>
      </c>
      <c r="AP142" s="1548" t="s">
        <v>825</v>
      </c>
      <c r="AQ142" s="2420" t="s">
        <v>5379</v>
      </c>
      <c r="AR142" s="1548" t="s">
        <v>826</v>
      </c>
      <c r="AS142" s="1548" t="s">
        <v>827</v>
      </c>
      <c r="AT142" s="1548" t="s">
        <v>829</v>
      </c>
      <c r="AU142" s="1548" t="s">
        <v>830</v>
      </c>
      <c r="AV142" s="1548" t="s">
        <v>831</v>
      </c>
      <c r="AW142" s="1548" t="s">
        <v>832</v>
      </c>
      <c r="AX142" s="1548" t="s">
        <v>1157</v>
      </c>
      <c r="AY142" s="1548" t="s">
        <v>1158</v>
      </c>
      <c r="AZ142" s="1548" t="s">
        <v>997</v>
      </c>
      <c r="BA142" s="1548" t="s">
        <v>1632</v>
      </c>
      <c r="BB142" s="1548" t="s">
        <v>1043</v>
      </c>
      <c r="BC142" s="1548" t="s">
        <v>1596</v>
      </c>
      <c r="BD142" s="1548" t="s">
        <v>1633</v>
      </c>
      <c r="BE142" s="1548" t="s">
        <v>1634</v>
      </c>
      <c r="BF142" s="1548" t="s">
        <v>1635</v>
      </c>
      <c r="BG142" s="1548" t="s">
        <v>1636</v>
      </c>
      <c r="BH142" s="1548" t="s">
        <v>1637</v>
      </c>
      <c r="BI142" s="1548" t="s">
        <v>1638</v>
      </c>
      <c r="BJ142" s="1548" t="s">
        <v>1639</v>
      </c>
      <c r="BK142" s="1548" t="s">
        <v>4218</v>
      </c>
      <c r="BL142" s="1548" t="s">
        <v>4103</v>
      </c>
      <c r="BM142" s="1548" t="s">
        <v>4104</v>
      </c>
      <c r="BN142" s="1548" t="s">
        <v>4105</v>
      </c>
      <c r="BO142" s="1548" t="s">
        <v>4106</v>
      </c>
      <c r="BP142" s="1548" t="s">
        <v>4107</v>
      </c>
      <c r="BQ142" s="1548" t="s">
        <v>4108</v>
      </c>
      <c r="BR142" s="1549" t="s">
        <v>999</v>
      </c>
      <c r="BS142" s="1549" t="s">
        <v>1131</v>
      </c>
      <c r="BT142" s="1549" t="s">
        <v>4113</v>
      </c>
      <c r="BU142" s="1549" t="s">
        <v>355</v>
      </c>
      <c r="BV142" s="1548" t="s">
        <v>1113</v>
      </c>
      <c r="BW142" s="1548" t="s">
        <v>5283</v>
      </c>
      <c r="BX142" s="1548" t="s">
        <v>5287</v>
      </c>
      <c r="BY142" s="1548" t="s">
        <v>5289</v>
      </c>
      <c r="BZ142" s="1548" t="s">
        <v>5291</v>
      </c>
      <c r="CA142" s="1548" t="s">
        <v>5123</v>
      </c>
      <c r="CB142" s="1548" t="s">
        <v>4114</v>
      </c>
      <c r="CC142" s="1550" t="s">
        <v>4848</v>
      </c>
      <c r="CD142" s="1547" t="s">
        <v>1640</v>
      </c>
      <c r="CE142" s="1547" t="s">
        <v>1641</v>
      </c>
      <c r="CF142" s="1547" t="s">
        <v>1642</v>
      </c>
      <c r="CG142" s="1547" t="s">
        <v>1643</v>
      </c>
      <c r="CH142" s="1547" t="s">
        <v>1050</v>
      </c>
      <c r="CI142" s="1547" t="s">
        <v>3595</v>
      </c>
      <c r="CJ142" s="1547" t="s">
        <v>3596</v>
      </c>
      <c r="CK142" s="1547" t="s">
        <v>1644</v>
      </c>
      <c r="CL142" s="1547" t="s">
        <v>3063</v>
      </c>
      <c r="CM142" s="1547" t="s">
        <v>3064</v>
      </c>
      <c r="CN142" s="1547" t="s">
        <v>3065</v>
      </c>
      <c r="CO142" s="1547" t="s">
        <v>3066</v>
      </c>
      <c r="CP142" s="1547" t="s">
        <v>3067</v>
      </c>
      <c r="CQ142" s="1547" t="s">
        <v>3599</v>
      </c>
      <c r="CR142" s="1547" t="s">
        <v>3600</v>
      </c>
      <c r="CS142" s="1547" t="s">
        <v>3068</v>
      </c>
      <c r="CT142" s="1551" t="s">
        <v>1218</v>
      </c>
      <c r="CV142" s="2501" t="s">
        <v>148</v>
      </c>
      <c r="CW142" s="2501" t="s">
        <v>259</v>
      </c>
      <c r="CX142" s="2501" t="s">
        <v>255</v>
      </c>
      <c r="CY142" s="2501" t="s">
        <v>256</v>
      </c>
      <c r="CZ142" s="2501" t="s">
        <v>1112</v>
      </c>
      <c r="DA142" s="2501" t="s">
        <v>475</v>
      </c>
      <c r="DB142" s="2501" t="s">
        <v>985</v>
      </c>
      <c r="DC142" s="2501" t="s">
        <v>986</v>
      </c>
      <c r="DD142" s="2501" t="s">
        <v>142</v>
      </c>
      <c r="DE142" s="2501" t="s">
        <v>2933</v>
      </c>
      <c r="DF142" s="2501" t="s">
        <v>2934</v>
      </c>
    </row>
    <row r="143" spans="2:110" ht="18" x14ac:dyDescent="0.35">
      <c r="B143" s="1554">
        <v>1</v>
      </c>
      <c r="C143" s="1555" t="s">
        <v>224</v>
      </c>
      <c r="D143" s="1556" t="s">
        <v>1645</v>
      </c>
      <c r="E143" s="1469">
        <f>-1/Y_OHO_VFA_ox</f>
        <v>-1.6666666666666667</v>
      </c>
      <c r="F143" s="1557">
        <f>0</f>
        <v>0</v>
      </c>
      <c r="G143" s="1557">
        <f>0</f>
        <v>0</v>
      </c>
      <c r="H143" s="1557">
        <f>0</f>
        <v>0</v>
      </c>
      <c r="I143" s="1557">
        <f>0</f>
        <v>0</v>
      </c>
      <c r="J143" s="1557">
        <f>0</f>
        <v>0</v>
      </c>
      <c r="K143" s="1557">
        <f>0</f>
        <v>0</v>
      </c>
      <c r="L143" s="1557">
        <f>0</f>
        <v>0</v>
      </c>
      <c r="M143" s="1557">
        <f>0</f>
        <v>0</v>
      </c>
      <c r="N143" s="1557">
        <f>0</f>
        <v>0</v>
      </c>
      <c r="O143" s="1557">
        <f>0</f>
        <v>0</v>
      </c>
      <c r="P143" s="1557">
        <f>0</f>
        <v>0</v>
      </c>
      <c r="Q143" s="1557">
        <f>0</f>
        <v>0</v>
      </c>
      <c r="R143" s="1557">
        <f>1</f>
        <v>1</v>
      </c>
      <c r="S143" s="1557">
        <f>0</f>
        <v>0</v>
      </c>
      <c r="T143" s="1557">
        <f>0</f>
        <v>0</v>
      </c>
      <c r="U143" s="1557">
        <f>0</f>
        <v>0</v>
      </c>
      <c r="V143" s="1557">
        <f>0</f>
        <v>0</v>
      </c>
      <c r="W143" s="1557">
        <f>0</f>
        <v>0</v>
      </c>
      <c r="X143" s="1557">
        <f>0</f>
        <v>0</v>
      </c>
      <c r="Y143" s="1557">
        <f>0</f>
        <v>0</v>
      </c>
      <c r="Z143" s="1557">
        <f>0</f>
        <v>0</v>
      </c>
      <c r="AA143" s="1469">
        <f t="shared" ref="AA143:AA155" si="0">-i_N_BIO</f>
        <v>-7.0000000000000007E-2</v>
      </c>
      <c r="AB143" s="1469">
        <f>0</f>
        <v>0</v>
      </c>
      <c r="AC143" s="1557">
        <f>0</f>
        <v>0</v>
      </c>
      <c r="AD143" s="1557">
        <f>0</f>
        <v>0</v>
      </c>
      <c r="AE143" s="1557">
        <f>0</f>
        <v>0</v>
      </c>
      <c r="AF143" s="1557">
        <f>0</f>
        <v>0</v>
      </c>
      <c r="AG143" s="1557">
        <f>0</f>
        <v>0</v>
      </c>
      <c r="AH143" s="1557">
        <f>0</f>
        <v>0</v>
      </c>
      <c r="AI143" s="1557">
        <f>0</f>
        <v>0</v>
      </c>
      <c r="AJ143" s="1557">
        <f>0</f>
        <v>0</v>
      </c>
      <c r="AK143" s="1557">
        <f>0</f>
        <v>0</v>
      </c>
      <c r="AL143" s="1557">
        <f>0</f>
        <v>0</v>
      </c>
      <c r="AM143" s="1469">
        <f t="shared" ref="AM143:AM155" si="1">-i_P_BIO</f>
        <v>-0.02</v>
      </c>
      <c r="AN143" s="1557">
        <f>0</f>
        <v>0</v>
      </c>
      <c r="AO143" s="1557">
        <f>0</f>
        <v>0</v>
      </c>
      <c r="AP143" s="1557">
        <f>0</f>
        <v>0</v>
      </c>
      <c r="AQ143" s="1557">
        <f>0</f>
        <v>0</v>
      </c>
      <c r="AR143" s="1557">
        <f>0</f>
        <v>0</v>
      </c>
      <c r="AS143" s="1469">
        <f>-(1-Y_OHO_VFA_ox)/Y_OHO_VFA_ox</f>
        <v>-0.66666666666666674</v>
      </c>
      <c r="AT143" s="1469">
        <f>0</f>
        <v>0</v>
      </c>
      <c r="AU143" s="1469">
        <f>0</f>
        <v>0</v>
      </c>
      <c r="AV143" s="1469">
        <f>i_CIT_VFA/Y_OHO_VFA_ox-i_CIT_BIO</f>
        <v>0.27300000000000002</v>
      </c>
      <c r="AW143" s="1469">
        <f t="shared" ref="AW143:AW155" si="2">i_INORG</f>
        <v>0.11</v>
      </c>
      <c r="AX143" s="1469">
        <f t="shared" ref="AX143:AX155" si="3">-i_INORG*(1-i_Ca_INORG*(A_MCa+2*A_MCl)/A_MCa-i_Mg_INORG*(A_MMg+2*A_MCl)/A_MMg)*f_Na</f>
        <v>-2.8804303582798466E-2</v>
      </c>
      <c r="AY143" s="1469">
        <f t="shared" ref="AY143:AY155" si="4">-i_INORG*(i_Ca_INORG*(2*A_MCl)/A_MCa+i_Mg_INORG*(2*A_MCl)/A_MMg)-i_INORG*(1-i_Ca_INORG*(A_MCa+2*A_MCl)/A_MCa-i_Mg_INORG*(A_MMg+2*A_MCl)/A_MMg)*(1-f_Na)</f>
        <v>-7.0195696417201539E-2</v>
      </c>
      <c r="AZ143" s="1469">
        <f t="shared" ref="AZ143:AZ155" si="5">-i_INORG*i_Ca_INORG</f>
        <v>-5.5000000000000005E-3</v>
      </c>
      <c r="BA143" s="1469">
        <f t="shared" ref="BA143:BA155" si="6">-i_INORG*i_Mg_INORG</f>
        <v>-5.5000000000000005E-3</v>
      </c>
      <c r="BB143" s="1469">
        <f>0</f>
        <v>0</v>
      </c>
      <c r="BC143" s="1469">
        <f>0</f>
        <v>0</v>
      </c>
      <c r="BD143" s="1469">
        <f>0</f>
        <v>0</v>
      </c>
      <c r="BE143" s="1469">
        <f>0</f>
        <v>0</v>
      </c>
      <c r="BF143" s="1469">
        <f>0</f>
        <v>0</v>
      </c>
      <c r="BG143" s="1469">
        <f>0</f>
        <v>0</v>
      </c>
      <c r="BH143" s="1469">
        <f>0</f>
        <v>0</v>
      </c>
      <c r="BI143" s="1469">
        <f>0</f>
        <v>0</v>
      </c>
      <c r="BJ143" s="1469">
        <f>0</f>
        <v>0</v>
      </c>
      <c r="BK143" s="1469">
        <f>0</f>
        <v>0</v>
      </c>
      <c r="BL143" s="1469">
        <f>0</f>
        <v>0</v>
      </c>
      <c r="BM143" s="1469">
        <f>0</f>
        <v>0</v>
      </c>
      <c r="BN143" s="1469">
        <f>0</f>
        <v>0</v>
      </c>
      <c r="BO143" s="1469">
        <f>0</f>
        <v>0</v>
      </c>
      <c r="BP143" s="1469">
        <f>0</f>
        <v>0</v>
      </c>
      <c r="BQ143" s="1469">
        <f>0</f>
        <v>0</v>
      </c>
      <c r="BR143" s="1469">
        <f>0</f>
        <v>0</v>
      </c>
      <c r="BS143" s="1469">
        <f>0</f>
        <v>0</v>
      </c>
      <c r="BT143" s="1469">
        <f>0</f>
        <v>0</v>
      </c>
      <c r="BU143" s="1469">
        <f>0</f>
        <v>0</v>
      </c>
      <c r="BV143" s="1469">
        <f>0</f>
        <v>0</v>
      </c>
      <c r="BW143" s="2352">
        <f>0</f>
        <v>0</v>
      </c>
      <c r="BX143" s="2352">
        <f>0</f>
        <v>0</v>
      </c>
      <c r="BY143" s="2352">
        <f>0</f>
        <v>0</v>
      </c>
      <c r="BZ143" s="2352">
        <f>0</f>
        <v>0</v>
      </c>
      <c r="CA143" s="1469">
        <f>0</f>
        <v>0</v>
      </c>
      <c r="CB143" s="1469">
        <f>0</f>
        <v>0</v>
      </c>
      <c r="CC143" s="1469">
        <f>0</f>
        <v>0</v>
      </c>
      <c r="CD143" s="1469">
        <f>0</f>
        <v>0</v>
      </c>
      <c r="CE143" s="1469">
        <f>0</f>
        <v>0</v>
      </c>
      <c r="CF143" s="1469">
        <f>0</f>
        <v>0</v>
      </c>
      <c r="CG143" s="1469">
        <f>0</f>
        <v>0</v>
      </c>
      <c r="CH143" s="1469">
        <f>0</f>
        <v>0</v>
      </c>
      <c r="CI143" s="1469">
        <f>0</f>
        <v>0</v>
      </c>
      <c r="CJ143" s="1469">
        <f>0</f>
        <v>0</v>
      </c>
      <c r="CK143" s="1469">
        <f>0</f>
        <v>0</v>
      </c>
      <c r="CL143" s="1469">
        <f>0</f>
        <v>0</v>
      </c>
      <c r="CM143" s="1469">
        <f>0</f>
        <v>0</v>
      </c>
      <c r="CN143" s="1469">
        <f>0</f>
        <v>0</v>
      </c>
      <c r="CO143" s="1469">
        <f>0</f>
        <v>0</v>
      </c>
      <c r="CP143" s="1469">
        <f>0</f>
        <v>0</v>
      </c>
      <c r="CQ143" s="1469">
        <f>0</f>
        <v>0</v>
      </c>
      <c r="CR143" s="1469">
        <f>0</f>
        <v>0</v>
      </c>
      <c r="CS143" s="1469">
        <f>0</f>
        <v>0</v>
      </c>
      <c r="CT143" s="2479">
        <f>µ_OHO_T*X_OHO*M_satSVFA_KVFA*M_satSO2_KO2_OHO*M_satSNHx_KNHx_BIO*M_satSPO4_KPO4_BIO*M_satSCAT_KCAT*M_satSAN_KAN*M_satSCa_KCa*M_satSMg_KMg*B_ellinhpH</f>
        <v>36.025541576211332</v>
      </c>
      <c r="CV143" s="2502">
        <f>E266*E143+F266*F143+G266*G143+H266*H143+I266*I143+J266*J143+K266*K143+L266*L143+M266*M143+N266*N143+O266*O143+P266*P143+Q266*Q143+R266*R143+S266*S143+T266*T143+U266*U143+V266*V143+W266*W143+X266*X143+Y266*Y143+Z266*Z143+AA266*AA143+AB266*AB143+AC266*AC143+AD266*AD143+AE266*AE143+AF266*AF143+AG266*AG143+AH266*AH143+AI266*AI143+AJ266*AJ143+AK266*AK143+AL266*AL143+AM266*AM143+AN266*AN143+AO266*AO143+AP266*AP143+AQ266*AQ143+AR266*AR143+AS266*AS143+AT266*AT143+AU266*AU143+AV266*AV143+AW266*AW143+AX266*AX143+AY266*AY143+AZ266*AZ143+BA266*BA143+BB266*BB143+BC266*BC143+BD266*BD143+BE266*BE143+BF266*BF143+BG266*BG143+BH266*BH143+BI266*BI143+BJ266*BJ143+BK266*BK143+BL266*BL143+BM266*BM143+BN266*BN143+BO266*BO143+BP266*BP143+BQ266*BQ143+BR266*BR143+BS266*BS143+BT266*BT143+BU266*BU143+BV266*BV143+BW266*BW143+BX266*BX143+BY266*BY143+BZ266*BZ143+CA266*CA143+CB266*CB143+CC266*CC143+CD266*CD143+CE266*CE143+CF266*CF143+CG266*CG143+CH266*CH143+CI266*CI143+CJ266*CJ143+CK266*CK143+CL266*CL143+CM266*CM143+CN266*CN143+CO266*CO143+CP266*CP143+CQ266*CQ143+CR266*CR143+CS266*CS143</f>
        <v>0</v>
      </c>
      <c r="CW143" s="2502">
        <f>E267*E143+F267*F143+G267*G143+H267*H143+I267*I143+J267*J143+K267*K143+L267*L143+M267*M143+N267*N143+O267*O143+P267*P143+Q267*Q143+R267*R143+S267*S143+T267*T143+U267*U143+V267*V143+W267*W143+X267*X143+Y267*Y143+Z267*Z143+AA267*AA143+AB267*AB143+AC267*AC143+AD267*AD143+AE267*AE143+AF267*AF143+AG267*AG143+AH267*AH143+AI267*AI143+AJ267*AJ143+AK267*AK143+AL267*AL143+AM267*AM143+AN267*AN143+AO267*AO143+AP267*AP143+AQ267*AQ143+AR267*AR143+AS267*AS143+AT267*AT143+AU267*AU143+AV267*AV143+AW267*AW143+AX267*AX143+AY267*AY143+AZ267*AZ143+BA267*BA143+BB267*BB143+BC267*BC143+BD267*BD143+BE267*BE143+BF267*BF143+BG267*BG143+BH267*BH143+BI267*BI143+BJ267*BJ143+BK267*BK143+BL267*BL143+BM267*BM143+BN267*BN143+BO267*BO143+BP267*BP143+BQ267*BQ143+BR267*BR143+BS267*BS143+BT267*BT143+BU267*BU143+BV267*BV143+BW267*BW143+BX267*BX143+BY267*BY143+BZ267*BZ143+CA267*CA143+CB267*CB143+CC267*CC143+CD267*CD143+CE267*CE143+CF267*CF143+CG267*CG143+CH267*CH143+CI267*CI143+CJ267*CJ143+CK267*CK143+CL267*CL143+CM267*CM143+CN267*CN143+CO267*CO143+CP267*CP143+CQ267*CQ143+CR267*CR143+CS267*CS143</f>
        <v>0</v>
      </c>
      <c r="CX143" s="2503">
        <f>E268*E143+F268*F143+G268*G143+H268*H143+I268*I143+J268*J143+K268*K143+L268*L143+M268*M143+N268*N143+O268*O143+P268*P143+Q268*Q143+R268*R143+S268*S143+T268*T143+U268*U143+V268*V143+W268*W143+X268*X143+Y268*Y143+Z268*Z143+AA268*AA143+AB268*AB143+AC268*AC143+AD268*AD143+AE268*AE143+AF268*AF143+AG268*AG143+AH268*AH143+AI268*AI143+AJ268*AJ143+AK268*AK143+AL268*AL143+AM268*AM143+AN268*AN143+AO268*AO143+AP268*AP143+AQ268*AQ143+AR268*AR143+AS268*AS143+AT268*AT143+AU268*AU143+AV268*AV143+AW268*AW143+AX268*AX143+AY268*AY143+AZ268*AZ143+BA268*BA143+BB268*BB143+BC268*BC143+BD268*BD143+BE268*BE143+BF268*BF143+BG268*BG143+BH268*BH143+BI268*BI143+BJ268*BJ143+BK268*BK143+BL268*BL143+BM268*BM143+BN268*BN143+BO268*BO143+BP268*BP143+BQ268*BQ143+BR268*BR143+BS268*BS143+BT268*BT143+BU268*BU143+BV268*BV143+BW268*BW143+BX268*BX143+BY268*BY143+BZ268*BZ143+CA268*CA143+CB268*CB143+CC268*CC143+CD268*CD143+CE268*CE143+CF268*CF143+CG268*CG143+CH268*CH143+CI268*CI143+CJ268*CJ143+CK268*CK143+CL268*CL143+CM268*CM143+CN268*CN143+CO268*CO143+CP268*CP143+CQ268*CQ143+CR268*CR143+CS268*CS143</f>
        <v>0</v>
      </c>
      <c r="CY143" s="2504">
        <f>E269*E143+F269*F143+G269*G143+H269*H143+I269*I143+J269*J143+K269*K143+L269*L143+M269*M143+N269*N143+O269*O143+P269*P143+Q269*Q143+R269*R143+S269*S143+T269*T143+U269*U143+V269*V143+W269*W143+X269*X143+Y269*Y143+Z269*Z143+AA269*AA143+AB269*AB143+AC269*AC143+AD269*AD143+AE269*AE143+AF269*AF143+AG269*AG143+AH269*AH143+AI269*AI143+AJ269*AJ143+AK269*AK143+AL269*AL143+AM269*AM143+AN269*AN143+AO269*AO143+AP269*AP143+AQ269*AQ143+AR269*AR143+AS269*AS143+AT269*AT143+AU269*AU143+AV269*AV143+AW269*AW143+AX269*AX143+AY269*AY143+AZ269*AZ143+BA269*BA143+BB269*BB143+BC269*BC143+BD269*BD143+BE269*BE143+BF269*BF143+BG269*BG143+BH269*BH143+BI269*BI143+BJ269*BJ143+BK269*BK143+BL269*BL143+BM269*BM143+BN269*BN143+BO269*BO143+BP269*BP143+BQ269*BQ143+BR269*BR143+BS269*BS143+BT269*BT143+BU269*BU143+BV269*BV143+BW269*BW143+BX269*BX143+BY269*BY143+BZ269*BZ143+CA269*CA143+CB269*CB143+CC269*CC143+CD269*CD143+CE269*CE143+CF269*CF143+CG269*CG143+CH269*CH143+CI269*CI143+CJ269*CJ143+CK269*CK143+CL269*CL143+CM269*CM143+CN269*CN143+CO269*CO143+CP269*CP143+CQ269*CQ143+CR269*CR143+CS269*CS143</f>
        <v>0</v>
      </c>
      <c r="CZ143" s="2504">
        <f>E270*E143+F270*F143+G270*G143+H270*H143+I270*I143+J270*J143+K270*K143+L270*L143+M270*M143+N270*N143+O270*O143+P270*P143+Q270*Q143+R270*R143+S270*S143+T270*T143+U270*U143+V270*V143+W270*W143+X270*X143+Y270*Y143+Z270*Z143+AA270*AA143+AB270*AB143+AC270*AC143+AD270*AD143+AE270*AE143+AF270*AF143+AG270*AG143+AH270*AH143+AI270*AI143+AJ270*AJ143+AK270*AK143+AL270*AL143+AM270*AM143+AN270*AN143+AO270*AO143+AP270*AP143+AQ270*AQ143+AR270*AR143+AS270*AS143+AT270*AT143+AU270*AU143+AV270*AV143+AW270*AW143+AX270*AX143+AY270*AY143+AZ270*AZ143+BA270*BA143+BB270*BB143+BC270*BC143+BD270*BD143+BE270*BE143+BF270*BF143+BG270*BG143+BH270*BH143+BI270*BI143+BJ270*BJ143+BK270*BK143+BL270*BL143+BM270*BM143+BN270*BN143+BO270*BO143+BP270*BP143+BQ270*BQ143+BR270*BR143+BS270*BS143+BT270*BT143+BU270*BU143+BV270*BV143+BW270*BW143+BX270*BX143+BY270*BY143+BZ270*BZ143+CA270*CA143+CB270*CB143+CC270*CC143+CD270*CD143+CE270*CE143+CF270*CF143+CG270*CG143+CH270*CH143+CI270*CI143+CJ270*CJ143+CK270*CK143+CL270*CL143+CM270*CM143+CN270*CN143+CO270*CO143+CP270*CP143+CQ270*CQ143+CR270*CR143+CS270*CS143</f>
        <v>0</v>
      </c>
      <c r="DA143" s="2504">
        <f>E271*E143+F271*F143+G271*G143+H271*H143+I271*I143+J271*J143+K271*K143+L271*L143+M271*M143+N271*N143+O271*O143+P271*P143+Q271*Q143+R271*R143+S271*S143+T271*T143+U271*U143+V271*V143+W271*W143+X271*X143+Y271*Y143+Z271*Z143+AA271*AA143+AB271*AB143+AC271*AC143+AD271*AD143+AE271*AE143+AF271*AF143+AG271*AG143+AH271*AH143+AI271*AI143+AJ271*AJ143+AK271*AK143+AL271*AL143+AM271*AM143+AN271*AN143+AO271*AO143+AP271*AP143+AQ271*AQ143+AR271*AR143+AS271*AS143+AT271*AT143+AU271*AU143+AV271*AV143+AW271*AW143+AX271*AX143+AY271*AY143+AZ271*AZ143+BA271*BA143+BB271*BB143+BC271*BC143+BD271*BD143+BE271*BE143+BF271*BF143+BG271*BG143+BH271*BH143+BI271*BI143+BJ271*BJ143+BK271*BK143+BL271*BL143+BM271*BM143+BN271*BN143+BO271*BO143+BP271*BP143+BQ271*BQ143+BR271*BR143+BS271*BS143+BT271*BT143+BU271*BU143+BV271*BV143+BW271*BW143+BX271*BX143+BY271*BY143+BZ271*BZ143+CA271*CA143+CB271*CB143+CC271*CC143+CD271*CD143+CE271*CE143+CF271*CF143+CG271*CG143+CH271*CH143+CI271*CI143+CJ271*CJ143+CK271*CK143+CL271*CL143+CM271*CM143+CN271*CN143+CO271*CO143+CP271*CP143+CQ271*CQ143+CR271*CR143+CS271*CS143</f>
        <v>0</v>
      </c>
      <c r="DB143" s="2504">
        <f>E272*E143+F272*F143+G272*G143+H272*H143+I272*I143+J272*J143+K272*K143+L272*L143+M272*M143+N272*N143+O272*O143+P272*P143+Q272*Q143+R272*R143+S272*S143+T272*T143+U272*U143+V272*V143+W272*W143+X272*X143+Y272*Y143+Z272*Z143+AA272*AA143+AB272*AB143+AC272*AC143+AD272*AD143+AE272*AE143+AF272*AF143+AG272*AG143+AH272*AH143+AI272*AI143+AJ272*AJ143+AK272*AK143+AL272*AL143+AM272*AM143+AN272*AN143+AO272*AO143+AP272*AP143+AQ272*AQ143+AR272*AR143+AS272*AS143+AT272*AT143+AU272*AU143+AV272*AV143+AW272*AW143+AX272*AX143+AY272*AY143+AZ272*AZ143+BA272*BA143+BB272*BB143+BC272*BC143+BD272*BD143+BE272*BE143+BF272*BF143+BG272*BG143+BH272*BH143+BI272*BI143+BJ272*BJ143+BK272*BK143+BL272*BL143+BM272*BM143+BN272*BN143+BO272*BO143+BP272*BP143+BQ272*BQ143+BR272*BR143+BS272*BS143+BT272*BT143+BU272*BU143+BV272*BV143+BW272*BW143+BX272*BX143+BY272*BY143+BZ272*BZ143+CA272*CA143+CB272*CB143+CC272*CC143+CD272*CD143+CE272*CE143+CF272*CF143+CG272*CG143+CH272*CH143+CI272*CI143+CJ272*CJ143+CK272*CK143+CL272*CL143+CM272*CM143+CN272*CN143+CO272*CO143+CP272*CP143+CQ272*CQ143+CR272*CR143+CS272*CS143</f>
        <v>0</v>
      </c>
      <c r="DC143" s="2504">
        <f>E273*E143+F273*F143+G273*G143+H273*H143+I273*I143+J273*J143+K273*K143+L273*L143+M273*M143+N273*N143+O273*O143+P273*P143+Q273*Q143+R273*R143+S273*S143+T273*T143+U273*U143+V273*V143+W273*W143+X273*X143+Y273*Y143+Z273*Z143+AA273*AA143+AB273*AB143+AC273*AC143+AD273*AD143+AE273*AE143+AF273*AF143+AG273*AG143+AH273*AH143+AI273*AI143+AJ273*AJ143+AK273*AK143+AL273*AL143+AM273*AM143+AN273*AN143+AO273*AO143+AP273*AP143+AQ273*AQ143+AR273*AR143+AS273*AS143+AT273*AT143+AU273*AU143+AV273*AV143+AW273*AW143+AX273*AX143+AY273*AY143+AZ273*AZ143+BA273*BA143+BB273*BB143+BC273*BC143+BD273*BD143+BE273*BE143+BF273*BF143+BG273*BG143+BH273*BH143+BI273*BI143+BJ273*BJ143+BK273*BK143+BL273*BL143+BM273*BM143+BN273*BN143+BO273*BO143+BP273*BP143+BQ273*BQ143+BR273*BR143+BS273*BS143+BT273*BT143+BU273*BU143+BV273*BV143+BW273*BW143+BX273*BX143+BY273*BY143+BZ273*BZ143+CA273*CA143+CB273*CB143+CC273*CC143+CD273*CD143+CE273*CE143+CF273*CF143+CG273*CG143+CH273*CH143+CI273*CI143+CJ273*CJ143+CK273*CK143+CL273*CL143+CM273*CM143+CN273*CN143+CO273*CO143+CP273*CP143+CQ273*CQ143+CR273*CR143+CS273*CS143</f>
        <v>0</v>
      </c>
      <c r="DD143" s="2504">
        <f>E274*E143+F274*F143+G274*G143+H274*H143+I274*I143+J274*J143+K274*K143+L274*L143+M274*M143+N274*N143+O274*O143+P274*P143+Q274*Q143+R274*R143+S274*S143+T274*T143+U274*U143+V274*V143+W274*W143+X274*X143+Y274*Y143+Z274*Z143+AA274*AA143+AB274*AB143+AC274*AC143+AD274*AD143+AE274*AE143+AF274*AF143+AG274*AG143+AH274*AH143+AI274*AI143+AJ274*AJ143+AK274*AK143+AL274*AL143+AM274*AM143+AN274*AN143+AO274*AO143+AP274*AP143+AQ274*AQ143+AR274*AR143+AS274*AS143+AT274*AT143+AU274*AU143+AV274*AV143+AW274*AW143+AX274*AX143+AY274*AY143+AZ274*AZ143+BA274*BA143+BB274*BB143+BC274*BC143+BD274*BD143+BE274*BE143+BF274*BF143+BG274*BG143+BH274*BH143+BI274*BI143+BJ274*BJ143+BK274*BK143+BL274*BL143+BM274*BM143+BN274*BN143+BO274*BO143+BP274*BP143+BQ274*BQ143+BR274*BR143+BS274*BS143+BT274*BT143+BU274*BU143+BV274*BV143+BW274*BW143+BX274*BX143+BY274*BY143+BZ274*BZ143+CA274*CA143+CB274*CB143+CC274*CC143+CD274*CD143+CE274*CE143+CF274*CF143+CG274*CG143+CH274*CH143+CI274*CI143+CJ274*CJ143+CK274*CK143+CL274*CL143+CM274*CM143+CN274*CN143+CO274*CO143+CP274*CP143+CQ274*CQ143+CR274*CR143+CS274*CS143</f>
        <v>0</v>
      </c>
      <c r="DE143" s="2504">
        <f>E275*E143+F275*F143+G275*G143+H275*H143+I275*I143+J275*J143+K275*K143+L275*L143+M275*M143+N275*N143+O275*O143+P275*P143+Q275*Q143+R275*R143+S275*S143+T275*T143+U275*U143+V275*V143+W275*W143+X275*X143+Y275*Y143+Z275*Z143+AA275*AA143+AB275*AB143+AC275*AC143+AD275*AD143+AE275*AE143+AF275*AF143+AG275*AG143+AH275*AH143+AI275*AI143+AJ275*AJ143+AK275*AK143+AL275*AL143+AM275*AM143+AN275*AN143+AO275*AO143+AP275*AP143+AQ275*AQ143+AR275*AR143+AS275*AS143+AT275*AT143+AU275*AU143+AV275*AV143+AW275*AW143+AX275*AX143+AY275*AY143+AZ275*AZ143+BA275*BA143+BB275*BB143+BC275*BC143+BD275*BD143+BE275*BE143+BF275*BF143+BG275*BG143+BH275*BH143+BI275*BI143+BJ275*BJ143+BK275*BK143+BL275*BL143+BM275*BM143+BN275*BN143+BO275*BO143+BP275*BP143+BQ275*BQ143+BR275*BR143+BS275*BS143+BT275*BT143+BU275*BU143+BV275*BV143+BW275*BW143+BX275*BX143+BY275*BY143+BZ275*BZ143+CA275*CA143+CB275*CB143+CC275*CC143+CD275*CD143+CE275*CE143+CF275*CF143+CG275*CG143+CH275*CH143+CI275*CI143+CJ275*CJ143+CK275*CK143+CL275*CL143+CM275*CM143+CN275*CN143+CO275*CO143+CP275*CP143+CQ275*CQ143+CR275*CR143+CS275*CS143</f>
        <v>0</v>
      </c>
      <c r="DF143" s="2504">
        <f>E276*E143+F276*F143+G276*G143+H276*H143+I276*I143+J276*J143+K276*K143+L276*L143+M276*M143+N276*N143+O276*O143+P276*P143+Q276*Q143+R276*R143+S276*S143+T276*T143+U276*U143+V276*V143+W276*W143+X276*X143+Y276*Y143+Z276*Z143+AA276*AA143+AB276*AB143+AC276*AC143+AD276*AD143+AE276*AE143+AF276*AF143+AG276*AG143+AH276*AH143+AI276*AI143+AJ276*AJ143+AK276*AK143+AL276*AL143+AM276*AM143+AN276*AN143+AO276*AO143+AP276*AP143+AQ276*AQ143+AR276*AR143+AS276*AS143+AT276*AT143+AU276*AU143+AV276*AV143+AW276*AW143+AX276*AX143+AY276*AY143+AZ276*AZ143+BA276*BA143+BB276*BB143+BC276*BC143+BD276*BD143+BE276*BE143+BF276*BF143+BG276*BG143+BH276*BH143+BI276*BI143+BJ276*BJ143+BK276*BK143+BL276*BL143+BM276*BM143+BN276*BN143+BO276*BO143+BP276*BP143+BQ276*BQ143+BR276*BR143+BS276*BS143+BT276*BT143+BU276*BU143+BV276*BV143+BW276*BW143+BX276*BX143+BY276*BY143+BZ276*BZ143+CA276*CA143+CB276*CB143+CC276*CC143+CD276*CD143+CE276*CE143+CF276*CF143+CG276*CG143+CH276*CH143+CI276*CI143+CJ276*CJ143+CK276*CK143+CL276*CL143+CM276*CM143+CN276*CN143+CO276*CO143+CP276*CP143+CQ276*CQ143+CR276*CR143+CS276*CS143</f>
        <v>0</v>
      </c>
    </row>
    <row r="144" spans="2:110" ht="18" x14ac:dyDescent="0.35">
      <c r="B144" s="362">
        <v>2</v>
      </c>
      <c r="C144" s="363" t="s">
        <v>225</v>
      </c>
      <c r="D144" s="523" t="s">
        <v>3621</v>
      </c>
      <c r="E144" s="496">
        <f>-1/Y_OHO_VFA_anox</f>
        <v>-2.2222222222222223</v>
      </c>
      <c r="F144" s="497">
        <f>0</f>
        <v>0</v>
      </c>
      <c r="G144" s="497">
        <f>0</f>
        <v>0</v>
      </c>
      <c r="H144" s="497">
        <f>0</f>
        <v>0</v>
      </c>
      <c r="I144" s="497">
        <f>0</f>
        <v>0</v>
      </c>
      <c r="J144" s="497">
        <f>0</f>
        <v>0</v>
      </c>
      <c r="K144" s="497">
        <f>0</f>
        <v>0</v>
      </c>
      <c r="L144" s="497">
        <f>0</f>
        <v>0</v>
      </c>
      <c r="M144" s="497">
        <f>0</f>
        <v>0</v>
      </c>
      <c r="N144" s="497">
        <f>0</f>
        <v>0</v>
      </c>
      <c r="O144" s="497">
        <f>0</f>
        <v>0</v>
      </c>
      <c r="P144" s="497">
        <f>0</f>
        <v>0</v>
      </c>
      <c r="Q144" s="497">
        <f>0</f>
        <v>0</v>
      </c>
      <c r="R144" s="497">
        <f>1</f>
        <v>1</v>
      </c>
      <c r="S144" s="497">
        <f>0</f>
        <v>0</v>
      </c>
      <c r="T144" s="497">
        <f>0</f>
        <v>0</v>
      </c>
      <c r="U144" s="497">
        <f>0</f>
        <v>0</v>
      </c>
      <c r="V144" s="497">
        <f>0</f>
        <v>0</v>
      </c>
      <c r="W144" s="497">
        <f>0</f>
        <v>0</v>
      </c>
      <c r="X144" s="497">
        <f>0</f>
        <v>0</v>
      </c>
      <c r="Y144" s="497">
        <f>0</f>
        <v>0</v>
      </c>
      <c r="Z144" s="497">
        <f>0</f>
        <v>0</v>
      </c>
      <c r="AA144" s="496">
        <f t="shared" si="0"/>
        <v>-7.0000000000000007E-2</v>
      </c>
      <c r="AB144" s="496">
        <f>0</f>
        <v>0</v>
      </c>
      <c r="AC144" s="496">
        <f>-(1-Y_OHO_VFA_anox)/(E_EQNO2_NO3*Y_OHO_VFA_anox)</f>
        <v>-1.0699963748640577</v>
      </c>
      <c r="AD144" s="496">
        <f>(1-Y_OHO_VFA_anox)/(E_EQNO2_NO3*Y_OHO_VFA_anox)</f>
        <v>1.0699963748640577</v>
      </c>
      <c r="AE144" s="496">
        <f>0</f>
        <v>0</v>
      </c>
      <c r="AF144" s="496">
        <f>0</f>
        <v>0</v>
      </c>
      <c r="AG144" s="496">
        <f>0</f>
        <v>0</v>
      </c>
      <c r="AH144" s="496">
        <f>0</f>
        <v>0</v>
      </c>
      <c r="AI144" s="497">
        <f>0</f>
        <v>0</v>
      </c>
      <c r="AJ144" s="497">
        <f>0</f>
        <v>0</v>
      </c>
      <c r="AK144" s="497">
        <f>0</f>
        <v>0</v>
      </c>
      <c r="AL144" s="497">
        <f>0</f>
        <v>0</v>
      </c>
      <c r="AM144" s="496">
        <f t="shared" si="1"/>
        <v>-0.02</v>
      </c>
      <c r="AN144" s="497">
        <f>0</f>
        <v>0</v>
      </c>
      <c r="AO144" s="497">
        <f>0</f>
        <v>0</v>
      </c>
      <c r="AP144" s="497">
        <f>0</f>
        <v>0</v>
      </c>
      <c r="AQ144" s="497">
        <f>0</f>
        <v>0</v>
      </c>
      <c r="AR144" s="497">
        <f>0</f>
        <v>0</v>
      </c>
      <c r="AS144" s="496">
        <f>0</f>
        <v>0</v>
      </c>
      <c r="AT144" s="496">
        <f>0</f>
        <v>0</v>
      </c>
      <c r="AU144" s="496">
        <f>0</f>
        <v>0</v>
      </c>
      <c r="AV144" s="496">
        <f>i_CIT_VFA/Y_OHO_VFA_anox-i_CIT_BIO</f>
        <v>0.48133333333333328</v>
      </c>
      <c r="AW144" s="496">
        <f t="shared" si="2"/>
        <v>0.11</v>
      </c>
      <c r="AX144" s="496">
        <f t="shared" si="3"/>
        <v>-2.8804303582798466E-2</v>
      </c>
      <c r="AY144" s="496">
        <f t="shared" si="4"/>
        <v>-7.0195696417201539E-2</v>
      </c>
      <c r="AZ144" s="496">
        <f t="shared" si="5"/>
        <v>-5.5000000000000005E-3</v>
      </c>
      <c r="BA144" s="496">
        <f t="shared" si="6"/>
        <v>-5.5000000000000005E-3</v>
      </c>
      <c r="BB144" s="496">
        <f>0</f>
        <v>0</v>
      </c>
      <c r="BC144" s="496">
        <f>0</f>
        <v>0</v>
      </c>
      <c r="BD144" s="496">
        <f>0</f>
        <v>0</v>
      </c>
      <c r="BE144" s="496">
        <f>0</f>
        <v>0</v>
      </c>
      <c r="BF144" s="496">
        <f>0</f>
        <v>0</v>
      </c>
      <c r="BG144" s="496">
        <f>0</f>
        <v>0</v>
      </c>
      <c r="BH144" s="496">
        <f>0</f>
        <v>0</v>
      </c>
      <c r="BI144" s="496">
        <f>0</f>
        <v>0</v>
      </c>
      <c r="BJ144" s="496">
        <f>0</f>
        <v>0</v>
      </c>
      <c r="BK144" s="496">
        <f>0</f>
        <v>0</v>
      </c>
      <c r="BL144" s="496">
        <f>0</f>
        <v>0</v>
      </c>
      <c r="BM144" s="496">
        <f>0</f>
        <v>0</v>
      </c>
      <c r="BN144" s="496">
        <f>0</f>
        <v>0</v>
      </c>
      <c r="BO144" s="496">
        <f>0</f>
        <v>0</v>
      </c>
      <c r="BP144" s="496">
        <f>0</f>
        <v>0</v>
      </c>
      <c r="BQ144" s="496">
        <f>0</f>
        <v>0</v>
      </c>
      <c r="BR144" s="496">
        <f>0</f>
        <v>0</v>
      </c>
      <c r="BS144" s="496">
        <f>0</f>
        <v>0</v>
      </c>
      <c r="BT144" s="496">
        <f>0</f>
        <v>0</v>
      </c>
      <c r="BU144" s="496">
        <f>0</f>
        <v>0</v>
      </c>
      <c r="BV144" s="496">
        <f>0</f>
        <v>0</v>
      </c>
      <c r="BW144" s="2353">
        <f>0</f>
        <v>0</v>
      </c>
      <c r="BX144" s="2353">
        <f>0</f>
        <v>0</v>
      </c>
      <c r="BY144" s="2353">
        <f>0</f>
        <v>0</v>
      </c>
      <c r="BZ144" s="2353">
        <f>0</f>
        <v>0</v>
      </c>
      <c r="CA144" s="496">
        <f>0</f>
        <v>0</v>
      </c>
      <c r="CB144" s="496">
        <f>0</f>
        <v>0</v>
      </c>
      <c r="CC144" s="496">
        <f>0</f>
        <v>0</v>
      </c>
      <c r="CD144" s="496">
        <f>0</f>
        <v>0</v>
      </c>
      <c r="CE144" s="496">
        <f>0</f>
        <v>0</v>
      </c>
      <c r="CF144" s="496">
        <f>0</f>
        <v>0</v>
      </c>
      <c r="CG144" s="496">
        <f>0</f>
        <v>0</v>
      </c>
      <c r="CH144" s="496">
        <f>0</f>
        <v>0</v>
      </c>
      <c r="CI144" s="496">
        <f>0</f>
        <v>0</v>
      </c>
      <c r="CJ144" s="496">
        <f>0</f>
        <v>0</v>
      </c>
      <c r="CK144" s="496">
        <f>0</f>
        <v>0</v>
      </c>
      <c r="CL144" s="496">
        <f>0</f>
        <v>0</v>
      </c>
      <c r="CM144" s="496">
        <f>0</f>
        <v>0</v>
      </c>
      <c r="CN144" s="496">
        <f>0</f>
        <v>0</v>
      </c>
      <c r="CO144" s="496">
        <f>0</f>
        <v>0</v>
      </c>
      <c r="CP144" s="496">
        <f>0</f>
        <v>0</v>
      </c>
      <c r="CQ144" s="496">
        <f>0</f>
        <v>0</v>
      </c>
      <c r="CR144" s="496">
        <f>0</f>
        <v>0</v>
      </c>
      <c r="CS144" s="496">
        <f>0</f>
        <v>0</v>
      </c>
      <c r="CT144" s="2480">
        <f>µ_OHO_T*X_OHO*η_OHO_NO3*M_satSVFA_KVFA_NO3*M_satSNO3_KNO3_OHO*M_inhSO2_KO2_OHO_NO3*M_satSNHx_KNHx_BIO*M_satSPO4_KPO4_BIO*M_satSCAT_KCAT*M_satSAN_KAN*M_satSCa_KCa*M_satSMg_KMg*B_ellinhpH</f>
        <v>0.72743882028888263</v>
      </c>
      <c r="CV144" s="2502">
        <f>E266*E144+F266*F144+G266*G144+H266*H144+I266*I144+J266*J144+K266*K144+L266*L144+M266*M144+N266*N144+O266*O144+P266*P144+Q266*Q144+R266*R144+S266*S144+T266*T144+U266*U144+V266*V144+W266*W144+X266*X144+Y266*Y144+Z266*Z144+AA266*AA144+AB266*AB144+AC266*AC144+AD266*AD144+AE266*AE144+AF266*AF144+AG266*AG144+AH266*AH144+AI266*AI144+AJ266*AJ144+AK266*AK144+AL266*AL144+AM266*AM144+AN266*AN144+AO266*AO144+AP266*AP144+AQ266*AQ144+AR266*AR144+AS266*AS144+AT266*AT144+AU266*AU144+AV266*AV144+AW266*AW144+AX266*AX144+AY266*AY144+AZ266*AZ144+BA266*BA144+BB266*BB144+BC266*BC144+BD266*BD144+BE266*BE144+BF266*BF144+BG266*BG144+BH266*BH144+BI266*BI144+BJ266*BJ144+BK266*BK144+BL266*BL144+BM266*BM144+BN266*BN144+BO266*BO144+BP266*BP144+BQ266*BQ144+BR266*BR144+BS266*BS144+BT266*BT144+BU266*BU144+BV266*BV144+BW266*BW144+BX266*BX144+BY266*BY144+BZ266*BZ144+CA266*CA144+CB266*CB144+CC266*CC144+CD266*CD144+CE266*CE144+CF266*CF144+CG266*CG144+CH266*CH144+CI266*CI144+CJ266*CJ144+CK266*CK144+CL266*CL144+CM266*CM144+CN266*CN144+CO266*CO144+CP266*CP144+CQ266*CQ144+CR266*CR144+CS266*CS144</f>
        <v>4.4408920985006262E-16</v>
      </c>
      <c r="CW144" s="2502">
        <f>E267*E144+F267*F144+G267*G144+H267*H144+I267*I144+J267*J144+K267*K144+L267*L144+M267*M144+N267*N144+O267*O144+P267*P144+Q267*Q144+R267*R144+S267*S144+T267*T144+U267*U144+V267*V144+W267*W144+X267*X144+Y267*Y144+Z267*Z144+AA267*AA144+AB267*AB144+AC267*AC144+AD267*AD144+AE267*AE144+AF267*AF144+AG267*AG144+AH267*AH144+AI267*AI144+AJ267*AJ144+AK267*AK144+AL267*AL144+AM267*AM144+AN267*AN144+AO267*AO144+AP267*AP144+AQ267*AQ144+AR267*AR144+AS267*AS144+AT267*AT144+AU267*AU144+AV267*AV144+AW267*AW144+AX267*AX144+AY267*AY144+AZ267*AZ144+BA267*BA144+BB267*BB144+BC267*BC144+BD267*BD144+BE267*BE144+BF267*BF144+BG267*BG144+BH267*BH144+BI267*BI144+BJ267*BJ144+BK267*BK144+BL267*BL144+BM267*BM144+BN267*BN144+BO267*BO144+BP267*BP144+BQ267*BQ144+BR267*BR144+BS267*BS144+BT267*BT144+BU267*BU144+BV267*BV144+BW267*BW144+BX267*BX144+BY267*BY144+BZ267*BZ144+CA267*CA144+CB267*CB144+CC267*CC144+CD267*CD144+CE267*CE144+CF267*CF144+CG267*CG144+CH267*CH144+CI267*CI144+CJ267*CJ144+CK267*CK144+CL267*CL144+CM267*CM144+CN267*CN144+CO267*CO144+CP267*CP144+CQ267*CQ144+CR267*CR144+CS267*CS144</f>
        <v>-1.1102230246251565E-16</v>
      </c>
      <c r="CX144" s="2503">
        <f>E268*E144+F268*F144+G268*G144+H268*H144+I268*I144+J268*J144+K268*K144+L268*L144+M268*M144+N268*N144+O268*O144+P268*P144+Q268*Q144+R268*R144+S268*S144+T268*T144+U268*U144+V268*V144+W268*W144+X268*X144+Y268*Y144+Z268*Z144+AA268*AA144+AB268*AB144+AC268*AC144+AD268*AD144+AE268*AE144+AF268*AF144+AG268*AG144+AH268*AH144+AI268*AI144+AJ268*AJ144+AK268*AK144+AL268*AL144+AM268*AM144+AN268*AN144+AO268*AO144+AP268*AP144+AQ268*AQ144+AR268*AR144+AS268*AS144+AT268*AT144+AU268*AU144+AV268*AV144+AW268*AW144+AX268*AX144+AY268*AY144+AZ268*AZ144+BA268*BA144+BB268*BB144+BC268*BC144+BD268*BD144+BE268*BE144+BF268*BF144+BG268*BG144+BH268*BH144+BI268*BI144+BJ268*BJ144+BK268*BK144+BL268*BL144+BM268*BM144+BN268*BN144+BO268*BO144+BP268*BP144+BQ268*BQ144+BR268*BR144+BS268*BS144+BT268*BT144+BU268*BU144+BV268*BV144+BW268*BW144+BX268*BX144+BY268*BY144+BZ268*BZ144+CA268*CA144+CB268*CB144+CC268*CC144+CD268*CD144+CE268*CE144+CF268*CF144+CG268*CG144+CH268*CH144+CI268*CI144+CJ268*CJ144+CK268*CK144+CL268*CL144+CM268*CM144+CN268*CN144+CO268*CO144+CP268*CP144+CQ268*CQ144+CR268*CR144+CS268*CS144</f>
        <v>0</v>
      </c>
      <c r="CY144" s="2504">
        <f>E269*E144+F269*F144+G269*G144+H269*H144+I269*I144+J269*J144+K269*K144+L269*L144+M269*M144+N269*N144+O269*O144+P269*P144+Q269*Q144+R269*R144+S269*S144+T269*T144+U269*U144+V269*V144+W269*W144+X269*X144+Y269*Y144+Z269*Z144+AA269*AA144+AB269*AB144+AC269*AC144+AD269*AD144+AE269*AE144+AF269*AF144+AG269*AG144+AH269*AH144+AI269*AI144+AJ269*AJ144+AK269*AK144+AL269*AL144+AM269*AM144+AN269*AN144+AO269*AO144+AP269*AP144+AQ269*AQ144+AR269*AR144+AS269*AS144+AT269*AT144+AU269*AU144+AV269*AV144+AW269*AW144+AX269*AX144+AY269*AY144+AZ269*AZ144+BA269*BA144+BB269*BB144+BC269*BC144+BD269*BD144+BE269*BE144+BF269*BF144+BG269*BG144+BH269*BH144+BI269*BI144+BJ269*BJ144+BK269*BK144+BL269*BL144+BM269*BM144+BN269*BN144+BO269*BO144+BP269*BP144+BQ269*BQ144+BR269*BR144+BS269*BS144+BT269*BT144+BU269*BU144+BV269*BV144+BW269*BW144+BX269*BX144+BY269*BY144+BZ269*BZ144+CA269*CA144+CB269*CB144+CC269*CC144+CD269*CD144+CE269*CE144+CF269*CF144+CG269*CG144+CH269*CH144+CI269*CI144+CJ269*CJ144+CK269*CK144+CL269*CL144+CM269*CM144+CN269*CN144+CO269*CO144+CP269*CP144+CQ269*CQ144+CR269*CR144+CS269*CS144</f>
        <v>0</v>
      </c>
      <c r="CZ144" s="2504">
        <f>E270*E144+F270*F144+G270*G144+H270*H144+I270*I144+J270*J144+K270*K144+L270*L144+M270*M144+N270*N144+O270*O144+P270*P144+Q270*Q144+R270*R144+S270*S144+T270*T144+U270*U144+V270*V144+W270*W144+X270*X144+Y270*Y144+Z270*Z144+AA270*AA144+AB270*AB144+AC270*AC144+AD270*AD144+AE270*AE144+AF270*AF144+AG270*AG144+AH270*AH144+AI270*AI144+AJ270*AJ144+AK270*AK144+AL270*AL144+AM270*AM144+AN270*AN144+AO270*AO144+AP270*AP144+AQ270*AQ144+AR270*AR144+AS270*AS144+AT270*AT144+AU270*AU144+AV270*AV144+AW270*AW144+AX270*AX144+AY270*AY144+AZ270*AZ144+BA270*BA144+BB270*BB144+BC270*BC144+BD270*BD144+BE270*BE144+BF270*BF144+BG270*BG144+BH270*BH144+BI270*BI144+BJ270*BJ144+BK270*BK144+BL270*BL144+BM270*BM144+BN270*BN144+BO270*BO144+BP270*BP144+BQ270*BQ144+BR270*BR144+BS270*BS144+BT270*BT144+BU270*BU144+BV270*BV144+BW270*BW144+BX270*BX144+BY270*BY144+BZ270*BZ144+CA270*CA144+CB270*CB144+CC270*CC144+CD270*CD144+CE270*CE144+CF270*CF144+CG270*CG144+CH270*CH144+CI270*CI144+CJ270*CJ144+CK270*CK144+CL270*CL144+CM270*CM144+CN270*CN144+CO270*CO144+CP270*CP144+CQ270*CQ144+CR270*CR144+CS270*CS144</f>
        <v>0</v>
      </c>
      <c r="DA144" s="2504">
        <f>E271*E144+F271*F144+G271*G144+H271*H144+I271*I144+J271*J144+K271*K144+L271*L144+M271*M144+N271*N144+O271*O144+P271*P144+Q271*Q144+R271*R144+S271*S144+T271*T144+U271*U144+V271*V144+W271*W144+X271*X144+Y271*Y144+Z271*Z144+AA271*AA144+AB271*AB144+AC271*AC144+AD271*AD144+AE271*AE144+AF271*AF144+AG271*AG144+AH271*AH144+AI271*AI144+AJ271*AJ144+AK271*AK144+AL271*AL144+AM271*AM144+AN271*AN144+AO271*AO144+AP271*AP144+AQ271*AQ144+AR271*AR144+AS271*AS144+AT271*AT144+AU271*AU144+AV271*AV144+AW271*AW144+AX271*AX144+AY271*AY144+AZ271*AZ144+BA271*BA144+BB271*BB144+BC271*BC144+BD271*BD144+BE271*BE144+BF271*BF144+BG271*BG144+BH271*BH144+BI271*BI144+BJ271*BJ144+BK271*BK144+BL271*BL144+BM271*BM144+BN271*BN144+BO271*BO144+BP271*BP144+BQ271*BQ144+BR271*BR144+BS271*BS144+BT271*BT144+BU271*BU144+BV271*BV144+BW271*BW144+BX271*BX144+BY271*BY144+BZ271*BZ144+CA271*CA144+CB271*CB144+CC271*CC144+CD271*CD144+CE271*CE144+CF271*CF144+CG271*CG144+CH271*CH144+CI271*CI144+CJ271*CJ144+CK271*CK144+CL271*CL144+CM271*CM144+CN271*CN144+CO271*CO144+CP271*CP144+CQ271*CQ144+CR271*CR144+CS271*CS144</f>
        <v>0</v>
      </c>
      <c r="DB144" s="2504">
        <f>E272*E144+F272*F144+G272*G144+H272*H144+I272*I144+J272*J144+K272*K144+L272*L144+M272*M144+N272*N144+O272*O144+P272*P144+Q272*Q144+R272*R144+S272*S144+T272*T144+U272*U144+V272*V144+W272*W144+X272*X144+Y272*Y144+Z272*Z144+AA272*AA144+AB272*AB144+AC272*AC144+AD272*AD144+AE272*AE144+AF272*AF144+AG272*AG144+AH272*AH144+AI272*AI144+AJ272*AJ144+AK272*AK144+AL272*AL144+AM272*AM144+AN272*AN144+AO272*AO144+AP272*AP144+AQ272*AQ144+AR272*AR144+AS272*AS144+AT272*AT144+AU272*AU144+AV272*AV144+AW272*AW144+AX272*AX144+AY272*AY144+AZ272*AZ144+BA272*BA144+BB272*BB144+BC272*BC144+BD272*BD144+BE272*BE144+BF272*BF144+BG272*BG144+BH272*BH144+BI272*BI144+BJ272*BJ144+BK272*BK144+BL272*BL144+BM272*BM144+BN272*BN144+BO272*BO144+BP272*BP144+BQ272*BQ144+BR272*BR144+BS272*BS144+BT272*BT144+BU272*BU144+BV272*BV144+BW272*BW144+BX272*BX144+BY272*BY144+BZ272*BZ144+CA272*CA144+CB272*CB144+CC272*CC144+CD272*CD144+CE272*CE144+CF272*CF144+CG272*CG144+CH272*CH144+CI272*CI144+CJ272*CJ144+CK272*CK144+CL272*CL144+CM272*CM144+CN272*CN144+CO272*CO144+CP272*CP144+CQ272*CQ144+CR272*CR144+CS272*CS144</f>
        <v>0</v>
      </c>
      <c r="DC144" s="2504">
        <f>E273*E144+F273*F144+G273*G144+H273*H144+I273*I144+J273*J144+K273*K144+L273*L144+M273*M144+N273*N144+O273*O144+P273*P144+Q273*Q144+R273*R144+S273*S144+T273*T144+U273*U144+V273*V144+W273*W144+X273*X144+Y273*Y144+Z273*Z144+AA273*AA144+AB273*AB144+AC273*AC144+AD273*AD144+AE273*AE144+AF273*AF144+AG273*AG144+AH273*AH144+AI273*AI144+AJ273*AJ144+AK273*AK144+AL273*AL144+AM273*AM144+AN273*AN144+AO273*AO144+AP273*AP144+AQ273*AQ144+AR273*AR144+AS273*AS144+AT273*AT144+AU273*AU144+AV273*AV144+AW273*AW144+AX273*AX144+AY273*AY144+AZ273*AZ144+BA273*BA144+BB273*BB144+BC273*BC144+BD273*BD144+BE273*BE144+BF273*BF144+BG273*BG144+BH273*BH144+BI273*BI144+BJ273*BJ144+BK273*BK144+BL273*BL144+BM273*BM144+BN273*BN144+BO273*BO144+BP273*BP144+BQ273*BQ144+BR273*BR144+BS273*BS144+BT273*BT144+BU273*BU144+BV273*BV144+BW273*BW144+BX273*BX144+BY273*BY144+BZ273*BZ144+CA273*CA144+CB273*CB144+CC273*CC144+CD273*CD144+CE273*CE144+CF273*CF144+CG273*CG144+CH273*CH144+CI273*CI144+CJ273*CJ144+CK273*CK144+CL273*CL144+CM273*CM144+CN273*CN144+CO273*CO144+CP273*CP144+CQ273*CQ144+CR273*CR144+CS273*CS144</f>
        <v>0</v>
      </c>
      <c r="DD144" s="2504">
        <f>E274*E144+F274*F144+G274*G144+H274*H144+I274*I144+J274*J144+K274*K144+L274*L144+M274*M144+N274*N144+O274*O144+P274*P144+Q274*Q144+R274*R144+S274*S144+T274*T144+U274*U144+V274*V144+W274*W144+X274*X144+Y274*Y144+Z274*Z144+AA274*AA144+AB274*AB144+AC274*AC144+AD274*AD144+AE274*AE144+AF274*AF144+AG274*AG144+AH274*AH144+AI274*AI144+AJ274*AJ144+AK274*AK144+AL274*AL144+AM274*AM144+AN274*AN144+AO274*AO144+AP274*AP144+AQ274*AQ144+AR274*AR144+AS274*AS144+AT274*AT144+AU274*AU144+AV274*AV144+AW274*AW144+AX274*AX144+AY274*AY144+AZ274*AZ144+BA274*BA144+BB274*BB144+BC274*BC144+BD274*BD144+BE274*BE144+BF274*BF144+BG274*BG144+BH274*BH144+BI274*BI144+BJ274*BJ144+BK274*BK144+BL274*BL144+BM274*BM144+BN274*BN144+BO274*BO144+BP274*BP144+BQ274*BQ144+BR274*BR144+BS274*BS144+BT274*BT144+BU274*BU144+BV274*BV144+BW274*BW144+BX274*BX144+BY274*BY144+BZ274*BZ144+CA274*CA144+CB274*CB144+CC274*CC144+CD274*CD144+CE274*CE144+CF274*CF144+CG274*CG144+CH274*CH144+CI274*CI144+CJ274*CJ144+CK274*CK144+CL274*CL144+CM274*CM144+CN274*CN144+CO274*CO144+CP274*CP144+CQ274*CQ144+CR274*CR144+CS274*CS144</f>
        <v>0</v>
      </c>
      <c r="DE144" s="2504">
        <f>E275*E144+F275*F144+G275*G144+H275*H144+I275*I144+J275*J144+K275*K144+L275*L144+M275*M144+N275*N144+O275*O144+P275*P144+Q275*Q144+R275*R144+S275*S144+T275*T144+U275*U144+V275*V144+W275*W144+X275*X144+Y275*Y144+Z275*Z144+AA275*AA144+AB275*AB144+AC275*AC144+AD275*AD144+AE275*AE144+AF275*AF144+AG275*AG144+AH275*AH144+AI275*AI144+AJ275*AJ144+AK275*AK144+AL275*AL144+AM275*AM144+AN275*AN144+AO275*AO144+AP275*AP144+AQ275*AQ144+AR275*AR144+AS275*AS144+AT275*AT144+AU275*AU144+AV275*AV144+AW275*AW144+AX275*AX144+AY275*AY144+AZ275*AZ144+BA275*BA144+BB275*BB144+BC275*BC144+BD275*BD144+BE275*BE144+BF275*BF144+BG275*BG144+BH275*BH144+BI275*BI144+BJ275*BJ144+BK275*BK144+BL275*BL144+BM275*BM144+BN275*BN144+BO275*BO144+BP275*BP144+BQ275*BQ144+BR275*BR144+BS275*BS144+BT275*BT144+BU275*BU144+BV275*BV144+BW275*BW144+BX275*BX144+BY275*BY144+BZ275*BZ144+CA275*CA144+CB275*CB144+CC275*CC144+CD275*CD144+CE275*CE144+CF275*CF144+CG275*CG144+CH275*CH144+CI275*CI144+CJ275*CJ144+CK275*CK144+CL275*CL144+CM275*CM144+CN275*CN144+CO275*CO144+CP275*CP144+CQ275*CQ144+CR275*CR144+CS275*CS144</f>
        <v>0</v>
      </c>
      <c r="DF144" s="2504">
        <f>E276*E144+F276*F144+G276*G144+H276*H144+I276*I144+J276*J144+K276*K144+L276*L144+M276*M144+N276*N144+O276*O144+P276*P144+Q276*Q144+R276*R144+S276*S144+T276*T144+U276*U144+V276*V144+W276*W144+X276*X144+Y276*Y144+Z276*Z144+AA276*AA144+AB276*AB144+AC276*AC144+AD276*AD144+AE276*AE144+AF276*AF144+AG276*AG144+AH276*AH144+AI276*AI144+AJ276*AJ144+AK276*AK144+AL276*AL144+AM276*AM144+AN276*AN144+AO276*AO144+AP276*AP144+AQ276*AQ144+AR276*AR144+AS276*AS144+AT276*AT144+AU276*AU144+AV276*AV144+AW276*AW144+AX276*AX144+AY276*AY144+AZ276*AZ144+BA276*BA144+BB276*BB144+BC276*BC144+BD276*BD144+BE276*BE144+BF276*BF144+BG276*BG144+BH276*BH144+BI276*BI144+BJ276*BJ144+BK276*BK144+BL276*BL144+BM276*BM144+BN276*BN144+BO276*BO144+BP276*BP144+BQ276*BQ144+BR276*BR144+BS276*BS144+BT276*BT144+BU276*BU144+BV276*BV144+BW276*BW144+BX276*BX144+BY276*BY144+BZ276*BZ144+CA276*CA144+CB276*CB144+CC276*CC144+CD276*CD144+CE276*CE144+CF276*CF144+CG276*CG144+CH276*CH144+CI276*CI144+CJ276*CJ144+CK276*CK144+CL276*CL144+CM276*CM144+CN276*CN144+CO276*CO144+CP276*CP144+CQ276*CQ144+CR276*CR144+CS276*CS144</f>
        <v>0</v>
      </c>
    </row>
    <row r="145" spans="2:110" ht="18" x14ac:dyDescent="0.35">
      <c r="B145" s="362">
        <v>3</v>
      </c>
      <c r="C145" s="363" t="s">
        <v>226</v>
      </c>
      <c r="D145" s="523" t="s">
        <v>3723</v>
      </c>
      <c r="E145" s="496">
        <f>-1/Y_OHO_VFA_anox</f>
        <v>-2.2222222222222223</v>
      </c>
      <c r="F145" s="496">
        <f>0</f>
        <v>0</v>
      </c>
      <c r="G145" s="497">
        <f>0</f>
        <v>0</v>
      </c>
      <c r="H145" s="497">
        <f>0</f>
        <v>0</v>
      </c>
      <c r="I145" s="497">
        <f>0</f>
        <v>0</v>
      </c>
      <c r="J145" s="497">
        <f>0</f>
        <v>0</v>
      </c>
      <c r="K145" s="497">
        <f>0</f>
        <v>0</v>
      </c>
      <c r="L145" s="497">
        <f>0</f>
        <v>0</v>
      </c>
      <c r="M145" s="497">
        <f>0</f>
        <v>0</v>
      </c>
      <c r="N145" s="497">
        <f>0</f>
        <v>0</v>
      </c>
      <c r="O145" s="497">
        <f>0</f>
        <v>0</v>
      </c>
      <c r="P145" s="497">
        <f>0</f>
        <v>0</v>
      </c>
      <c r="Q145" s="497">
        <f>0</f>
        <v>0</v>
      </c>
      <c r="R145" s="497">
        <f>1</f>
        <v>1</v>
      </c>
      <c r="S145" s="497">
        <f>0</f>
        <v>0</v>
      </c>
      <c r="T145" s="497">
        <f>0</f>
        <v>0</v>
      </c>
      <c r="U145" s="497">
        <f>0</f>
        <v>0</v>
      </c>
      <c r="V145" s="497">
        <f>0</f>
        <v>0</v>
      </c>
      <c r="W145" s="497">
        <f>0</f>
        <v>0</v>
      </c>
      <c r="X145" s="497">
        <f>0</f>
        <v>0</v>
      </c>
      <c r="Y145" s="497">
        <f>0</f>
        <v>0</v>
      </c>
      <c r="Z145" s="497">
        <f>0</f>
        <v>0</v>
      </c>
      <c r="AA145" s="496">
        <f t="shared" si="0"/>
        <v>-7.0000000000000007E-2</v>
      </c>
      <c r="AB145" s="496">
        <f>0</f>
        <v>0</v>
      </c>
      <c r="AC145" s="496">
        <f>0</f>
        <v>0</v>
      </c>
      <c r="AD145" s="496">
        <f>-(1-Y_OHO_VFA_anox)/(E_EQNO_NO2*Y_OHO_VFA_anox)</f>
        <v>-2.1399927497281155</v>
      </c>
      <c r="AE145" s="496">
        <f>0</f>
        <v>0</v>
      </c>
      <c r="AF145" s="496">
        <f>(1-Y_OHO_VFA_anox)/(E_EQNO_NO2*Y_OHO_VFA_anox)</f>
        <v>2.1399927497281155</v>
      </c>
      <c r="AG145" s="496">
        <f>0</f>
        <v>0</v>
      </c>
      <c r="AH145" s="496">
        <f>0</f>
        <v>0</v>
      </c>
      <c r="AI145" s="497">
        <f>0</f>
        <v>0</v>
      </c>
      <c r="AJ145" s="497">
        <f>0</f>
        <v>0</v>
      </c>
      <c r="AK145" s="497">
        <f>0</f>
        <v>0</v>
      </c>
      <c r="AL145" s="497">
        <f>0</f>
        <v>0</v>
      </c>
      <c r="AM145" s="496">
        <f t="shared" si="1"/>
        <v>-0.02</v>
      </c>
      <c r="AN145" s="497">
        <f>0</f>
        <v>0</v>
      </c>
      <c r="AO145" s="497">
        <f>0</f>
        <v>0</v>
      </c>
      <c r="AP145" s="497">
        <f>0</f>
        <v>0</v>
      </c>
      <c r="AQ145" s="497">
        <f>0</f>
        <v>0</v>
      </c>
      <c r="AR145" s="497">
        <f>0</f>
        <v>0</v>
      </c>
      <c r="AS145" s="496">
        <f>0</f>
        <v>0</v>
      </c>
      <c r="AT145" s="496">
        <f>0</f>
        <v>0</v>
      </c>
      <c r="AU145" s="496">
        <f>0</f>
        <v>0</v>
      </c>
      <c r="AV145" s="496">
        <f>i_CIT_VFA/Y_OHO_VFA_anox-i_CIT_BIO</f>
        <v>0.48133333333333328</v>
      </c>
      <c r="AW145" s="496">
        <f t="shared" si="2"/>
        <v>0.11</v>
      </c>
      <c r="AX145" s="496">
        <f t="shared" si="3"/>
        <v>-2.8804303582798466E-2</v>
      </c>
      <c r="AY145" s="496">
        <f t="shared" si="4"/>
        <v>-7.0195696417201539E-2</v>
      </c>
      <c r="AZ145" s="496">
        <f t="shared" si="5"/>
        <v>-5.5000000000000005E-3</v>
      </c>
      <c r="BA145" s="496">
        <f t="shared" si="6"/>
        <v>-5.5000000000000005E-3</v>
      </c>
      <c r="BB145" s="496">
        <f>0</f>
        <v>0</v>
      </c>
      <c r="BC145" s="496">
        <f>0</f>
        <v>0</v>
      </c>
      <c r="BD145" s="496">
        <f>0</f>
        <v>0</v>
      </c>
      <c r="BE145" s="496">
        <f>0</f>
        <v>0</v>
      </c>
      <c r="BF145" s="496">
        <f>0</f>
        <v>0</v>
      </c>
      <c r="BG145" s="496">
        <f>0</f>
        <v>0</v>
      </c>
      <c r="BH145" s="496">
        <f>0</f>
        <v>0</v>
      </c>
      <c r="BI145" s="496">
        <f>0</f>
        <v>0</v>
      </c>
      <c r="BJ145" s="496">
        <f>0</f>
        <v>0</v>
      </c>
      <c r="BK145" s="496">
        <f>0</f>
        <v>0</v>
      </c>
      <c r="BL145" s="496">
        <f>0</f>
        <v>0</v>
      </c>
      <c r="BM145" s="496">
        <f>0</f>
        <v>0</v>
      </c>
      <c r="BN145" s="496">
        <f>0</f>
        <v>0</v>
      </c>
      <c r="BO145" s="496">
        <f>0</f>
        <v>0</v>
      </c>
      <c r="BP145" s="496">
        <f>0</f>
        <v>0</v>
      </c>
      <c r="BQ145" s="496">
        <f>0</f>
        <v>0</v>
      </c>
      <c r="BR145" s="496">
        <f>0</f>
        <v>0</v>
      </c>
      <c r="BS145" s="496">
        <f>0</f>
        <v>0</v>
      </c>
      <c r="BT145" s="496">
        <f>0</f>
        <v>0</v>
      </c>
      <c r="BU145" s="496">
        <f>0</f>
        <v>0</v>
      </c>
      <c r="BV145" s="496">
        <f>0</f>
        <v>0</v>
      </c>
      <c r="BW145" s="2353">
        <f>0</f>
        <v>0</v>
      </c>
      <c r="BX145" s="2353">
        <f>0</f>
        <v>0</v>
      </c>
      <c r="BY145" s="2353">
        <f>0</f>
        <v>0</v>
      </c>
      <c r="BZ145" s="2353">
        <f>0</f>
        <v>0</v>
      </c>
      <c r="CA145" s="496">
        <f>0</f>
        <v>0</v>
      </c>
      <c r="CB145" s="496">
        <f>0</f>
        <v>0</v>
      </c>
      <c r="CC145" s="496">
        <f>0</f>
        <v>0</v>
      </c>
      <c r="CD145" s="496">
        <f>0</f>
        <v>0</v>
      </c>
      <c r="CE145" s="496">
        <f>0</f>
        <v>0</v>
      </c>
      <c r="CF145" s="496">
        <f>0</f>
        <v>0</v>
      </c>
      <c r="CG145" s="496">
        <f>0</f>
        <v>0</v>
      </c>
      <c r="CH145" s="496">
        <f>0</f>
        <v>0</v>
      </c>
      <c r="CI145" s="496">
        <f>0</f>
        <v>0</v>
      </c>
      <c r="CJ145" s="496">
        <f>0</f>
        <v>0</v>
      </c>
      <c r="CK145" s="496">
        <f>0</f>
        <v>0</v>
      </c>
      <c r="CL145" s="496">
        <f>0</f>
        <v>0</v>
      </c>
      <c r="CM145" s="496">
        <f>0</f>
        <v>0</v>
      </c>
      <c r="CN145" s="496">
        <f>0</f>
        <v>0</v>
      </c>
      <c r="CO145" s="496">
        <f>0</f>
        <v>0</v>
      </c>
      <c r="CP145" s="496">
        <f>0</f>
        <v>0</v>
      </c>
      <c r="CQ145" s="496">
        <f>0</f>
        <v>0</v>
      </c>
      <c r="CR145" s="496">
        <f>0</f>
        <v>0</v>
      </c>
      <c r="CS145" s="496">
        <f>0</f>
        <v>0</v>
      </c>
      <c r="CT145" s="2480">
        <f>µ_OHO_T*X_OHO*η_OHO_NO2*M_satSVFA_KVFA_NO2*M_satSNO2_KNO2_OHO*M_inhSO2_KO2_OHO_NO2*M_inhSNO_KiNO_OHO_NO2*M_satSNHx_KNHx_BIO*M_satSPO4_KPO4_BIO*M_satSCAT_KCAT*M_satSAN_KAN*M_satSCa_KCa*M_satSMg_KMg*B_ellinhpH</f>
        <v>0.13855977529312047</v>
      </c>
      <c r="CV145" s="2502">
        <f>E266*E145+F266*F145+G266*G145+H266*H145+I266*I145+J266*J145+K266*K145+L266*L145+M266*M145+N266*N145+O266*O145+P266*P145+Q266*Q145+R266*R145+S266*S145+T266*T145+U266*U145+V266*V145+W266*W145+X266*X145+Y266*Y145+Z266*Z145+AA266*AA145+AB266*AB145+AC266*AC145+AD266*AD145+AE266*AE145+AF266*AF145+AG266*AG145+AH266*AH145+AI266*AI145+AJ266*AJ145+AK266*AK145+AL266*AL145+AM266*AM145+AN266*AN145+AO266*AO145+AP266*AP145+AQ266*AQ145+AR266*AR145+AS266*AS145+AT266*AT145+AU266*AU145+AV266*AV145+AW266*AW145+AX266*AX145+AY266*AY145+AZ266*AZ145+BA266*BA145+BB266*BB145+BC266*BC145+BD266*BD145+BE266*BE145+BF266*BF145+BG266*BG145+BH266*BH145+BI266*BI145+BJ266*BJ145+BK266*BK145+BL266*BL145+BM266*BM145+BN266*BN145+BO266*BO145+BP266*BP145+BQ266*BQ145+BR266*BR145+BS266*BS145+BT266*BT145+BU266*BU145+BV266*BV145+BW266*BW145+BX266*BX145+BY266*BY145+BZ266*BZ145+CA266*CA145+CB266*CB145+CC266*CC145+CD266*CD145+CE266*CE145+CF266*CF145+CG266*CG145+CH266*CH145+CI266*CI145+CJ266*CJ145+CK266*CK145+CL266*CL145+CM266*CM145+CN266*CN145+CO266*CO145+CP266*CP145+CQ266*CQ145+CR266*CR145+CS266*CS145</f>
        <v>-8.8817841970012523E-16</v>
      </c>
      <c r="CW145" s="2502">
        <f>E267*E145+F267*F145+G267*G145+H267*H145+I267*I145+J267*J145+K267*K145+L267*L145+M267*M145+N267*N145+O267*O145+P267*P145+Q267*Q145+R267*R145+S267*S145+T267*T145+U267*U145+V267*V145+W267*W145+X267*X145+Y267*Y145+Z267*Z145+AA267*AA145+AB267*AB145+AC267*AC145+AD267*AD145+AE267*AE145+AF267*AF145+AG267*AG145+AH267*AH145+AI267*AI145+AJ267*AJ145+AK267*AK145+AL267*AL145+AM267*AM145+AN267*AN145+AO267*AO145+AP267*AP145+AQ267*AQ145+AR267*AR145+AS267*AS145+AT267*AT145+AU267*AU145+AV267*AV145+AW267*AW145+AX267*AX145+AY267*AY145+AZ267*AZ145+BA267*BA145+BB267*BB145+BC267*BC145+BD267*BD145+BE267*BE145+BF267*BF145+BG267*BG145+BH267*BH145+BI267*BI145+BJ267*BJ145+BK267*BK145+BL267*BL145+BM267*BM145+BN267*BN145+BO267*BO145+BP267*BP145+BQ267*BQ145+BR267*BR145+BS267*BS145+BT267*BT145+BU267*BU145+BV267*BV145+BW267*BW145+BX267*BX145+BY267*BY145+BZ267*BZ145+CA267*CA145+CB267*CB145+CC267*CC145+CD267*CD145+CE267*CE145+CF267*CF145+CG267*CG145+CH267*CH145+CI267*CI145+CJ267*CJ145+CK267*CK145+CL267*CL145+CM267*CM145+CN267*CN145+CO267*CO145+CP267*CP145+CQ267*CQ145+CR267*CR145+CS267*CS145</f>
        <v>-1.1102230246251565E-16</v>
      </c>
      <c r="CX145" s="2503">
        <f>E268*E145+F268*F145+G268*G145+H268*H145+I268*I145+J268*J145+K268*K145+L268*L145+M268*M145+N268*N145+O268*O145+P268*P145+Q268*Q145+R268*R145+S268*S145+T268*T145+U268*U145+V268*V145+W268*W145+X268*X145+Y268*Y145+Z268*Z145+AA268*AA145+AB268*AB145+AC268*AC145+AD268*AD145+AE268*AE145+AF268*AF145+AG268*AG145+AH268*AH145+AI268*AI145+AJ268*AJ145+AK268*AK145+AL268*AL145+AM268*AM145+AN268*AN145+AO268*AO145+AP268*AP145+AQ268*AQ145+AR268*AR145+AS268*AS145+AT268*AT145+AU268*AU145+AV268*AV145+AW268*AW145+AX268*AX145+AY268*AY145+AZ268*AZ145+BA268*BA145+BB268*BB145+BC268*BC145+BD268*BD145+BE268*BE145+BF268*BF145+BG268*BG145+BH268*BH145+BI268*BI145+BJ268*BJ145+BK268*BK145+BL268*BL145+BM268*BM145+BN268*BN145+BO268*BO145+BP268*BP145+BQ268*BQ145+BR268*BR145+BS268*BS145+BT268*BT145+BU268*BU145+BV268*BV145+BW268*BW145+BX268*BX145+BY268*BY145+BZ268*BZ145+CA268*CA145+CB268*CB145+CC268*CC145+CD268*CD145+CE268*CE145+CF268*CF145+CG268*CG145+CH268*CH145+CI268*CI145+CJ268*CJ145+CK268*CK145+CL268*CL145+CM268*CM145+CN268*CN145+CO268*CO145+CP268*CP145+CQ268*CQ145+CR268*CR145+CS268*CS145</f>
        <v>0</v>
      </c>
      <c r="CY145" s="2504">
        <f>E269*E145+F269*F145+G269*G145+H269*H145+I269*I145+J269*J145+K269*K145+L269*L145+M269*M145+N269*N145+O269*O145+P269*P145+Q269*Q145+R269*R145+S269*S145+T269*T145+U269*U145+V269*V145+W269*W145+X269*X145+Y269*Y145+Z269*Z145+AA269*AA145+AB269*AB145+AC269*AC145+AD269*AD145+AE269*AE145+AF269*AF145+AG269*AG145+AH269*AH145+AI269*AI145+AJ269*AJ145+AK269*AK145+AL269*AL145+AM269*AM145+AN269*AN145+AO269*AO145+AP269*AP145+AQ269*AQ145+AR269*AR145+AS269*AS145+AT269*AT145+AU269*AU145+AV269*AV145+AW269*AW145+AX269*AX145+AY269*AY145+AZ269*AZ145+BA269*BA145+BB269*BB145+BC269*BC145+BD269*BD145+BE269*BE145+BF269*BF145+BG269*BG145+BH269*BH145+BI269*BI145+BJ269*BJ145+BK269*BK145+BL269*BL145+BM269*BM145+BN269*BN145+BO269*BO145+BP269*BP145+BQ269*BQ145+BR269*BR145+BS269*BS145+BT269*BT145+BU269*BU145+BV269*BV145+BW269*BW145+BX269*BX145+BY269*BY145+BZ269*BZ145+CA269*CA145+CB269*CB145+CC269*CC145+CD269*CD145+CE269*CE145+CF269*CF145+CG269*CG145+CH269*CH145+CI269*CI145+CJ269*CJ145+CK269*CK145+CL269*CL145+CM269*CM145+CN269*CN145+CO269*CO145+CP269*CP145+CQ269*CQ145+CR269*CR145+CS269*CS145</f>
        <v>0</v>
      </c>
      <c r="CZ145" s="2504">
        <f>E270*E145+F270*F145+G270*G145+H270*H145+I270*I145+J270*J145+K270*K145+L270*L145+M270*M145+N270*N145+O270*O145+P270*P145+Q270*Q145+R270*R145+S270*S145+T270*T145+U270*U145+V270*V145+W270*W145+X270*X145+Y270*Y145+Z270*Z145+AA270*AA145+AB270*AB145+AC270*AC145+AD270*AD145+AE270*AE145+AF270*AF145+AG270*AG145+AH270*AH145+AI270*AI145+AJ270*AJ145+AK270*AK145+AL270*AL145+AM270*AM145+AN270*AN145+AO270*AO145+AP270*AP145+AQ270*AQ145+AR270*AR145+AS270*AS145+AT270*AT145+AU270*AU145+AV270*AV145+AW270*AW145+AX270*AX145+AY270*AY145+AZ270*AZ145+BA270*BA145+BB270*BB145+BC270*BC145+BD270*BD145+BE270*BE145+BF270*BF145+BG270*BG145+BH270*BH145+BI270*BI145+BJ270*BJ145+BK270*BK145+BL270*BL145+BM270*BM145+BN270*BN145+BO270*BO145+BP270*BP145+BQ270*BQ145+BR270*BR145+BS270*BS145+BT270*BT145+BU270*BU145+BV270*BV145+BW270*BW145+BX270*BX145+BY270*BY145+BZ270*BZ145+CA270*CA145+CB270*CB145+CC270*CC145+CD270*CD145+CE270*CE145+CF270*CF145+CG270*CG145+CH270*CH145+CI270*CI145+CJ270*CJ145+CK270*CK145+CL270*CL145+CM270*CM145+CN270*CN145+CO270*CO145+CP270*CP145+CQ270*CQ145+CR270*CR145+CS270*CS145</f>
        <v>0</v>
      </c>
      <c r="DA145" s="2504">
        <f>E271*E145+F271*F145+G271*G145+H271*H145+I271*I145+J271*J145+K271*K145+L271*L145+M271*M145+N271*N145+O271*O145+P271*P145+Q271*Q145+R271*R145+S271*S145+T271*T145+U271*U145+V271*V145+W271*W145+X271*X145+Y271*Y145+Z271*Z145+AA271*AA145+AB271*AB145+AC271*AC145+AD271*AD145+AE271*AE145+AF271*AF145+AG271*AG145+AH271*AH145+AI271*AI145+AJ271*AJ145+AK271*AK145+AL271*AL145+AM271*AM145+AN271*AN145+AO271*AO145+AP271*AP145+AQ271*AQ145+AR271*AR145+AS271*AS145+AT271*AT145+AU271*AU145+AV271*AV145+AW271*AW145+AX271*AX145+AY271*AY145+AZ271*AZ145+BA271*BA145+BB271*BB145+BC271*BC145+BD271*BD145+BE271*BE145+BF271*BF145+BG271*BG145+BH271*BH145+BI271*BI145+BJ271*BJ145+BK271*BK145+BL271*BL145+BM271*BM145+BN271*BN145+BO271*BO145+BP271*BP145+BQ271*BQ145+BR271*BR145+BS271*BS145+BT271*BT145+BU271*BU145+BV271*BV145+BW271*BW145+BX271*BX145+BY271*BY145+BZ271*BZ145+CA271*CA145+CB271*CB145+CC271*CC145+CD271*CD145+CE271*CE145+CF271*CF145+CG271*CG145+CH271*CH145+CI271*CI145+CJ271*CJ145+CK271*CK145+CL271*CL145+CM271*CM145+CN271*CN145+CO271*CO145+CP271*CP145+CQ271*CQ145+CR271*CR145+CS271*CS145</f>
        <v>0</v>
      </c>
      <c r="DB145" s="2504">
        <f>E272*E145+F272*F145+G272*G145+H272*H145+I272*I145+J272*J145+K272*K145+L272*L145+M272*M145+N272*N145+O272*O145+P272*P145+Q272*Q145+R272*R145+S272*S145+T272*T145+U272*U145+V272*V145+W272*W145+X272*X145+Y272*Y145+Z272*Z145+AA272*AA145+AB272*AB145+AC272*AC145+AD272*AD145+AE272*AE145+AF272*AF145+AG272*AG145+AH272*AH145+AI272*AI145+AJ272*AJ145+AK272*AK145+AL272*AL145+AM272*AM145+AN272*AN145+AO272*AO145+AP272*AP145+AQ272*AQ145+AR272*AR145+AS272*AS145+AT272*AT145+AU272*AU145+AV272*AV145+AW272*AW145+AX272*AX145+AY272*AY145+AZ272*AZ145+BA272*BA145+BB272*BB145+BC272*BC145+BD272*BD145+BE272*BE145+BF272*BF145+BG272*BG145+BH272*BH145+BI272*BI145+BJ272*BJ145+BK272*BK145+BL272*BL145+BM272*BM145+BN272*BN145+BO272*BO145+BP272*BP145+BQ272*BQ145+BR272*BR145+BS272*BS145+BT272*BT145+BU272*BU145+BV272*BV145+BW272*BW145+BX272*BX145+BY272*BY145+BZ272*BZ145+CA272*CA145+CB272*CB145+CC272*CC145+CD272*CD145+CE272*CE145+CF272*CF145+CG272*CG145+CH272*CH145+CI272*CI145+CJ272*CJ145+CK272*CK145+CL272*CL145+CM272*CM145+CN272*CN145+CO272*CO145+CP272*CP145+CQ272*CQ145+CR272*CR145+CS272*CS145</f>
        <v>0</v>
      </c>
      <c r="DC145" s="2504">
        <f>E273*E145+F273*F145+G273*G145+H273*H145+I273*I145+J273*J145+K273*K145+L273*L145+M273*M145+N273*N145+O273*O145+P273*P145+Q273*Q145+R273*R145+S273*S145+T273*T145+U273*U145+V273*V145+W273*W145+X273*X145+Y273*Y145+Z273*Z145+AA273*AA145+AB273*AB145+AC273*AC145+AD273*AD145+AE273*AE145+AF273*AF145+AG273*AG145+AH273*AH145+AI273*AI145+AJ273*AJ145+AK273*AK145+AL273*AL145+AM273*AM145+AN273*AN145+AO273*AO145+AP273*AP145+AQ273*AQ145+AR273*AR145+AS273*AS145+AT273*AT145+AU273*AU145+AV273*AV145+AW273*AW145+AX273*AX145+AY273*AY145+AZ273*AZ145+BA273*BA145+BB273*BB145+BC273*BC145+BD273*BD145+BE273*BE145+BF273*BF145+BG273*BG145+BH273*BH145+BI273*BI145+BJ273*BJ145+BK273*BK145+BL273*BL145+BM273*BM145+BN273*BN145+BO273*BO145+BP273*BP145+BQ273*BQ145+BR273*BR145+BS273*BS145+BT273*BT145+BU273*BU145+BV273*BV145+BW273*BW145+BX273*BX145+BY273*BY145+BZ273*BZ145+CA273*CA145+CB273*CB145+CC273*CC145+CD273*CD145+CE273*CE145+CF273*CF145+CG273*CG145+CH273*CH145+CI273*CI145+CJ273*CJ145+CK273*CK145+CL273*CL145+CM273*CM145+CN273*CN145+CO273*CO145+CP273*CP145+CQ273*CQ145+CR273*CR145+CS273*CS145</f>
        <v>0</v>
      </c>
      <c r="DD145" s="2504">
        <f>E274*E145+F274*F145+G274*G145+H274*H145+I274*I145+J274*J145+K274*K145+L274*L145+M274*M145+N274*N145+O274*O145+P274*P145+Q274*Q145+R274*R145+S274*S145+T274*T145+U274*U145+V274*V145+W274*W145+X274*X145+Y274*Y145+Z274*Z145+AA274*AA145+AB274*AB145+AC274*AC145+AD274*AD145+AE274*AE145+AF274*AF145+AG274*AG145+AH274*AH145+AI274*AI145+AJ274*AJ145+AK274*AK145+AL274*AL145+AM274*AM145+AN274*AN145+AO274*AO145+AP274*AP145+AQ274*AQ145+AR274*AR145+AS274*AS145+AT274*AT145+AU274*AU145+AV274*AV145+AW274*AW145+AX274*AX145+AY274*AY145+AZ274*AZ145+BA274*BA145+BB274*BB145+BC274*BC145+BD274*BD145+BE274*BE145+BF274*BF145+BG274*BG145+BH274*BH145+BI274*BI145+BJ274*BJ145+BK274*BK145+BL274*BL145+BM274*BM145+BN274*BN145+BO274*BO145+BP274*BP145+BQ274*BQ145+BR274*BR145+BS274*BS145+BT274*BT145+BU274*BU145+BV274*BV145+BW274*BW145+BX274*BX145+BY274*BY145+BZ274*BZ145+CA274*CA145+CB274*CB145+CC274*CC145+CD274*CD145+CE274*CE145+CF274*CF145+CG274*CG145+CH274*CH145+CI274*CI145+CJ274*CJ145+CK274*CK145+CL274*CL145+CM274*CM145+CN274*CN145+CO274*CO145+CP274*CP145+CQ274*CQ145+CR274*CR145+CS274*CS145</f>
        <v>0</v>
      </c>
      <c r="DE145" s="2504">
        <f>E275*E145+F275*F145+G275*G145+H275*H145+I275*I145+J275*J145+K275*K145+L275*L145+M275*M145+N275*N145+O275*O145+P275*P145+Q275*Q145+R275*R145+S275*S145+T275*T145+U275*U145+V275*V145+W275*W145+X275*X145+Y275*Y145+Z275*Z145+AA275*AA145+AB275*AB145+AC275*AC145+AD275*AD145+AE275*AE145+AF275*AF145+AG275*AG145+AH275*AH145+AI275*AI145+AJ275*AJ145+AK275*AK145+AL275*AL145+AM275*AM145+AN275*AN145+AO275*AO145+AP275*AP145+AQ275*AQ145+AR275*AR145+AS275*AS145+AT275*AT145+AU275*AU145+AV275*AV145+AW275*AW145+AX275*AX145+AY275*AY145+AZ275*AZ145+BA275*BA145+BB275*BB145+BC275*BC145+BD275*BD145+BE275*BE145+BF275*BF145+BG275*BG145+BH275*BH145+BI275*BI145+BJ275*BJ145+BK275*BK145+BL275*BL145+BM275*BM145+BN275*BN145+BO275*BO145+BP275*BP145+BQ275*BQ145+BR275*BR145+BS275*BS145+BT275*BT145+BU275*BU145+BV275*BV145+BW275*BW145+BX275*BX145+BY275*BY145+BZ275*BZ145+CA275*CA145+CB275*CB145+CC275*CC145+CD275*CD145+CE275*CE145+CF275*CF145+CG275*CG145+CH275*CH145+CI275*CI145+CJ275*CJ145+CK275*CK145+CL275*CL145+CM275*CM145+CN275*CN145+CO275*CO145+CP275*CP145+CQ275*CQ145+CR275*CR145+CS275*CS145</f>
        <v>0</v>
      </c>
      <c r="DF145" s="2504">
        <f>E276*E145+F276*F145+G276*G145+H276*H145+I276*I145+J276*J145+K276*K145+L276*L145+M276*M145+N276*N145+O276*O145+P276*P145+Q276*Q145+R276*R145+S276*S145+T276*T145+U276*U145+V276*V145+W276*W145+X276*X145+Y276*Y145+Z276*Z145+AA276*AA145+AB276*AB145+AC276*AC145+AD276*AD145+AE276*AE145+AF276*AF145+AG276*AG145+AH276*AH145+AI276*AI145+AJ276*AJ145+AK276*AK145+AL276*AL145+AM276*AM145+AN276*AN145+AO276*AO145+AP276*AP145+AQ276*AQ145+AR276*AR145+AS276*AS145+AT276*AT145+AU276*AU145+AV276*AV145+AW276*AW145+AX276*AX145+AY276*AY145+AZ276*AZ145+BA276*BA145+BB276*BB145+BC276*BC145+BD276*BD145+BE276*BE145+BF276*BF145+BG276*BG145+BH276*BH145+BI276*BI145+BJ276*BJ145+BK276*BK145+BL276*BL145+BM276*BM145+BN276*BN145+BO276*BO145+BP276*BP145+BQ276*BQ145+BR276*BR145+BS276*BS145+BT276*BT145+BU276*BU145+BV276*BV145+BW276*BW145+BX276*BX145+BY276*BY145+BZ276*BZ145+CA276*CA145+CB276*CB145+CC276*CC145+CD276*CD145+CE276*CE145+CF276*CF145+CG276*CG145+CH276*CH145+CI276*CI145+CJ276*CJ145+CK276*CK145+CL276*CL145+CM276*CM145+CN276*CN145+CO276*CO145+CP276*CP145+CQ276*CQ145+CR276*CR145+CS276*CS145</f>
        <v>0</v>
      </c>
    </row>
    <row r="146" spans="2:110" x14ac:dyDescent="0.25">
      <c r="B146" s="362">
        <v>4</v>
      </c>
      <c r="C146" s="363" t="s">
        <v>227</v>
      </c>
      <c r="D146" s="523" t="s">
        <v>3724</v>
      </c>
      <c r="E146" s="496">
        <f>-1/Y_OHO_VFA_anox</f>
        <v>-2.2222222222222223</v>
      </c>
      <c r="F146" s="496">
        <f>0</f>
        <v>0</v>
      </c>
      <c r="G146" s="497">
        <f>0</f>
        <v>0</v>
      </c>
      <c r="H146" s="497">
        <f>0</f>
        <v>0</v>
      </c>
      <c r="I146" s="497">
        <f>0</f>
        <v>0</v>
      </c>
      <c r="J146" s="497">
        <f>0</f>
        <v>0</v>
      </c>
      <c r="K146" s="497">
        <f>0</f>
        <v>0</v>
      </c>
      <c r="L146" s="497">
        <f>0</f>
        <v>0</v>
      </c>
      <c r="M146" s="497">
        <f>0</f>
        <v>0</v>
      </c>
      <c r="N146" s="497">
        <f>0</f>
        <v>0</v>
      </c>
      <c r="O146" s="497">
        <f>0</f>
        <v>0</v>
      </c>
      <c r="P146" s="497">
        <f>0</f>
        <v>0</v>
      </c>
      <c r="Q146" s="497">
        <f>0</f>
        <v>0</v>
      </c>
      <c r="R146" s="497">
        <f>1</f>
        <v>1</v>
      </c>
      <c r="S146" s="497">
        <f>0</f>
        <v>0</v>
      </c>
      <c r="T146" s="497">
        <f>0</f>
        <v>0</v>
      </c>
      <c r="U146" s="497">
        <f>0</f>
        <v>0</v>
      </c>
      <c r="V146" s="497">
        <f>0</f>
        <v>0</v>
      </c>
      <c r="W146" s="497">
        <f>0</f>
        <v>0</v>
      </c>
      <c r="X146" s="497">
        <f>0</f>
        <v>0</v>
      </c>
      <c r="Y146" s="497">
        <f>0</f>
        <v>0</v>
      </c>
      <c r="Z146" s="497">
        <f>0</f>
        <v>0</v>
      </c>
      <c r="AA146" s="496">
        <f t="shared" si="0"/>
        <v>-7.0000000000000007E-2</v>
      </c>
      <c r="AB146" s="496">
        <f>0</f>
        <v>0</v>
      </c>
      <c r="AC146" s="496">
        <f>0</f>
        <v>0</v>
      </c>
      <c r="AD146" s="496">
        <f>0</f>
        <v>0</v>
      </c>
      <c r="AE146" s="496">
        <f>0</f>
        <v>0</v>
      </c>
      <c r="AF146" s="496">
        <f>-(1-Y_OHO_VFA_anox)/(E_EQN2O_NO*Y_OHO_VFA_anox)</f>
        <v>-2.1399927497281155</v>
      </c>
      <c r="AG146" s="496">
        <f>(1-Y_OHO_VFA_anox)/(E_EQN2O_NO*Y_OHO_VFA_anox)</f>
        <v>2.1399927497281155</v>
      </c>
      <c r="AH146" s="496">
        <f>0</f>
        <v>0</v>
      </c>
      <c r="AI146" s="497">
        <f>0</f>
        <v>0</v>
      </c>
      <c r="AJ146" s="497">
        <f>0</f>
        <v>0</v>
      </c>
      <c r="AK146" s="497">
        <f>0</f>
        <v>0</v>
      </c>
      <c r="AL146" s="497">
        <f>0</f>
        <v>0</v>
      </c>
      <c r="AM146" s="496">
        <f t="shared" si="1"/>
        <v>-0.02</v>
      </c>
      <c r="AN146" s="497">
        <f>0</f>
        <v>0</v>
      </c>
      <c r="AO146" s="497">
        <f>0</f>
        <v>0</v>
      </c>
      <c r="AP146" s="497">
        <f>0</f>
        <v>0</v>
      </c>
      <c r="AQ146" s="497">
        <f>0</f>
        <v>0</v>
      </c>
      <c r="AR146" s="497">
        <f>0</f>
        <v>0</v>
      </c>
      <c r="AS146" s="496">
        <f>0</f>
        <v>0</v>
      </c>
      <c r="AT146" s="496">
        <f>0</f>
        <v>0</v>
      </c>
      <c r="AU146" s="496">
        <f>0</f>
        <v>0</v>
      </c>
      <c r="AV146" s="496">
        <f>i_CIT_VFA/Y_OHO_VFA_anox-i_CIT_BIO</f>
        <v>0.48133333333333328</v>
      </c>
      <c r="AW146" s="496">
        <f t="shared" si="2"/>
        <v>0.11</v>
      </c>
      <c r="AX146" s="496">
        <f t="shared" si="3"/>
        <v>-2.8804303582798466E-2</v>
      </c>
      <c r="AY146" s="496">
        <f t="shared" si="4"/>
        <v>-7.0195696417201539E-2</v>
      </c>
      <c r="AZ146" s="496">
        <f t="shared" si="5"/>
        <v>-5.5000000000000005E-3</v>
      </c>
      <c r="BA146" s="496">
        <f t="shared" si="6"/>
        <v>-5.5000000000000005E-3</v>
      </c>
      <c r="BB146" s="496">
        <f>0</f>
        <v>0</v>
      </c>
      <c r="BC146" s="496">
        <f>0</f>
        <v>0</v>
      </c>
      <c r="BD146" s="496">
        <f>0</f>
        <v>0</v>
      </c>
      <c r="BE146" s="496">
        <f>0</f>
        <v>0</v>
      </c>
      <c r="BF146" s="496">
        <f>0</f>
        <v>0</v>
      </c>
      <c r="BG146" s="496">
        <f>0</f>
        <v>0</v>
      </c>
      <c r="BH146" s="496">
        <f>0</f>
        <v>0</v>
      </c>
      <c r="BI146" s="496">
        <f>0</f>
        <v>0</v>
      </c>
      <c r="BJ146" s="496">
        <f>0</f>
        <v>0</v>
      </c>
      <c r="BK146" s="496">
        <f>0</f>
        <v>0</v>
      </c>
      <c r="BL146" s="496">
        <f>0</f>
        <v>0</v>
      </c>
      <c r="BM146" s="496">
        <f>0</f>
        <v>0</v>
      </c>
      <c r="BN146" s="496">
        <f>0</f>
        <v>0</v>
      </c>
      <c r="BO146" s="496">
        <f>0</f>
        <v>0</v>
      </c>
      <c r="BP146" s="496">
        <f>0</f>
        <v>0</v>
      </c>
      <c r="BQ146" s="496">
        <f>0</f>
        <v>0</v>
      </c>
      <c r="BR146" s="496">
        <f>0</f>
        <v>0</v>
      </c>
      <c r="BS146" s="496">
        <f>0</f>
        <v>0</v>
      </c>
      <c r="BT146" s="496">
        <f>0</f>
        <v>0</v>
      </c>
      <c r="BU146" s="496">
        <f>0</f>
        <v>0</v>
      </c>
      <c r="BV146" s="496">
        <f>0</f>
        <v>0</v>
      </c>
      <c r="BW146" s="2353">
        <f>0</f>
        <v>0</v>
      </c>
      <c r="BX146" s="2353">
        <f>0</f>
        <v>0</v>
      </c>
      <c r="BY146" s="2353">
        <f>0</f>
        <v>0</v>
      </c>
      <c r="BZ146" s="2353">
        <f>0</f>
        <v>0</v>
      </c>
      <c r="CA146" s="496">
        <f>0</f>
        <v>0</v>
      </c>
      <c r="CB146" s="496">
        <f>0</f>
        <v>0</v>
      </c>
      <c r="CC146" s="496">
        <f>0</f>
        <v>0</v>
      </c>
      <c r="CD146" s="496">
        <f>0</f>
        <v>0</v>
      </c>
      <c r="CE146" s="496">
        <f>0</f>
        <v>0</v>
      </c>
      <c r="CF146" s="496">
        <f>0</f>
        <v>0</v>
      </c>
      <c r="CG146" s="496">
        <f>0</f>
        <v>0</v>
      </c>
      <c r="CH146" s="496">
        <f>0</f>
        <v>0</v>
      </c>
      <c r="CI146" s="496">
        <f>0</f>
        <v>0</v>
      </c>
      <c r="CJ146" s="496">
        <f>0</f>
        <v>0</v>
      </c>
      <c r="CK146" s="496">
        <f>0</f>
        <v>0</v>
      </c>
      <c r="CL146" s="496">
        <f>0</f>
        <v>0</v>
      </c>
      <c r="CM146" s="496">
        <f>0</f>
        <v>0</v>
      </c>
      <c r="CN146" s="496">
        <f>0</f>
        <v>0</v>
      </c>
      <c r="CO146" s="496">
        <f>0</f>
        <v>0</v>
      </c>
      <c r="CP146" s="496">
        <f>0</f>
        <v>0</v>
      </c>
      <c r="CQ146" s="496">
        <f>0</f>
        <v>0</v>
      </c>
      <c r="CR146" s="496">
        <f>0</f>
        <v>0</v>
      </c>
      <c r="CS146" s="496">
        <f>0</f>
        <v>0</v>
      </c>
      <c r="CT146" s="2480">
        <f>µ_OHO_T*X_OHO*η_OHO_NO*M_satSVFA_KVFA_NO*H_satSNO_KNO_OHO*M_inhSO2_KO2_OHO_NO*M_satSNHx_KNHx_BIO*M_satSPO4_KPO4_BIO*M_satSCAT_KCAT*M_satSAN_KAN*M_satSCa_KCa*M_satSMg_KMg*B_ellinhpH</f>
        <v>0.26514125225482638</v>
      </c>
      <c r="CV146" s="2502">
        <f>E266*E146+F266*F146+G266*G146+H266*H146+I266*I146+J266*J146+K266*K146+L266*L146+M266*M146+N266*N146+O266*O146+P266*P146+Q266*Q146+R266*R146+S266*S146+T266*T146+U266*U146+V266*V146+W266*W146+X266*X146+Y266*Y146+Z266*Z146+AA266*AA146+AB266*AB146+AC266*AC146+AD266*AD146+AE266*AE146+AF266*AF146+AG266*AG146+AH266*AH146+AI266*AI146+AJ266*AJ146+AK266*AK146+AL266*AL146+AM266*AM146+AN266*AN146+AO266*AO146+AP266*AP146+AQ266*AQ146+AR266*AR146+AS266*AS146+AT266*AT146+AU266*AU146+AV266*AV146+AW266*AW146+AX266*AX146+AY266*AY146+AZ266*AZ146+BA266*BA146+BB266*BB146+BC266*BC146+BD266*BD146+BE266*BE146+BF266*BF146+BG266*BG146+BH266*BH146+BI266*BI146+BJ266*BJ146+BK266*BK146+BL266*BL146+BM266*BM146+BN266*BN146+BO266*BO146+BP266*BP146+BQ266*BQ146+BR266*BR146+BS266*BS146+BT266*BT146+BU266*BU146+BV266*BV146+BW266*BW146+BX266*BX146+BY266*BY146+BZ266*BZ146+CA266*CA146+CB266*CB146+CC266*CC146+CD266*CD146+CE266*CE146+CF266*CF146+CG266*CG146+CH266*CH146+CI266*CI146+CJ266*CJ146+CK266*CK146+CL266*CL146+CM266*CM146+CN266*CN146+CO266*CO146+CP266*CP146+CQ266*CQ146+CR266*CR146+CS266*CS146</f>
        <v>8.8817841970012523E-16</v>
      </c>
      <c r="CW146" s="2502">
        <f>E267*E146+F267*F146+G267*G146+H267*H146+I267*I146+J267*J146+K267*K146+L267*L146+M267*M146+N267*N146+O267*O146+P267*P146+Q267*Q146+R267*R146+S267*S146+T267*T146+U267*U146+V267*V146+W267*W146+X267*X146+Y267*Y146+Z267*Z146+AA267*AA146+AB267*AB146+AC267*AC146+AD267*AD146+AE267*AE146+AF267*AF146+AG267*AG146+AH267*AH146+AI267*AI146+AJ267*AJ146+AK267*AK146+AL267*AL146+AM267*AM146+AN267*AN146+AO267*AO146+AP267*AP146+AQ267*AQ146+AR267*AR146+AS267*AS146+AT267*AT146+AU267*AU146+AV267*AV146+AW267*AW146+AX267*AX146+AY267*AY146+AZ267*AZ146+BA267*BA146+BB267*BB146+BC267*BC146+BD267*BD146+BE267*BE146+BF267*BF146+BG267*BG146+BH267*BH146+BI267*BI146+BJ267*BJ146+BK267*BK146+BL267*BL146+BM267*BM146+BN267*BN146+BO267*BO146+BP267*BP146+BQ267*BQ146+BR267*BR146+BS267*BS146+BT267*BT146+BU267*BU146+BV267*BV146+BW267*BW146+BX267*BX146+BY267*BY146+BZ267*BZ146+CA267*CA146+CB267*CB146+CC267*CC146+CD267*CD146+CE267*CE146+CF267*CF146+CG267*CG146+CH267*CH146+CI267*CI146+CJ267*CJ146+CK267*CK146+CL267*CL146+CM267*CM146+CN267*CN146+CO267*CO146+CP267*CP146+CQ267*CQ146+CR267*CR146+CS267*CS146</f>
        <v>-1.1102230246251565E-16</v>
      </c>
      <c r="CX146" s="2503">
        <f>E268*E146+F268*F146+G268*G146+H268*H146+I268*I146+J268*J146+K268*K146+L268*L146+M268*M146+N268*N146+O268*O146+P268*P146+Q268*Q146+R268*R146+S268*S146+T268*T146+U268*U146+V268*V146+W268*W146+X268*X146+Y268*Y146+Z268*Z146+AA268*AA146+AB268*AB146+AC268*AC146+AD268*AD146+AE268*AE146+AF268*AF146+AG268*AG146+AH268*AH146+AI268*AI146+AJ268*AJ146+AK268*AK146+AL268*AL146+AM268*AM146+AN268*AN146+AO268*AO146+AP268*AP146+AQ268*AQ146+AR268*AR146+AS268*AS146+AT268*AT146+AU268*AU146+AV268*AV146+AW268*AW146+AX268*AX146+AY268*AY146+AZ268*AZ146+BA268*BA146+BB268*BB146+BC268*BC146+BD268*BD146+BE268*BE146+BF268*BF146+BG268*BG146+BH268*BH146+BI268*BI146+BJ268*BJ146+BK268*BK146+BL268*BL146+BM268*BM146+BN268*BN146+BO268*BO146+BP268*BP146+BQ268*BQ146+BR268*BR146+BS268*BS146+BT268*BT146+BU268*BU146+BV268*BV146+BW268*BW146+BX268*BX146+BY268*BY146+BZ268*BZ146+CA268*CA146+CB268*CB146+CC268*CC146+CD268*CD146+CE268*CE146+CF268*CF146+CG268*CG146+CH268*CH146+CI268*CI146+CJ268*CJ146+CK268*CK146+CL268*CL146+CM268*CM146+CN268*CN146+CO268*CO146+CP268*CP146+CQ268*CQ146+CR268*CR146+CS268*CS146</f>
        <v>0</v>
      </c>
      <c r="CY146" s="2504">
        <f>E269*E146+F269*F146+G269*G146+H269*H146+I269*I146+J269*J146+K269*K146+L269*L146+M269*M146+N269*N146+O269*O146+P269*P146+Q269*Q146+R269*R146+S269*S146+T269*T146+U269*U146+V269*V146+W269*W146+X269*X146+Y269*Y146+Z269*Z146+AA269*AA146+AB269*AB146+AC269*AC146+AD269*AD146+AE269*AE146+AF269*AF146+AG269*AG146+AH269*AH146+AI269*AI146+AJ269*AJ146+AK269*AK146+AL269*AL146+AM269*AM146+AN269*AN146+AO269*AO146+AP269*AP146+AQ269*AQ146+AR269*AR146+AS269*AS146+AT269*AT146+AU269*AU146+AV269*AV146+AW269*AW146+AX269*AX146+AY269*AY146+AZ269*AZ146+BA269*BA146+BB269*BB146+BC269*BC146+BD269*BD146+BE269*BE146+BF269*BF146+BG269*BG146+BH269*BH146+BI269*BI146+BJ269*BJ146+BK269*BK146+BL269*BL146+BM269*BM146+BN269*BN146+BO269*BO146+BP269*BP146+BQ269*BQ146+BR269*BR146+BS269*BS146+BT269*BT146+BU269*BU146+BV269*BV146+BW269*BW146+BX269*BX146+BY269*BY146+BZ269*BZ146+CA269*CA146+CB269*CB146+CC269*CC146+CD269*CD146+CE269*CE146+CF269*CF146+CG269*CG146+CH269*CH146+CI269*CI146+CJ269*CJ146+CK269*CK146+CL269*CL146+CM269*CM146+CN269*CN146+CO269*CO146+CP269*CP146+CQ269*CQ146+CR269*CR146+CS269*CS146</f>
        <v>0</v>
      </c>
      <c r="CZ146" s="2504">
        <f>E270*E146+F270*F146+G270*G146+H270*H146+I270*I146+J270*J146+K270*K146+L270*L146+M270*M146+N270*N146+O270*O146+P270*P146+Q270*Q146+R270*R146+S270*S146+T270*T146+U270*U146+V270*V146+W270*W146+X270*X146+Y270*Y146+Z270*Z146+AA270*AA146+AB270*AB146+AC270*AC146+AD270*AD146+AE270*AE146+AF270*AF146+AG270*AG146+AH270*AH146+AI270*AI146+AJ270*AJ146+AK270*AK146+AL270*AL146+AM270*AM146+AN270*AN146+AO270*AO146+AP270*AP146+AQ270*AQ146+AR270*AR146+AS270*AS146+AT270*AT146+AU270*AU146+AV270*AV146+AW270*AW146+AX270*AX146+AY270*AY146+AZ270*AZ146+BA270*BA146+BB270*BB146+BC270*BC146+BD270*BD146+BE270*BE146+BF270*BF146+BG270*BG146+BH270*BH146+BI270*BI146+BJ270*BJ146+BK270*BK146+BL270*BL146+BM270*BM146+BN270*BN146+BO270*BO146+BP270*BP146+BQ270*BQ146+BR270*BR146+BS270*BS146+BT270*BT146+BU270*BU146+BV270*BV146+BW270*BW146+BX270*BX146+BY270*BY146+BZ270*BZ146+CA270*CA146+CB270*CB146+CC270*CC146+CD270*CD146+CE270*CE146+CF270*CF146+CG270*CG146+CH270*CH146+CI270*CI146+CJ270*CJ146+CK270*CK146+CL270*CL146+CM270*CM146+CN270*CN146+CO270*CO146+CP270*CP146+CQ270*CQ146+CR270*CR146+CS270*CS146</f>
        <v>0</v>
      </c>
      <c r="DA146" s="2504">
        <f>E271*E146+F271*F146+G271*G146+H271*H146+I271*I146+J271*J146+K271*K146+L271*L146+M271*M146+N271*N146+O271*O146+P271*P146+Q271*Q146+R271*R146+S271*S146+T271*T146+U271*U146+V271*V146+W271*W146+X271*X146+Y271*Y146+Z271*Z146+AA271*AA146+AB271*AB146+AC271*AC146+AD271*AD146+AE271*AE146+AF271*AF146+AG271*AG146+AH271*AH146+AI271*AI146+AJ271*AJ146+AK271*AK146+AL271*AL146+AM271*AM146+AN271*AN146+AO271*AO146+AP271*AP146+AQ271*AQ146+AR271*AR146+AS271*AS146+AT271*AT146+AU271*AU146+AV271*AV146+AW271*AW146+AX271*AX146+AY271*AY146+AZ271*AZ146+BA271*BA146+BB271*BB146+BC271*BC146+BD271*BD146+BE271*BE146+BF271*BF146+BG271*BG146+BH271*BH146+BI271*BI146+BJ271*BJ146+BK271*BK146+BL271*BL146+BM271*BM146+BN271*BN146+BO271*BO146+BP271*BP146+BQ271*BQ146+BR271*BR146+BS271*BS146+BT271*BT146+BU271*BU146+BV271*BV146+BW271*BW146+BX271*BX146+BY271*BY146+BZ271*BZ146+CA271*CA146+CB271*CB146+CC271*CC146+CD271*CD146+CE271*CE146+CF271*CF146+CG271*CG146+CH271*CH146+CI271*CI146+CJ271*CJ146+CK271*CK146+CL271*CL146+CM271*CM146+CN271*CN146+CO271*CO146+CP271*CP146+CQ271*CQ146+CR271*CR146+CS271*CS146</f>
        <v>0</v>
      </c>
      <c r="DB146" s="2504">
        <f>E272*E146+F272*F146+G272*G146+H272*H146+I272*I146+J272*J146+K272*K146+L272*L146+M272*M146+N272*N146+O272*O146+P272*P146+Q272*Q146+R272*R146+S272*S146+T272*T146+U272*U146+V272*V146+W272*W146+X272*X146+Y272*Y146+Z272*Z146+AA272*AA146+AB272*AB146+AC272*AC146+AD272*AD146+AE272*AE146+AF272*AF146+AG272*AG146+AH272*AH146+AI272*AI146+AJ272*AJ146+AK272*AK146+AL272*AL146+AM272*AM146+AN272*AN146+AO272*AO146+AP272*AP146+AQ272*AQ146+AR272*AR146+AS272*AS146+AT272*AT146+AU272*AU146+AV272*AV146+AW272*AW146+AX272*AX146+AY272*AY146+AZ272*AZ146+BA272*BA146+BB272*BB146+BC272*BC146+BD272*BD146+BE272*BE146+BF272*BF146+BG272*BG146+BH272*BH146+BI272*BI146+BJ272*BJ146+BK272*BK146+BL272*BL146+BM272*BM146+BN272*BN146+BO272*BO146+BP272*BP146+BQ272*BQ146+BR272*BR146+BS272*BS146+BT272*BT146+BU272*BU146+BV272*BV146+BW272*BW146+BX272*BX146+BY272*BY146+BZ272*BZ146+CA272*CA146+CB272*CB146+CC272*CC146+CD272*CD146+CE272*CE146+CF272*CF146+CG272*CG146+CH272*CH146+CI272*CI146+CJ272*CJ146+CK272*CK146+CL272*CL146+CM272*CM146+CN272*CN146+CO272*CO146+CP272*CP146+CQ272*CQ146+CR272*CR146+CS272*CS146</f>
        <v>0</v>
      </c>
      <c r="DC146" s="2504">
        <f>E273*E146+F273*F146+G273*G146+H273*H146+I273*I146+J273*J146+K273*K146+L273*L146+M273*M146+N273*N146+O273*O146+P273*P146+Q273*Q146+R273*R146+S273*S146+T273*T146+U273*U146+V273*V146+W273*W146+X273*X146+Y273*Y146+Z273*Z146+AA273*AA146+AB273*AB146+AC273*AC146+AD273*AD146+AE273*AE146+AF273*AF146+AG273*AG146+AH273*AH146+AI273*AI146+AJ273*AJ146+AK273*AK146+AL273*AL146+AM273*AM146+AN273*AN146+AO273*AO146+AP273*AP146+AQ273*AQ146+AR273*AR146+AS273*AS146+AT273*AT146+AU273*AU146+AV273*AV146+AW273*AW146+AX273*AX146+AY273*AY146+AZ273*AZ146+BA273*BA146+BB273*BB146+BC273*BC146+BD273*BD146+BE273*BE146+BF273*BF146+BG273*BG146+BH273*BH146+BI273*BI146+BJ273*BJ146+BK273*BK146+BL273*BL146+BM273*BM146+BN273*BN146+BO273*BO146+BP273*BP146+BQ273*BQ146+BR273*BR146+BS273*BS146+BT273*BT146+BU273*BU146+BV273*BV146+BW273*BW146+BX273*BX146+BY273*BY146+BZ273*BZ146+CA273*CA146+CB273*CB146+CC273*CC146+CD273*CD146+CE273*CE146+CF273*CF146+CG273*CG146+CH273*CH146+CI273*CI146+CJ273*CJ146+CK273*CK146+CL273*CL146+CM273*CM146+CN273*CN146+CO273*CO146+CP273*CP146+CQ273*CQ146+CR273*CR146+CS273*CS146</f>
        <v>0</v>
      </c>
      <c r="DD146" s="2504">
        <f>E274*E146+F274*F146+G274*G146+H274*H146+I274*I146+J274*J146+K274*K146+L274*L146+M274*M146+N274*N146+O274*O146+P274*P146+Q274*Q146+R274*R146+S274*S146+T274*T146+U274*U146+V274*V146+W274*W146+X274*X146+Y274*Y146+Z274*Z146+AA274*AA146+AB274*AB146+AC274*AC146+AD274*AD146+AE274*AE146+AF274*AF146+AG274*AG146+AH274*AH146+AI274*AI146+AJ274*AJ146+AK274*AK146+AL274*AL146+AM274*AM146+AN274*AN146+AO274*AO146+AP274*AP146+AQ274*AQ146+AR274*AR146+AS274*AS146+AT274*AT146+AU274*AU146+AV274*AV146+AW274*AW146+AX274*AX146+AY274*AY146+AZ274*AZ146+BA274*BA146+BB274*BB146+BC274*BC146+BD274*BD146+BE274*BE146+BF274*BF146+BG274*BG146+BH274*BH146+BI274*BI146+BJ274*BJ146+BK274*BK146+BL274*BL146+BM274*BM146+BN274*BN146+BO274*BO146+BP274*BP146+BQ274*BQ146+BR274*BR146+BS274*BS146+BT274*BT146+BU274*BU146+BV274*BV146+BW274*BW146+BX274*BX146+BY274*BY146+BZ274*BZ146+CA274*CA146+CB274*CB146+CC274*CC146+CD274*CD146+CE274*CE146+CF274*CF146+CG274*CG146+CH274*CH146+CI274*CI146+CJ274*CJ146+CK274*CK146+CL274*CL146+CM274*CM146+CN274*CN146+CO274*CO146+CP274*CP146+CQ274*CQ146+CR274*CR146+CS274*CS146</f>
        <v>0</v>
      </c>
      <c r="DE146" s="2504">
        <f>E275*E146+F275*F146+G275*G146+H275*H146+I275*I146+J275*J146+K275*K146+L275*L146+M275*M146+N275*N146+O275*O146+P275*P146+Q275*Q146+R275*R146+S275*S146+T275*T146+U275*U146+V275*V146+W275*W146+X275*X146+Y275*Y146+Z275*Z146+AA275*AA146+AB275*AB146+AC275*AC146+AD275*AD146+AE275*AE146+AF275*AF146+AG275*AG146+AH275*AH146+AI275*AI146+AJ275*AJ146+AK275*AK146+AL275*AL146+AM275*AM146+AN275*AN146+AO275*AO146+AP275*AP146+AQ275*AQ146+AR275*AR146+AS275*AS146+AT275*AT146+AU275*AU146+AV275*AV146+AW275*AW146+AX275*AX146+AY275*AY146+AZ275*AZ146+BA275*BA146+BB275*BB146+BC275*BC146+BD275*BD146+BE275*BE146+BF275*BF146+BG275*BG146+BH275*BH146+BI275*BI146+BJ275*BJ146+BK275*BK146+BL275*BL146+BM275*BM146+BN275*BN146+BO275*BO146+BP275*BP146+BQ275*BQ146+BR275*BR146+BS275*BS146+BT275*BT146+BU275*BU146+BV275*BV146+BW275*BW146+BX275*BX146+BY275*BY146+BZ275*BZ146+CA275*CA146+CB275*CB146+CC275*CC146+CD275*CD146+CE275*CE146+CF275*CF146+CG275*CG146+CH275*CH146+CI275*CI146+CJ275*CJ146+CK275*CK146+CL275*CL146+CM275*CM146+CN275*CN146+CO275*CO146+CP275*CP146+CQ275*CQ146+CR275*CR146+CS275*CS146</f>
        <v>0</v>
      </c>
      <c r="DF146" s="2504">
        <f>E276*E146+F276*F146+G276*G146+H276*H146+I276*I146+J276*J146+K276*K146+L276*L146+M276*M146+N276*N146+O276*O146+P276*P146+Q276*Q146+R276*R146+S276*S146+T276*T146+U276*U146+V276*V146+W276*W146+X276*X146+Y276*Y146+Z276*Z146+AA276*AA146+AB276*AB146+AC276*AC146+AD276*AD146+AE276*AE146+AF276*AF146+AG276*AG146+AH276*AH146+AI276*AI146+AJ276*AJ146+AK276*AK146+AL276*AL146+AM276*AM146+AN276*AN146+AO276*AO146+AP276*AP146+AQ276*AQ146+AR276*AR146+AS276*AS146+AT276*AT146+AU276*AU146+AV276*AV146+AW276*AW146+AX276*AX146+AY276*AY146+AZ276*AZ146+BA276*BA146+BB276*BB146+BC276*BC146+BD276*BD146+BE276*BE146+BF276*BF146+BG276*BG146+BH276*BH146+BI276*BI146+BJ276*BJ146+BK276*BK146+BL276*BL146+BM276*BM146+BN276*BN146+BO276*BO146+BP276*BP146+BQ276*BQ146+BR276*BR146+BS276*BS146+BT276*BT146+BU276*BU146+BV276*BV146+BW276*BW146+BX276*BX146+BY276*BY146+BZ276*BZ146+CA276*CA146+CB276*CB146+CC276*CC146+CD276*CD146+CE276*CE146+CF276*CF146+CG276*CG146+CH276*CH146+CI276*CI146+CJ276*CJ146+CK276*CK146+CL276*CL146+CM276*CM146+CN276*CN146+CO276*CO146+CP276*CP146+CQ276*CQ146+CR276*CR146+CS276*CS146</f>
        <v>0</v>
      </c>
    </row>
    <row r="147" spans="2:110" ht="18" x14ac:dyDescent="0.35">
      <c r="B147" s="362">
        <v>5</v>
      </c>
      <c r="C147" s="363" t="s">
        <v>228</v>
      </c>
      <c r="D147" s="523" t="s">
        <v>3725</v>
      </c>
      <c r="E147" s="496">
        <f>-1/Y_OHO_VFA_anox</f>
        <v>-2.2222222222222223</v>
      </c>
      <c r="F147" s="496">
        <f>0</f>
        <v>0</v>
      </c>
      <c r="G147" s="497">
        <f>0</f>
        <v>0</v>
      </c>
      <c r="H147" s="497">
        <f>0</f>
        <v>0</v>
      </c>
      <c r="I147" s="497">
        <f>0</f>
        <v>0</v>
      </c>
      <c r="J147" s="497">
        <f>0</f>
        <v>0</v>
      </c>
      <c r="K147" s="497">
        <f>0</f>
        <v>0</v>
      </c>
      <c r="L147" s="497">
        <f>0</f>
        <v>0</v>
      </c>
      <c r="M147" s="497">
        <f>0</f>
        <v>0</v>
      </c>
      <c r="N147" s="497">
        <f>0</f>
        <v>0</v>
      </c>
      <c r="O147" s="497">
        <f>0</f>
        <v>0</v>
      </c>
      <c r="P147" s="497">
        <f>0</f>
        <v>0</v>
      </c>
      <c r="Q147" s="497">
        <f>0</f>
        <v>0</v>
      </c>
      <c r="R147" s="497">
        <f>1</f>
        <v>1</v>
      </c>
      <c r="S147" s="497">
        <f>0</f>
        <v>0</v>
      </c>
      <c r="T147" s="497">
        <f>0</f>
        <v>0</v>
      </c>
      <c r="U147" s="497">
        <f>0</f>
        <v>0</v>
      </c>
      <c r="V147" s="497">
        <f>0</f>
        <v>0</v>
      </c>
      <c r="W147" s="497">
        <f>0</f>
        <v>0</v>
      </c>
      <c r="X147" s="497">
        <f>0</f>
        <v>0</v>
      </c>
      <c r="Y147" s="497">
        <f>0</f>
        <v>0</v>
      </c>
      <c r="Z147" s="497">
        <f>0</f>
        <v>0</v>
      </c>
      <c r="AA147" s="496">
        <f t="shared" si="0"/>
        <v>-7.0000000000000007E-2</v>
      </c>
      <c r="AB147" s="496">
        <f>0</f>
        <v>0</v>
      </c>
      <c r="AC147" s="496">
        <f>0</f>
        <v>0</v>
      </c>
      <c r="AD147" s="496">
        <f>0</f>
        <v>0</v>
      </c>
      <c r="AE147" s="496">
        <f>0</f>
        <v>0</v>
      </c>
      <c r="AF147" s="496">
        <f>0</f>
        <v>0</v>
      </c>
      <c r="AG147" s="496">
        <f>-(1-Y_OHO_VFA_anox)/(E_EQN2_N2O*Y_OHO_VFA_anox)</f>
        <v>-2.1399927497281155</v>
      </c>
      <c r="AH147" s="496">
        <f>(1-Y_OHO_VFA_anox)/(E_EQN2_N2O*Y_OHO_VFA_anox)</f>
        <v>2.1399927497281155</v>
      </c>
      <c r="AI147" s="497">
        <f>0</f>
        <v>0</v>
      </c>
      <c r="AJ147" s="497">
        <f>0</f>
        <v>0</v>
      </c>
      <c r="AK147" s="497">
        <f>0</f>
        <v>0</v>
      </c>
      <c r="AL147" s="497">
        <f>0</f>
        <v>0</v>
      </c>
      <c r="AM147" s="496">
        <f t="shared" si="1"/>
        <v>-0.02</v>
      </c>
      <c r="AN147" s="497">
        <f>0</f>
        <v>0</v>
      </c>
      <c r="AO147" s="497">
        <f>0</f>
        <v>0</v>
      </c>
      <c r="AP147" s="497">
        <f>0</f>
        <v>0</v>
      </c>
      <c r="AQ147" s="497">
        <f>0</f>
        <v>0</v>
      </c>
      <c r="AR147" s="497">
        <f>0</f>
        <v>0</v>
      </c>
      <c r="AS147" s="496">
        <f>0</f>
        <v>0</v>
      </c>
      <c r="AT147" s="496">
        <f>0</f>
        <v>0</v>
      </c>
      <c r="AU147" s="496">
        <f>0</f>
        <v>0</v>
      </c>
      <c r="AV147" s="496">
        <f>i_CIT_VFA/Y_OHO_VFA_anox-i_CIT_BIO</f>
        <v>0.48133333333333328</v>
      </c>
      <c r="AW147" s="496">
        <f t="shared" si="2"/>
        <v>0.11</v>
      </c>
      <c r="AX147" s="496">
        <f t="shared" si="3"/>
        <v>-2.8804303582798466E-2</v>
      </c>
      <c r="AY147" s="496">
        <f t="shared" si="4"/>
        <v>-7.0195696417201539E-2</v>
      </c>
      <c r="AZ147" s="496">
        <f t="shared" si="5"/>
        <v>-5.5000000000000005E-3</v>
      </c>
      <c r="BA147" s="496">
        <f t="shared" si="6"/>
        <v>-5.5000000000000005E-3</v>
      </c>
      <c r="BB147" s="496">
        <f>0</f>
        <v>0</v>
      </c>
      <c r="BC147" s="496">
        <f>0</f>
        <v>0</v>
      </c>
      <c r="BD147" s="496">
        <f>0</f>
        <v>0</v>
      </c>
      <c r="BE147" s="496">
        <f>0</f>
        <v>0</v>
      </c>
      <c r="BF147" s="496">
        <f>0</f>
        <v>0</v>
      </c>
      <c r="BG147" s="496">
        <f>0</f>
        <v>0</v>
      </c>
      <c r="BH147" s="496">
        <f>0</f>
        <v>0</v>
      </c>
      <c r="BI147" s="496">
        <f>0</f>
        <v>0</v>
      </c>
      <c r="BJ147" s="496">
        <f>0</f>
        <v>0</v>
      </c>
      <c r="BK147" s="496">
        <f>0</f>
        <v>0</v>
      </c>
      <c r="BL147" s="496">
        <f>0</f>
        <v>0</v>
      </c>
      <c r="BM147" s="496">
        <f>0</f>
        <v>0</v>
      </c>
      <c r="BN147" s="496">
        <f>0</f>
        <v>0</v>
      </c>
      <c r="BO147" s="496">
        <f>0</f>
        <v>0</v>
      </c>
      <c r="BP147" s="496">
        <f>0</f>
        <v>0</v>
      </c>
      <c r="BQ147" s="496">
        <f>0</f>
        <v>0</v>
      </c>
      <c r="BR147" s="496">
        <f>0</f>
        <v>0</v>
      </c>
      <c r="BS147" s="496">
        <f>0</f>
        <v>0</v>
      </c>
      <c r="BT147" s="496">
        <f>0</f>
        <v>0</v>
      </c>
      <c r="BU147" s="496">
        <f>0</f>
        <v>0</v>
      </c>
      <c r="BV147" s="496">
        <f>0</f>
        <v>0</v>
      </c>
      <c r="BW147" s="2353">
        <f>0</f>
        <v>0</v>
      </c>
      <c r="BX147" s="2353">
        <f>0</f>
        <v>0</v>
      </c>
      <c r="BY147" s="2353">
        <f>0</f>
        <v>0</v>
      </c>
      <c r="BZ147" s="2353">
        <f>0</f>
        <v>0</v>
      </c>
      <c r="CA147" s="496">
        <f>0</f>
        <v>0</v>
      </c>
      <c r="CB147" s="496">
        <f>0</f>
        <v>0</v>
      </c>
      <c r="CC147" s="496">
        <f>0</f>
        <v>0</v>
      </c>
      <c r="CD147" s="496">
        <f>0</f>
        <v>0</v>
      </c>
      <c r="CE147" s="496">
        <f>0</f>
        <v>0</v>
      </c>
      <c r="CF147" s="496">
        <f>0</f>
        <v>0</v>
      </c>
      <c r="CG147" s="496">
        <f>0</f>
        <v>0</v>
      </c>
      <c r="CH147" s="496">
        <f>0</f>
        <v>0</v>
      </c>
      <c r="CI147" s="496">
        <f>0</f>
        <v>0</v>
      </c>
      <c r="CJ147" s="496">
        <f>0</f>
        <v>0</v>
      </c>
      <c r="CK147" s="496">
        <f>0</f>
        <v>0</v>
      </c>
      <c r="CL147" s="496">
        <f>0</f>
        <v>0</v>
      </c>
      <c r="CM147" s="496">
        <f>0</f>
        <v>0</v>
      </c>
      <c r="CN147" s="496">
        <f>0</f>
        <v>0</v>
      </c>
      <c r="CO147" s="496">
        <f>0</f>
        <v>0</v>
      </c>
      <c r="CP147" s="496">
        <f>0</f>
        <v>0</v>
      </c>
      <c r="CQ147" s="496">
        <f>0</f>
        <v>0</v>
      </c>
      <c r="CR147" s="496">
        <f>0</f>
        <v>0</v>
      </c>
      <c r="CS147" s="496">
        <f>0</f>
        <v>0</v>
      </c>
      <c r="CT147" s="2480">
        <f>µ_OHO_T*X_OHO*η_OHO_N2O*M_satSVFA_KVFA_N2O*M_satSN2O_KN2O_OHO*M_inhSO2_KO2_OHO_N2O*M_inhSNO_KiNO_OHO_N2O*M_satSNHx_KNHx_BIO*M_satSPO4_KPO4_BIO*M_satSCAT_KCAT*M_satSAN_KAN*M_satSCa_KCa*M_satSMg_KMg*B_ellinhpH</f>
        <v>0.12443032452309835</v>
      </c>
      <c r="CV147" s="2502">
        <f>E266*E147+F266*F147+G266*G147+H266*H147+I266*I147+J266*J147+K266*K147+L266*L147+M266*M147+N266*N147+O266*O147+P266*P147+Q266*Q147+R266*R147+S266*S147+T266*T147+U266*U147+V266*V147+W266*W147+X266*X147+Y266*Y147+Z266*Z147+AA266*AA147+AB266*AB147+AC266*AC147+AD266*AD147+AE266*AE147+AF266*AF147+AG266*AG147+AH266*AH147+AI266*AI147+AJ266*AJ147+AK266*AK147+AL266*AL147+AM266*AM147+AN266*AN147+AO266*AO147+AP266*AP147+AQ266*AQ147+AR266*AR147+AS266*AS147+AT266*AT147+AU266*AU147+AV266*AV147+AW266*AW147+AX266*AX147+AY266*AY147+AZ266*AZ147+BA266*BA147+BB266*BB147+BC266*BC147+BD266*BD147+BE266*BE147+BF266*BF147+BG266*BG147+BH266*BH147+BI266*BI147+BJ266*BJ147+BK266*BK147+BL266*BL147+BM266*BM147+BN266*BN147+BO266*BO147+BP266*BP147+BQ266*BQ147+BR266*BR147+BS266*BS147+BT266*BT147+BU266*BU147+BV266*BV147+BW266*BW147+BX266*BX147+BY266*BY147+BZ266*BZ147+CA266*CA147+CB266*CB147+CC266*CC147+CD266*CD147+CE266*CE147+CF266*CF147+CG266*CG147+CH266*CH147+CI266*CI147+CJ266*CJ147+CK266*CK147+CL266*CL147+CM266*CM147+CN266*CN147+CO266*CO147+CP266*CP147+CQ266*CQ147+CR266*CR147+CS266*CS147</f>
        <v>4.4408920985006262E-16</v>
      </c>
      <c r="CW147" s="2502">
        <f>E267*E147+F267*F147+G267*G147+H267*H147+I267*I147+J267*J147+K267*K147+L267*L147+M267*M147+N267*N147+O267*O147+P267*P147+Q267*Q147+R267*R147+S267*S147+T267*T147+U267*U147+V267*V147+W267*W147+X267*X147+Y267*Y147+Z267*Z147+AA267*AA147+AB267*AB147+AC267*AC147+AD267*AD147+AE267*AE147+AF267*AF147+AG267*AG147+AH267*AH147+AI267*AI147+AJ267*AJ147+AK267*AK147+AL267*AL147+AM267*AM147+AN267*AN147+AO267*AO147+AP267*AP147+AQ267*AQ147+AR267*AR147+AS267*AS147+AT267*AT147+AU267*AU147+AV267*AV147+AW267*AW147+AX267*AX147+AY267*AY147+AZ267*AZ147+BA267*BA147+BB267*BB147+BC267*BC147+BD267*BD147+BE267*BE147+BF267*BF147+BG267*BG147+BH267*BH147+BI267*BI147+BJ267*BJ147+BK267*BK147+BL267*BL147+BM267*BM147+BN267*BN147+BO267*BO147+BP267*BP147+BQ267*BQ147+BR267*BR147+BS267*BS147+BT267*BT147+BU267*BU147+BV267*BV147+BW267*BW147+BX267*BX147+BY267*BY147+BZ267*BZ147+CA267*CA147+CB267*CB147+CC267*CC147+CD267*CD147+CE267*CE147+CF267*CF147+CG267*CG147+CH267*CH147+CI267*CI147+CJ267*CJ147+CK267*CK147+CL267*CL147+CM267*CM147+CN267*CN147+CO267*CO147+CP267*CP147+CQ267*CQ147+CR267*CR147+CS267*CS147</f>
        <v>-1.1102230246251565E-16</v>
      </c>
      <c r="CX147" s="2503">
        <f>E268*E147+F268*F147+G268*G147+H268*H147+I268*I147+J268*J147+K268*K147+L268*L147+M268*M147+N268*N147+O268*O147+P268*P147+Q268*Q147+R268*R147+S268*S147+T268*T147+U268*U147+V268*V147+W268*W147+X268*X147+Y268*Y147+Z268*Z147+AA268*AA147+AB268*AB147+AC268*AC147+AD268*AD147+AE268*AE147+AF268*AF147+AG268*AG147+AH268*AH147+AI268*AI147+AJ268*AJ147+AK268*AK147+AL268*AL147+AM268*AM147+AN268*AN147+AO268*AO147+AP268*AP147+AQ268*AQ147+AR268*AR147+AS268*AS147+AT268*AT147+AU268*AU147+AV268*AV147+AW268*AW147+AX268*AX147+AY268*AY147+AZ268*AZ147+BA268*BA147+BB268*BB147+BC268*BC147+BD268*BD147+BE268*BE147+BF268*BF147+BG268*BG147+BH268*BH147+BI268*BI147+BJ268*BJ147+BK268*BK147+BL268*BL147+BM268*BM147+BN268*BN147+BO268*BO147+BP268*BP147+BQ268*BQ147+BR268*BR147+BS268*BS147+BT268*BT147+BU268*BU147+BV268*BV147+BW268*BW147+BX268*BX147+BY268*BY147+BZ268*BZ147+CA268*CA147+CB268*CB147+CC268*CC147+CD268*CD147+CE268*CE147+CF268*CF147+CG268*CG147+CH268*CH147+CI268*CI147+CJ268*CJ147+CK268*CK147+CL268*CL147+CM268*CM147+CN268*CN147+CO268*CO147+CP268*CP147+CQ268*CQ147+CR268*CR147+CS268*CS147</f>
        <v>0</v>
      </c>
      <c r="CY147" s="2504">
        <f>E269*E147+F269*F147+G269*G147+H269*H147+I269*I147+J269*J147+K269*K147+L269*L147+M269*M147+N269*N147+O269*O147+P269*P147+Q269*Q147+R269*R147+S269*S147+T269*T147+U269*U147+V269*V147+W269*W147+X269*X147+Y269*Y147+Z269*Z147+AA269*AA147+AB269*AB147+AC269*AC147+AD269*AD147+AE269*AE147+AF269*AF147+AG269*AG147+AH269*AH147+AI269*AI147+AJ269*AJ147+AK269*AK147+AL269*AL147+AM269*AM147+AN269*AN147+AO269*AO147+AP269*AP147+AQ269*AQ147+AR269*AR147+AS269*AS147+AT269*AT147+AU269*AU147+AV269*AV147+AW269*AW147+AX269*AX147+AY269*AY147+AZ269*AZ147+BA269*BA147+BB269*BB147+BC269*BC147+BD269*BD147+BE269*BE147+BF269*BF147+BG269*BG147+BH269*BH147+BI269*BI147+BJ269*BJ147+BK269*BK147+BL269*BL147+BM269*BM147+BN269*BN147+BO269*BO147+BP269*BP147+BQ269*BQ147+BR269*BR147+BS269*BS147+BT269*BT147+BU269*BU147+BV269*BV147+BW269*BW147+BX269*BX147+BY269*BY147+BZ269*BZ147+CA269*CA147+CB269*CB147+CC269*CC147+CD269*CD147+CE269*CE147+CF269*CF147+CG269*CG147+CH269*CH147+CI269*CI147+CJ269*CJ147+CK269*CK147+CL269*CL147+CM269*CM147+CN269*CN147+CO269*CO147+CP269*CP147+CQ269*CQ147+CR269*CR147+CS269*CS147</f>
        <v>0</v>
      </c>
      <c r="CZ147" s="2504">
        <f>E270*E147+F270*F147+G270*G147+H270*H147+I270*I147+J270*J147+K270*K147+L270*L147+M270*M147+N270*N147+O270*O147+P270*P147+Q270*Q147+R270*R147+S270*S147+T270*T147+U270*U147+V270*V147+W270*W147+X270*X147+Y270*Y147+Z270*Z147+AA270*AA147+AB270*AB147+AC270*AC147+AD270*AD147+AE270*AE147+AF270*AF147+AG270*AG147+AH270*AH147+AI270*AI147+AJ270*AJ147+AK270*AK147+AL270*AL147+AM270*AM147+AN270*AN147+AO270*AO147+AP270*AP147+AQ270*AQ147+AR270*AR147+AS270*AS147+AT270*AT147+AU270*AU147+AV270*AV147+AW270*AW147+AX270*AX147+AY270*AY147+AZ270*AZ147+BA270*BA147+BB270*BB147+BC270*BC147+BD270*BD147+BE270*BE147+BF270*BF147+BG270*BG147+BH270*BH147+BI270*BI147+BJ270*BJ147+BK270*BK147+BL270*BL147+BM270*BM147+BN270*BN147+BO270*BO147+BP270*BP147+BQ270*BQ147+BR270*BR147+BS270*BS147+BT270*BT147+BU270*BU147+BV270*BV147+BW270*BW147+BX270*BX147+BY270*BY147+BZ270*BZ147+CA270*CA147+CB270*CB147+CC270*CC147+CD270*CD147+CE270*CE147+CF270*CF147+CG270*CG147+CH270*CH147+CI270*CI147+CJ270*CJ147+CK270*CK147+CL270*CL147+CM270*CM147+CN270*CN147+CO270*CO147+CP270*CP147+CQ270*CQ147+CR270*CR147+CS270*CS147</f>
        <v>0</v>
      </c>
      <c r="DA147" s="2504">
        <f>E271*E147+F271*F147+G271*G147+H271*H147+I271*I147+J271*J147+K271*K147+L271*L147+M271*M147+N271*N147+O271*O147+P271*P147+Q271*Q147+R271*R147+S271*S147+T271*T147+U271*U147+V271*V147+W271*W147+X271*X147+Y271*Y147+Z271*Z147+AA271*AA147+AB271*AB147+AC271*AC147+AD271*AD147+AE271*AE147+AF271*AF147+AG271*AG147+AH271*AH147+AI271*AI147+AJ271*AJ147+AK271*AK147+AL271*AL147+AM271*AM147+AN271*AN147+AO271*AO147+AP271*AP147+AQ271*AQ147+AR271*AR147+AS271*AS147+AT271*AT147+AU271*AU147+AV271*AV147+AW271*AW147+AX271*AX147+AY271*AY147+AZ271*AZ147+BA271*BA147+BB271*BB147+BC271*BC147+BD271*BD147+BE271*BE147+BF271*BF147+BG271*BG147+BH271*BH147+BI271*BI147+BJ271*BJ147+BK271*BK147+BL271*BL147+BM271*BM147+BN271*BN147+BO271*BO147+BP271*BP147+BQ271*BQ147+BR271*BR147+BS271*BS147+BT271*BT147+BU271*BU147+BV271*BV147+BW271*BW147+BX271*BX147+BY271*BY147+BZ271*BZ147+CA271*CA147+CB271*CB147+CC271*CC147+CD271*CD147+CE271*CE147+CF271*CF147+CG271*CG147+CH271*CH147+CI271*CI147+CJ271*CJ147+CK271*CK147+CL271*CL147+CM271*CM147+CN271*CN147+CO271*CO147+CP271*CP147+CQ271*CQ147+CR271*CR147+CS271*CS147</f>
        <v>0</v>
      </c>
      <c r="DB147" s="2504">
        <f>E272*E147+F272*F147+G272*G147+H272*H147+I272*I147+J272*J147+K272*K147+L272*L147+M272*M147+N272*N147+O272*O147+P272*P147+Q272*Q147+R272*R147+S272*S147+T272*T147+U272*U147+V272*V147+W272*W147+X272*X147+Y272*Y147+Z272*Z147+AA272*AA147+AB272*AB147+AC272*AC147+AD272*AD147+AE272*AE147+AF272*AF147+AG272*AG147+AH272*AH147+AI272*AI147+AJ272*AJ147+AK272*AK147+AL272*AL147+AM272*AM147+AN272*AN147+AO272*AO147+AP272*AP147+AQ272*AQ147+AR272*AR147+AS272*AS147+AT272*AT147+AU272*AU147+AV272*AV147+AW272*AW147+AX272*AX147+AY272*AY147+AZ272*AZ147+BA272*BA147+BB272*BB147+BC272*BC147+BD272*BD147+BE272*BE147+BF272*BF147+BG272*BG147+BH272*BH147+BI272*BI147+BJ272*BJ147+BK272*BK147+BL272*BL147+BM272*BM147+BN272*BN147+BO272*BO147+BP272*BP147+BQ272*BQ147+BR272*BR147+BS272*BS147+BT272*BT147+BU272*BU147+BV272*BV147+BW272*BW147+BX272*BX147+BY272*BY147+BZ272*BZ147+CA272*CA147+CB272*CB147+CC272*CC147+CD272*CD147+CE272*CE147+CF272*CF147+CG272*CG147+CH272*CH147+CI272*CI147+CJ272*CJ147+CK272*CK147+CL272*CL147+CM272*CM147+CN272*CN147+CO272*CO147+CP272*CP147+CQ272*CQ147+CR272*CR147+CS272*CS147</f>
        <v>0</v>
      </c>
      <c r="DC147" s="2504">
        <f>E273*E147+F273*F147+G273*G147+H273*H147+I273*I147+J273*J147+K273*K147+L273*L147+M273*M147+N273*N147+O273*O147+P273*P147+Q273*Q147+R273*R147+S273*S147+T273*T147+U273*U147+V273*V147+W273*W147+X273*X147+Y273*Y147+Z273*Z147+AA273*AA147+AB273*AB147+AC273*AC147+AD273*AD147+AE273*AE147+AF273*AF147+AG273*AG147+AH273*AH147+AI273*AI147+AJ273*AJ147+AK273*AK147+AL273*AL147+AM273*AM147+AN273*AN147+AO273*AO147+AP273*AP147+AQ273*AQ147+AR273*AR147+AS273*AS147+AT273*AT147+AU273*AU147+AV273*AV147+AW273*AW147+AX273*AX147+AY273*AY147+AZ273*AZ147+BA273*BA147+BB273*BB147+BC273*BC147+BD273*BD147+BE273*BE147+BF273*BF147+BG273*BG147+BH273*BH147+BI273*BI147+BJ273*BJ147+BK273*BK147+BL273*BL147+BM273*BM147+BN273*BN147+BO273*BO147+BP273*BP147+BQ273*BQ147+BR273*BR147+BS273*BS147+BT273*BT147+BU273*BU147+BV273*BV147+BW273*BW147+BX273*BX147+BY273*BY147+BZ273*BZ147+CA273*CA147+CB273*CB147+CC273*CC147+CD273*CD147+CE273*CE147+CF273*CF147+CG273*CG147+CH273*CH147+CI273*CI147+CJ273*CJ147+CK273*CK147+CL273*CL147+CM273*CM147+CN273*CN147+CO273*CO147+CP273*CP147+CQ273*CQ147+CR273*CR147+CS273*CS147</f>
        <v>0</v>
      </c>
      <c r="DD147" s="2504">
        <f>E274*E147+F274*F147+G274*G147+H274*H147+I274*I147+J274*J147+K274*K147+L274*L147+M274*M147+N274*N147+O274*O147+P274*P147+Q274*Q147+R274*R147+S274*S147+T274*T147+U274*U147+V274*V147+W274*W147+X274*X147+Y274*Y147+Z274*Z147+AA274*AA147+AB274*AB147+AC274*AC147+AD274*AD147+AE274*AE147+AF274*AF147+AG274*AG147+AH274*AH147+AI274*AI147+AJ274*AJ147+AK274*AK147+AL274*AL147+AM274*AM147+AN274*AN147+AO274*AO147+AP274*AP147+AQ274*AQ147+AR274*AR147+AS274*AS147+AT274*AT147+AU274*AU147+AV274*AV147+AW274*AW147+AX274*AX147+AY274*AY147+AZ274*AZ147+BA274*BA147+BB274*BB147+BC274*BC147+BD274*BD147+BE274*BE147+BF274*BF147+BG274*BG147+BH274*BH147+BI274*BI147+BJ274*BJ147+BK274*BK147+BL274*BL147+BM274*BM147+BN274*BN147+BO274*BO147+BP274*BP147+BQ274*BQ147+BR274*BR147+BS274*BS147+BT274*BT147+BU274*BU147+BV274*BV147+BW274*BW147+BX274*BX147+BY274*BY147+BZ274*BZ147+CA274*CA147+CB274*CB147+CC274*CC147+CD274*CD147+CE274*CE147+CF274*CF147+CG274*CG147+CH274*CH147+CI274*CI147+CJ274*CJ147+CK274*CK147+CL274*CL147+CM274*CM147+CN274*CN147+CO274*CO147+CP274*CP147+CQ274*CQ147+CR274*CR147+CS274*CS147</f>
        <v>0</v>
      </c>
      <c r="DE147" s="2504">
        <f>E275*E147+F275*F147+G275*G147+H275*H147+I275*I147+J275*J147+K275*K147+L275*L147+M275*M147+N275*N147+O275*O147+P275*P147+Q275*Q147+R275*R147+S275*S147+T275*T147+U275*U147+V275*V147+W275*W147+X275*X147+Y275*Y147+Z275*Z147+AA275*AA147+AB275*AB147+AC275*AC147+AD275*AD147+AE275*AE147+AF275*AF147+AG275*AG147+AH275*AH147+AI275*AI147+AJ275*AJ147+AK275*AK147+AL275*AL147+AM275*AM147+AN275*AN147+AO275*AO147+AP275*AP147+AQ275*AQ147+AR275*AR147+AS275*AS147+AT275*AT147+AU275*AU147+AV275*AV147+AW275*AW147+AX275*AX147+AY275*AY147+AZ275*AZ147+BA275*BA147+BB275*BB147+BC275*BC147+BD275*BD147+BE275*BE147+BF275*BF147+BG275*BG147+BH275*BH147+BI275*BI147+BJ275*BJ147+BK275*BK147+BL275*BL147+BM275*BM147+BN275*BN147+BO275*BO147+BP275*BP147+BQ275*BQ147+BR275*BR147+BS275*BS147+BT275*BT147+BU275*BU147+BV275*BV147+BW275*BW147+BX275*BX147+BY275*BY147+BZ275*BZ147+CA275*CA147+CB275*CB147+CC275*CC147+CD275*CD147+CE275*CE147+CF275*CF147+CG275*CG147+CH275*CH147+CI275*CI147+CJ275*CJ147+CK275*CK147+CL275*CL147+CM275*CM147+CN275*CN147+CO275*CO147+CP275*CP147+CQ275*CQ147+CR275*CR147+CS275*CS147</f>
        <v>0</v>
      </c>
      <c r="DF147" s="2504">
        <f>E276*E147+F276*F147+G276*G147+H276*H147+I276*I147+J276*J147+K276*K147+L276*L147+M276*M147+N276*N147+O276*O147+P276*P147+Q276*Q147+R276*R147+S276*S147+T276*T147+U276*U147+V276*V147+W276*W147+X276*X147+Y276*Y147+Z276*Z147+AA276*AA147+AB276*AB147+AC276*AC147+AD276*AD147+AE276*AE147+AF276*AF147+AG276*AG147+AH276*AH147+AI276*AI147+AJ276*AJ147+AK276*AK147+AL276*AL147+AM276*AM147+AN276*AN147+AO276*AO147+AP276*AP147+AQ276*AQ147+AR276*AR147+AS276*AS147+AT276*AT147+AU276*AU147+AV276*AV147+AW276*AW147+AX276*AX147+AY276*AY147+AZ276*AZ147+BA276*BA147+BB276*BB147+BC276*BC147+BD276*BD147+BE276*BE147+BF276*BF147+BG276*BG147+BH276*BH147+BI276*BI147+BJ276*BJ147+BK276*BK147+BL276*BL147+BM276*BM147+BN276*BN147+BO276*BO147+BP276*BP147+BQ276*BQ147+BR276*BR147+BS276*BS147+BT276*BT147+BU276*BU147+BV276*BV147+BW276*BW147+BX276*BX147+BY276*BY147+BZ276*BZ147+CA276*CA147+CB276*CB147+CC276*CC147+CD276*CD147+CE276*CE147+CF276*CF147+CG276*CG147+CH276*CH147+CI276*CI147+CJ276*CJ147+CK276*CK147+CL276*CL147+CM276*CM147+CN276*CN147+CO276*CO147+CP276*CP147+CQ276*CQ147+CR276*CR147+CS276*CS147</f>
        <v>0</v>
      </c>
    </row>
    <row r="148" spans="2:110" ht="18" x14ac:dyDescent="0.35">
      <c r="B148" s="362">
        <v>6</v>
      </c>
      <c r="C148" s="363" t="s">
        <v>229</v>
      </c>
      <c r="D148" s="523" t="s">
        <v>1648</v>
      </c>
      <c r="E148" s="497">
        <f>0</f>
        <v>0</v>
      </c>
      <c r="F148" s="496">
        <f>-1/Y_OHO_SB_ox</f>
        <v>-1.4925373134328357</v>
      </c>
      <c r="G148" s="497">
        <f>0</f>
        <v>0</v>
      </c>
      <c r="H148" s="497">
        <f>0</f>
        <v>0</v>
      </c>
      <c r="I148" s="497">
        <f>0</f>
        <v>0</v>
      </c>
      <c r="J148" s="497">
        <f>0</f>
        <v>0</v>
      </c>
      <c r="K148" s="497">
        <f>0</f>
        <v>0</v>
      </c>
      <c r="L148" s="497">
        <f>0</f>
        <v>0</v>
      </c>
      <c r="M148" s="497">
        <f>0</f>
        <v>0</v>
      </c>
      <c r="N148" s="497">
        <f>0</f>
        <v>0</v>
      </c>
      <c r="O148" s="497">
        <f>0</f>
        <v>0</v>
      </c>
      <c r="P148" s="497">
        <f>0</f>
        <v>0</v>
      </c>
      <c r="Q148" s="497">
        <f>0</f>
        <v>0</v>
      </c>
      <c r="R148" s="497">
        <f>1</f>
        <v>1</v>
      </c>
      <c r="S148" s="497">
        <f>0</f>
        <v>0</v>
      </c>
      <c r="T148" s="497">
        <f>0</f>
        <v>0</v>
      </c>
      <c r="U148" s="497">
        <f>0</f>
        <v>0</v>
      </c>
      <c r="V148" s="497">
        <f>0</f>
        <v>0</v>
      </c>
      <c r="W148" s="497">
        <f>0</f>
        <v>0</v>
      </c>
      <c r="X148" s="497">
        <f>0</f>
        <v>0</v>
      </c>
      <c r="Y148" s="497">
        <f>0</f>
        <v>0</v>
      </c>
      <c r="Z148" s="497">
        <f>0</f>
        <v>0</v>
      </c>
      <c r="AA148" s="496">
        <f t="shared" si="0"/>
        <v>-7.0000000000000007E-2</v>
      </c>
      <c r="AB148" s="496">
        <f>0</f>
        <v>0</v>
      </c>
      <c r="AC148" s="496">
        <f>0</f>
        <v>0</v>
      </c>
      <c r="AD148" s="496">
        <f>0</f>
        <v>0</v>
      </c>
      <c r="AE148" s="496">
        <f>0</f>
        <v>0</v>
      </c>
      <c r="AF148" s="496">
        <f>0</f>
        <v>0</v>
      </c>
      <c r="AG148" s="496">
        <f>0</f>
        <v>0</v>
      </c>
      <c r="AH148" s="497">
        <f>0</f>
        <v>0</v>
      </c>
      <c r="AI148" s="497">
        <f>0</f>
        <v>0</v>
      </c>
      <c r="AJ148" s="497">
        <f>0</f>
        <v>0</v>
      </c>
      <c r="AK148" s="497">
        <f>0</f>
        <v>0</v>
      </c>
      <c r="AL148" s="497">
        <f>0</f>
        <v>0</v>
      </c>
      <c r="AM148" s="496">
        <f t="shared" si="1"/>
        <v>-0.02</v>
      </c>
      <c r="AN148" s="497">
        <f>0</f>
        <v>0</v>
      </c>
      <c r="AO148" s="497">
        <f>0</f>
        <v>0</v>
      </c>
      <c r="AP148" s="497">
        <f>0</f>
        <v>0</v>
      </c>
      <c r="AQ148" s="497">
        <f>0</f>
        <v>0</v>
      </c>
      <c r="AR148" s="497">
        <f>0</f>
        <v>0</v>
      </c>
      <c r="AS148" s="496">
        <f>-(1-Y_OHO_SB_ox)/Y_OHO_SB_ox</f>
        <v>-0.49253731343283574</v>
      </c>
      <c r="AT148" s="496">
        <f>0</f>
        <v>0</v>
      </c>
      <c r="AU148" s="496">
        <f>0</f>
        <v>0</v>
      </c>
      <c r="AV148" s="496">
        <f>i_CIT_SB/Y_OHO_SB_ox-i_CIT_BIO</f>
        <v>7.4865671641791032E-2</v>
      </c>
      <c r="AW148" s="496">
        <f t="shared" si="2"/>
        <v>0.11</v>
      </c>
      <c r="AX148" s="496">
        <f t="shared" si="3"/>
        <v>-2.8804303582798466E-2</v>
      </c>
      <c r="AY148" s="496">
        <f t="shared" si="4"/>
        <v>-7.0195696417201539E-2</v>
      </c>
      <c r="AZ148" s="496">
        <f t="shared" si="5"/>
        <v>-5.5000000000000005E-3</v>
      </c>
      <c r="BA148" s="496">
        <f t="shared" si="6"/>
        <v>-5.5000000000000005E-3</v>
      </c>
      <c r="BB148" s="496">
        <f>0</f>
        <v>0</v>
      </c>
      <c r="BC148" s="496">
        <f>0</f>
        <v>0</v>
      </c>
      <c r="BD148" s="496">
        <f>0</f>
        <v>0</v>
      </c>
      <c r="BE148" s="496">
        <f>0</f>
        <v>0</v>
      </c>
      <c r="BF148" s="496">
        <f>0</f>
        <v>0</v>
      </c>
      <c r="BG148" s="496">
        <f>0</f>
        <v>0</v>
      </c>
      <c r="BH148" s="496">
        <f>0</f>
        <v>0</v>
      </c>
      <c r="BI148" s="496">
        <f>0</f>
        <v>0</v>
      </c>
      <c r="BJ148" s="496">
        <f>0</f>
        <v>0</v>
      </c>
      <c r="BK148" s="496">
        <f>0</f>
        <v>0</v>
      </c>
      <c r="BL148" s="496">
        <f>0</f>
        <v>0</v>
      </c>
      <c r="BM148" s="496">
        <f>0</f>
        <v>0</v>
      </c>
      <c r="BN148" s="496">
        <f>0</f>
        <v>0</v>
      </c>
      <c r="BO148" s="496">
        <f>0</f>
        <v>0</v>
      </c>
      <c r="BP148" s="496">
        <f>0</f>
        <v>0</v>
      </c>
      <c r="BQ148" s="496">
        <f>0</f>
        <v>0</v>
      </c>
      <c r="BR148" s="496">
        <f>0</f>
        <v>0</v>
      </c>
      <c r="BS148" s="496">
        <f>0</f>
        <v>0</v>
      </c>
      <c r="BT148" s="496">
        <f>0</f>
        <v>0</v>
      </c>
      <c r="BU148" s="496">
        <f>0</f>
        <v>0</v>
      </c>
      <c r="BV148" s="496">
        <f>0</f>
        <v>0</v>
      </c>
      <c r="BW148" s="2353">
        <f>0</f>
        <v>0</v>
      </c>
      <c r="BX148" s="2353">
        <f>0</f>
        <v>0</v>
      </c>
      <c r="BY148" s="2353">
        <f>0</f>
        <v>0</v>
      </c>
      <c r="BZ148" s="2353">
        <f>0</f>
        <v>0</v>
      </c>
      <c r="CA148" s="496">
        <f>0</f>
        <v>0</v>
      </c>
      <c r="CB148" s="496">
        <f>0</f>
        <v>0</v>
      </c>
      <c r="CC148" s="496">
        <f>0</f>
        <v>0</v>
      </c>
      <c r="CD148" s="496">
        <f>0</f>
        <v>0</v>
      </c>
      <c r="CE148" s="496">
        <f>0</f>
        <v>0</v>
      </c>
      <c r="CF148" s="496">
        <f>0</f>
        <v>0</v>
      </c>
      <c r="CG148" s="496">
        <f>0</f>
        <v>0</v>
      </c>
      <c r="CH148" s="496">
        <f>0</f>
        <v>0</v>
      </c>
      <c r="CI148" s="496">
        <f>0</f>
        <v>0</v>
      </c>
      <c r="CJ148" s="496">
        <f>0</f>
        <v>0</v>
      </c>
      <c r="CK148" s="496">
        <f>0</f>
        <v>0</v>
      </c>
      <c r="CL148" s="496">
        <f>0</f>
        <v>0</v>
      </c>
      <c r="CM148" s="496">
        <f>0</f>
        <v>0</v>
      </c>
      <c r="CN148" s="496">
        <f>0</f>
        <v>0</v>
      </c>
      <c r="CO148" s="496">
        <f>0</f>
        <v>0</v>
      </c>
      <c r="CP148" s="496">
        <f>0</f>
        <v>0</v>
      </c>
      <c r="CQ148" s="496">
        <f>0</f>
        <v>0</v>
      </c>
      <c r="CR148" s="496">
        <f>0</f>
        <v>0</v>
      </c>
      <c r="CS148" s="496">
        <f>0</f>
        <v>0</v>
      </c>
      <c r="CT148" s="2480">
        <f>µ_OHO_T*X_OHO*M_satSB_KSB*M_inhSVFA_KVFA*M_satSO2_KO2_OHO*M_satSNHx_KNHx_BIO*M_satSPO4_KPO4_BIO*M_satSCAT_KCAT*M_satSAN_KAN*M_satSCa_KCa*M_satSMg_KMg*B_ellinhpH</f>
        <v>300.21284646842776</v>
      </c>
      <c r="CV148" s="2502">
        <f>E266*E148+F266*F148+G266*G148+H266*H148+I266*I148+J266*J148+K266*K148+L266*L148+M266*M148+N266*N148+O266*O148+P266*P148+Q266*Q148+R266*R148+S266*S148+T266*T148+U266*U148+V266*V148+W266*W148+X266*X148+Y266*Y148+Z266*Z148+AA266*AA148+AB266*AB148+AC266*AC148+AD266*AD148+AE266*AE148+AF266*AF148+AG266*AG148+AH266*AH148+AI266*AI148+AJ266*AJ148+AK266*AK148+AL266*AL148+AM266*AM148+AN266*AN148+AO266*AO148+AP266*AP148+AQ266*AQ148+AR266*AR148+AS266*AS148+AT266*AT148+AU266*AU148+AV266*AV148+AW266*AW148+AX266*AX148+AY266*AY148+AZ266*AZ148+BA266*BA148+BB266*BB148+BC266*BC148+BD266*BD148+BE266*BE148+BF266*BF148+BG266*BG148+BH266*BH148+BI266*BI148+BJ266*BJ148+BK266*BK148+BL266*BL148+BM266*BM148+BN266*BN148+BO266*BO148+BP266*BP148+BQ266*BQ148+BR266*BR148+BS266*BS148+BT266*BT148+BU266*BU148+BV266*BV148+BW266*BW148+BX266*BX148+BY266*BY148+BZ266*BZ148+CA266*CA148+CB266*CB148+CC266*CC148+CD266*CD148+CE266*CE148+CF266*CF148+CG266*CG148+CH266*CH148+CI266*CI148+CJ266*CJ148+CK266*CK148+CL266*CL148+CM266*CM148+CN266*CN148+CO266*CO148+CP266*CP148+CQ266*CQ148+CR266*CR148+CS266*CS148</f>
        <v>5.5511151231257827E-17</v>
      </c>
      <c r="CW148" s="2502">
        <f>E267*E148+F267*F148+G267*G148+H267*H148+I267*I148+J267*J148+K267*K148+L267*L148+M267*M148+N267*N148+O267*O148+P267*P148+Q267*Q148+R267*R148+S267*S148+T267*T148+U267*U148+V267*V148+W267*W148+X267*X148+Y267*Y148+Z267*Z148+AA267*AA148+AB267*AB148+AC267*AC148+AD267*AD148+AE267*AE148+AF267*AF148+AG267*AG148+AH267*AH148+AI267*AI148+AJ267*AJ148+AK267*AK148+AL267*AL148+AM267*AM148+AN267*AN148+AO267*AO148+AP267*AP148+AQ267*AQ148+AR267*AR148+AS267*AS148+AT267*AT148+AU267*AU148+AV267*AV148+AW267*AW148+AX267*AX148+AY267*AY148+AZ267*AZ148+BA267*BA148+BB267*BB148+BC267*BC148+BD267*BD148+BE267*BE148+BF267*BF148+BG267*BG148+BH267*BH148+BI267*BI148+BJ267*BJ148+BK267*BK148+BL267*BL148+BM267*BM148+BN267*BN148+BO267*BO148+BP267*BP148+BQ267*BQ148+BR267*BR148+BS267*BS148+BT267*BT148+BU267*BU148+BV267*BV148+BW267*BW148+BX267*BX148+BY267*BY148+BZ267*BZ148+CA267*CA148+CB267*CB148+CC267*CC148+CD267*CD148+CE267*CE148+CF267*CF148+CG267*CG148+CH267*CH148+CI267*CI148+CJ267*CJ148+CK267*CK148+CL267*CL148+CM267*CM148+CN267*CN148+CO267*CO148+CP267*CP148+CQ267*CQ148+CR267*CR148+CS267*CS148</f>
        <v>5.5511151231257827E-17</v>
      </c>
      <c r="CX148" s="2503">
        <f>E268*E148+F268*F148+G268*G148+H268*H148+I268*I148+J268*J148+K268*K148+L268*L148+M268*M148+N268*N148+O268*O148+P268*P148+Q268*Q148+R268*R148+S268*S148+T268*T148+U268*U148+V268*V148+W268*W148+X268*X148+Y268*Y148+Z268*Z148+AA268*AA148+AB268*AB148+AC268*AC148+AD268*AD148+AE268*AE148+AF268*AF148+AG268*AG148+AH268*AH148+AI268*AI148+AJ268*AJ148+AK268*AK148+AL268*AL148+AM268*AM148+AN268*AN148+AO268*AO148+AP268*AP148+AQ268*AQ148+AR268*AR148+AS268*AS148+AT268*AT148+AU268*AU148+AV268*AV148+AW268*AW148+AX268*AX148+AY268*AY148+AZ268*AZ148+BA268*BA148+BB268*BB148+BC268*BC148+BD268*BD148+BE268*BE148+BF268*BF148+BG268*BG148+BH268*BH148+BI268*BI148+BJ268*BJ148+BK268*BK148+BL268*BL148+BM268*BM148+BN268*BN148+BO268*BO148+BP268*BP148+BQ268*BQ148+BR268*BR148+BS268*BS148+BT268*BT148+BU268*BU148+BV268*BV148+BW268*BW148+BX268*BX148+BY268*BY148+BZ268*BZ148+CA268*CA148+CB268*CB148+CC268*CC148+CD268*CD148+CE268*CE148+CF268*CF148+CG268*CG148+CH268*CH148+CI268*CI148+CJ268*CJ148+CK268*CK148+CL268*CL148+CM268*CM148+CN268*CN148+CO268*CO148+CP268*CP148+CQ268*CQ148+CR268*CR148+CS268*CS148</f>
        <v>0</v>
      </c>
      <c r="CY148" s="2504">
        <f>E269*E148+F269*F148+G269*G148+H269*H148+I269*I148+J269*J148+K269*K148+L269*L148+M269*M148+N269*N148+O269*O148+P269*P148+Q269*Q148+R269*R148+S269*S148+T269*T148+U269*U148+V269*V148+W269*W148+X269*X148+Y269*Y148+Z269*Z148+AA269*AA148+AB269*AB148+AC269*AC148+AD269*AD148+AE269*AE148+AF269*AF148+AG269*AG148+AH269*AH148+AI269*AI148+AJ269*AJ148+AK269*AK148+AL269*AL148+AM269*AM148+AN269*AN148+AO269*AO148+AP269*AP148+AQ269*AQ148+AR269*AR148+AS269*AS148+AT269*AT148+AU269*AU148+AV269*AV148+AW269*AW148+AX269*AX148+AY269*AY148+AZ269*AZ148+BA269*BA148+BB269*BB148+BC269*BC148+BD269*BD148+BE269*BE148+BF269*BF148+BG269*BG148+BH269*BH148+BI269*BI148+BJ269*BJ148+BK269*BK148+BL269*BL148+BM269*BM148+BN269*BN148+BO269*BO148+BP269*BP148+BQ269*BQ148+BR269*BR148+BS269*BS148+BT269*BT148+BU269*BU148+BV269*BV148+BW269*BW148+BX269*BX148+BY269*BY148+BZ269*BZ148+CA269*CA148+CB269*CB148+CC269*CC148+CD269*CD148+CE269*CE148+CF269*CF148+CG269*CG148+CH269*CH148+CI269*CI148+CJ269*CJ148+CK269*CK148+CL269*CL148+CM269*CM148+CN269*CN148+CO269*CO148+CP269*CP148+CQ269*CQ148+CR269*CR148+CS269*CS148</f>
        <v>0</v>
      </c>
      <c r="CZ148" s="2504">
        <f>E270*E148+F270*F148+G270*G148+H270*H148+I270*I148+J270*J148+K270*K148+L270*L148+M270*M148+N270*N148+O270*O148+P270*P148+Q270*Q148+R270*R148+S270*S148+T270*T148+U270*U148+V270*V148+W270*W148+X270*X148+Y270*Y148+Z270*Z148+AA270*AA148+AB270*AB148+AC270*AC148+AD270*AD148+AE270*AE148+AF270*AF148+AG270*AG148+AH270*AH148+AI270*AI148+AJ270*AJ148+AK270*AK148+AL270*AL148+AM270*AM148+AN270*AN148+AO270*AO148+AP270*AP148+AQ270*AQ148+AR270*AR148+AS270*AS148+AT270*AT148+AU270*AU148+AV270*AV148+AW270*AW148+AX270*AX148+AY270*AY148+AZ270*AZ148+BA270*BA148+BB270*BB148+BC270*BC148+BD270*BD148+BE270*BE148+BF270*BF148+BG270*BG148+BH270*BH148+BI270*BI148+BJ270*BJ148+BK270*BK148+BL270*BL148+BM270*BM148+BN270*BN148+BO270*BO148+BP270*BP148+BQ270*BQ148+BR270*BR148+BS270*BS148+BT270*BT148+BU270*BU148+BV270*BV148+BW270*BW148+BX270*BX148+BY270*BY148+BZ270*BZ148+CA270*CA148+CB270*CB148+CC270*CC148+CD270*CD148+CE270*CE148+CF270*CF148+CG270*CG148+CH270*CH148+CI270*CI148+CJ270*CJ148+CK270*CK148+CL270*CL148+CM270*CM148+CN270*CN148+CO270*CO148+CP270*CP148+CQ270*CQ148+CR270*CR148+CS270*CS148</f>
        <v>0</v>
      </c>
      <c r="DA148" s="2504">
        <f>E271*E148+F271*F148+G271*G148+H271*H148+I271*I148+J271*J148+K271*K148+L271*L148+M271*M148+N271*N148+O271*O148+P271*P148+Q271*Q148+R271*R148+S271*S148+T271*T148+U271*U148+V271*V148+W271*W148+X271*X148+Y271*Y148+Z271*Z148+AA271*AA148+AB271*AB148+AC271*AC148+AD271*AD148+AE271*AE148+AF271*AF148+AG271*AG148+AH271*AH148+AI271*AI148+AJ271*AJ148+AK271*AK148+AL271*AL148+AM271*AM148+AN271*AN148+AO271*AO148+AP271*AP148+AQ271*AQ148+AR271*AR148+AS271*AS148+AT271*AT148+AU271*AU148+AV271*AV148+AW271*AW148+AX271*AX148+AY271*AY148+AZ271*AZ148+BA271*BA148+BB271*BB148+BC271*BC148+BD271*BD148+BE271*BE148+BF271*BF148+BG271*BG148+BH271*BH148+BI271*BI148+BJ271*BJ148+BK271*BK148+BL271*BL148+BM271*BM148+BN271*BN148+BO271*BO148+BP271*BP148+BQ271*BQ148+BR271*BR148+BS271*BS148+BT271*BT148+BU271*BU148+BV271*BV148+BW271*BW148+BX271*BX148+BY271*BY148+BZ271*BZ148+CA271*CA148+CB271*CB148+CC271*CC148+CD271*CD148+CE271*CE148+CF271*CF148+CG271*CG148+CH271*CH148+CI271*CI148+CJ271*CJ148+CK271*CK148+CL271*CL148+CM271*CM148+CN271*CN148+CO271*CO148+CP271*CP148+CQ271*CQ148+CR271*CR148+CS271*CS148</f>
        <v>0</v>
      </c>
      <c r="DB148" s="2504">
        <f>E272*E148+F272*F148+G272*G148+H272*H148+I272*I148+J272*J148+K272*K148+L272*L148+M272*M148+N272*N148+O272*O148+P272*P148+Q272*Q148+R272*R148+S272*S148+T272*T148+U272*U148+V272*V148+W272*W148+X272*X148+Y272*Y148+Z272*Z148+AA272*AA148+AB272*AB148+AC272*AC148+AD272*AD148+AE272*AE148+AF272*AF148+AG272*AG148+AH272*AH148+AI272*AI148+AJ272*AJ148+AK272*AK148+AL272*AL148+AM272*AM148+AN272*AN148+AO272*AO148+AP272*AP148+AQ272*AQ148+AR272*AR148+AS272*AS148+AT272*AT148+AU272*AU148+AV272*AV148+AW272*AW148+AX272*AX148+AY272*AY148+AZ272*AZ148+BA272*BA148+BB272*BB148+BC272*BC148+BD272*BD148+BE272*BE148+BF272*BF148+BG272*BG148+BH272*BH148+BI272*BI148+BJ272*BJ148+BK272*BK148+BL272*BL148+BM272*BM148+BN272*BN148+BO272*BO148+BP272*BP148+BQ272*BQ148+BR272*BR148+BS272*BS148+BT272*BT148+BU272*BU148+BV272*BV148+BW272*BW148+BX272*BX148+BY272*BY148+BZ272*BZ148+CA272*CA148+CB272*CB148+CC272*CC148+CD272*CD148+CE272*CE148+CF272*CF148+CG272*CG148+CH272*CH148+CI272*CI148+CJ272*CJ148+CK272*CK148+CL272*CL148+CM272*CM148+CN272*CN148+CO272*CO148+CP272*CP148+CQ272*CQ148+CR272*CR148+CS272*CS148</f>
        <v>0</v>
      </c>
      <c r="DC148" s="2504">
        <f>E273*E148+F273*F148+G273*G148+H273*H148+I273*I148+J273*J148+K273*K148+L273*L148+M273*M148+N273*N148+O273*O148+P273*P148+Q273*Q148+R273*R148+S273*S148+T273*T148+U273*U148+V273*V148+W273*W148+X273*X148+Y273*Y148+Z273*Z148+AA273*AA148+AB273*AB148+AC273*AC148+AD273*AD148+AE273*AE148+AF273*AF148+AG273*AG148+AH273*AH148+AI273*AI148+AJ273*AJ148+AK273*AK148+AL273*AL148+AM273*AM148+AN273*AN148+AO273*AO148+AP273*AP148+AQ273*AQ148+AR273*AR148+AS273*AS148+AT273*AT148+AU273*AU148+AV273*AV148+AW273*AW148+AX273*AX148+AY273*AY148+AZ273*AZ148+BA273*BA148+BB273*BB148+BC273*BC148+BD273*BD148+BE273*BE148+BF273*BF148+BG273*BG148+BH273*BH148+BI273*BI148+BJ273*BJ148+BK273*BK148+BL273*BL148+BM273*BM148+BN273*BN148+BO273*BO148+BP273*BP148+BQ273*BQ148+BR273*BR148+BS273*BS148+BT273*BT148+BU273*BU148+BV273*BV148+BW273*BW148+BX273*BX148+BY273*BY148+BZ273*BZ148+CA273*CA148+CB273*CB148+CC273*CC148+CD273*CD148+CE273*CE148+CF273*CF148+CG273*CG148+CH273*CH148+CI273*CI148+CJ273*CJ148+CK273*CK148+CL273*CL148+CM273*CM148+CN273*CN148+CO273*CO148+CP273*CP148+CQ273*CQ148+CR273*CR148+CS273*CS148</f>
        <v>0</v>
      </c>
      <c r="DD148" s="2504">
        <f>E274*E148+F274*F148+G274*G148+H274*H148+I274*I148+J274*J148+K274*K148+L274*L148+M274*M148+N274*N148+O274*O148+P274*P148+Q274*Q148+R274*R148+S274*S148+T274*T148+U274*U148+V274*V148+W274*W148+X274*X148+Y274*Y148+Z274*Z148+AA274*AA148+AB274*AB148+AC274*AC148+AD274*AD148+AE274*AE148+AF274*AF148+AG274*AG148+AH274*AH148+AI274*AI148+AJ274*AJ148+AK274*AK148+AL274*AL148+AM274*AM148+AN274*AN148+AO274*AO148+AP274*AP148+AQ274*AQ148+AR274*AR148+AS274*AS148+AT274*AT148+AU274*AU148+AV274*AV148+AW274*AW148+AX274*AX148+AY274*AY148+AZ274*AZ148+BA274*BA148+BB274*BB148+BC274*BC148+BD274*BD148+BE274*BE148+BF274*BF148+BG274*BG148+BH274*BH148+BI274*BI148+BJ274*BJ148+BK274*BK148+BL274*BL148+BM274*BM148+BN274*BN148+BO274*BO148+BP274*BP148+BQ274*BQ148+BR274*BR148+BS274*BS148+BT274*BT148+BU274*BU148+BV274*BV148+BW274*BW148+BX274*BX148+BY274*BY148+BZ274*BZ148+CA274*CA148+CB274*CB148+CC274*CC148+CD274*CD148+CE274*CE148+CF274*CF148+CG274*CG148+CH274*CH148+CI274*CI148+CJ274*CJ148+CK274*CK148+CL274*CL148+CM274*CM148+CN274*CN148+CO274*CO148+CP274*CP148+CQ274*CQ148+CR274*CR148+CS274*CS148</f>
        <v>0</v>
      </c>
      <c r="DE148" s="2504">
        <f>E275*E148+F275*F148+G275*G148+H275*H148+I275*I148+J275*J148+K275*K148+L275*L148+M275*M148+N275*N148+O275*O148+P275*P148+Q275*Q148+R275*R148+S275*S148+T275*T148+U275*U148+V275*V148+W275*W148+X275*X148+Y275*Y148+Z275*Z148+AA275*AA148+AB275*AB148+AC275*AC148+AD275*AD148+AE275*AE148+AF275*AF148+AG275*AG148+AH275*AH148+AI275*AI148+AJ275*AJ148+AK275*AK148+AL275*AL148+AM275*AM148+AN275*AN148+AO275*AO148+AP275*AP148+AQ275*AQ148+AR275*AR148+AS275*AS148+AT275*AT148+AU275*AU148+AV275*AV148+AW275*AW148+AX275*AX148+AY275*AY148+AZ275*AZ148+BA275*BA148+BB275*BB148+BC275*BC148+BD275*BD148+BE275*BE148+BF275*BF148+BG275*BG148+BH275*BH148+BI275*BI148+BJ275*BJ148+BK275*BK148+BL275*BL148+BM275*BM148+BN275*BN148+BO275*BO148+BP275*BP148+BQ275*BQ148+BR275*BR148+BS275*BS148+BT275*BT148+BU275*BU148+BV275*BV148+BW275*BW148+BX275*BX148+BY275*BY148+BZ275*BZ148+CA275*CA148+CB275*CB148+CC275*CC148+CD275*CD148+CE275*CE148+CF275*CF148+CG275*CG148+CH275*CH148+CI275*CI148+CJ275*CJ148+CK275*CK148+CL275*CL148+CM275*CM148+CN275*CN148+CO275*CO148+CP275*CP148+CQ275*CQ148+CR275*CR148+CS275*CS148</f>
        <v>0</v>
      </c>
      <c r="DF148" s="2504">
        <f>E276*E148+F276*F148+G276*G148+H276*H148+I276*I148+J276*J148+K276*K148+L276*L148+M276*M148+N276*N148+O276*O148+P276*P148+Q276*Q148+R276*R148+S276*S148+T276*T148+U276*U148+V276*V148+W276*W148+X276*X148+Y276*Y148+Z276*Z148+AA276*AA148+AB276*AB148+AC276*AC148+AD276*AD148+AE276*AE148+AF276*AF148+AG276*AG148+AH276*AH148+AI276*AI148+AJ276*AJ148+AK276*AK148+AL276*AL148+AM276*AM148+AN276*AN148+AO276*AO148+AP276*AP148+AQ276*AQ148+AR276*AR148+AS276*AS148+AT276*AT148+AU276*AU148+AV276*AV148+AW276*AW148+AX276*AX148+AY276*AY148+AZ276*AZ148+BA276*BA148+BB276*BB148+BC276*BC148+BD276*BD148+BE276*BE148+BF276*BF148+BG276*BG148+BH276*BH148+BI276*BI148+BJ276*BJ148+BK276*BK148+BL276*BL148+BM276*BM148+BN276*BN148+BO276*BO148+BP276*BP148+BQ276*BQ148+BR276*BR148+BS276*BS148+BT276*BT148+BU276*BU148+BV276*BV148+BW276*BW148+BX276*BX148+BY276*BY148+BZ276*BZ148+CA276*CA148+CB276*CB148+CC276*CC148+CD276*CD148+CE276*CE148+CF276*CF148+CG276*CG148+CH276*CH148+CI276*CI148+CJ276*CJ148+CK276*CK148+CL276*CL148+CM276*CM148+CN276*CN148+CO276*CO148+CP276*CP148+CQ276*CQ148+CR276*CR148+CS276*CS148</f>
        <v>0</v>
      </c>
    </row>
    <row r="149" spans="2:110" ht="18" x14ac:dyDescent="0.35">
      <c r="B149" s="362">
        <v>7</v>
      </c>
      <c r="C149" s="363" t="s">
        <v>230</v>
      </c>
      <c r="D149" s="523" t="s">
        <v>3623</v>
      </c>
      <c r="E149" s="497">
        <f>0</f>
        <v>0</v>
      </c>
      <c r="F149" s="496">
        <f>-1/Y_OHO_SB_anox</f>
        <v>-1.8518518518518516</v>
      </c>
      <c r="G149" s="497">
        <f>0</f>
        <v>0</v>
      </c>
      <c r="H149" s="497">
        <f>0</f>
        <v>0</v>
      </c>
      <c r="I149" s="497">
        <f>0</f>
        <v>0</v>
      </c>
      <c r="J149" s="497">
        <f>0</f>
        <v>0</v>
      </c>
      <c r="K149" s="497">
        <f>0</f>
        <v>0</v>
      </c>
      <c r="L149" s="497">
        <f>0</f>
        <v>0</v>
      </c>
      <c r="M149" s="497">
        <f>0</f>
        <v>0</v>
      </c>
      <c r="N149" s="497">
        <f>0</f>
        <v>0</v>
      </c>
      <c r="O149" s="497">
        <f>0</f>
        <v>0</v>
      </c>
      <c r="P149" s="497">
        <f>0</f>
        <v>0</v>
      </c>
      <c r="Q149" s="497">
        <f>0</f>
        <v>0</v>
      </c>
      <c r="R149" s="497">
        <f>1</f>
        <v>1</v>
      </c>
      <c r="S149" s="497">
        <f>0</f>
        <v>0</v>
      </c>
      <c r="T149" s="497">
        <f>0</f>
        <v>0</v>
      </c>
      <c r="U149" s="497">
        <f>0</f>
        <v>0</v>
      </c>
      <c r="V149" s="497">
        <f>0</f>
        <v>0</v>
      </c>
      <c r="W149" s="497">
        <f>0</f>
        <v>0</v>
      </c>
      <c r="X149" s="497">
        <f>0</f>
        <v>0</v>
      </c>
      <c r="Y149" s="497">
        <f>0</f>
        <v>0</v>
      </c>
      <c r="Z149" s="497">
        <f>0</f>
        <v>0</v>
      </c>
      <c r="AA149" s="496">
        <f t="shared" si="0"/>
        <v>-7.0000000000000007E-2</v>
      </c>
      <c r="AB149" s="496">
        <f>0</f>
        <v>0</v>
      </c>
      <c r="AC149" s="496">
        <f>-(1-Y_OHO_SB_anox)/(E_EQNO2_NO3*Y_OHO_SB_anox)</f>
        <v>-0.74575504914767643</v>
      </c>
      <c r="AD149" s="496">
        <f>(1-Y_OHO_SB_anox)/(E_EQNO2_NO3*Y_OHO_SB_anox)</f>
        <v>0.74575504914767643</v>
      </c>
      <c r="AE149" s="496">
        <f>0</f>
        <v>0</v>
      </c>
      <c r="AF149" s="496">
        <f>0</f>
        <v>0</v>
      </c>
      <c r="AG149" s="496">
        <f>0</f>
        <v>0</v>
      </c>
      <c r="AH149" s="496">
        <f>0</f>
        <v>0</v>
      </c>
      <c r="AI149" s="497">
        <f>0</f>
        <v>0</v>
      </c>
      <c r="AJ149" s="497">
        <f>0</f>
        <v>0</v>
      </c>
      <c r="AK149" s="497">
        <f>0</f>
        <v>0</v>
      </c>
      <c r="AL149" s="497">
        <f>0</f>
        <v>0</v>
      </c>
      <c r="AM149" s="496">
        <f t="shared" si="1"/>
        <v>-0.02</v>
      </c>
      <c r="AN149" s="497">
        <f>0</f>
        <v>0</v>
      </c>
      <c r="AO149" s="497">
        <f>0</f>
        <v>0</v>
      </c>
      <c r="AP149" s="497">
        <f>0</f>
        <v>0</v>
      </c>
      <c r="AQ149" s="497">
        <f>0</f>
        <v>0</v>
      </c>
      <c r="AR149" s="497">
        <f>0</f>
        <v>0</v>
      </c>
      <c r="AS149" s="497">
        <f>0</f>
        <v>0</v>
      </c>
      <c r="AT149" s="497">
        <f>0</f>
        <v>0</v>
      </c>
      <c r="AU149" s="497">
        <f>0</f>
        <v>0</v>
      </c>
      <c r="AV149" s="496">
        <f>i_CIT_SB/Y_OHO_SB_anox-i_CIT_BIO</f>
        <v>0.17762962962962958</v>
      </c>
      <c r="AW149" s="496">
        <f t="shared" si="2"/>
        <v>0.11</v>
      </c>
      <c r="AX149" s="496">
        <f t="shared" si="3"/>
        <v>-2.8804303582798466E-2</v>
      </c>
      <c r="AY149" s="496">
        <f t="shared" si="4"/>
        <v>-7.0195696417201539E-2</v>
      </c>
      <c r="AZ149" s="496">
        <f t="shared" si="5"/>
        <v>-5.5000000000000005E-3</v>
      </c>
      <c r="BA149" s="496">
        <f t="shared" si="6"/>
        <v>-5.5000000000000005E-3</v>
      </c>
      <c r="BB149" s="496">
        <f>0</f>
        <v>0</v>
      </c>
      <c r="BC149" s="496">
        <f>0</f>
        <v>0</v>
      </c>
      <c r="BD149" s="496">
        <f>0</f>
        <v>0</v>
      </c>
      <c r="BE149" s="496">
        <f>0</f>
        <v>0</v>
      </c>
      <c r="BF149" s="496">
        <f>0</f>
        <v>0</v>
      </c>
      <c r="BG149" s="496">
        <f>0</f>
        <v>0</v>
      </c>
      <c r="BH149" s="496">
        <f>0</f>
        <v>0</v>
      </c>
      <c r="BI149" s="496">
        <f>0</f>
        <v>0</v>
      </c>
      <c r="BJ149" s="496">
        <f>0</f>
        <v>0</v>
      </c>
      <c r="BK149" s="496">
        <f>0</f>
        <v>0</v>
      </c>
      <c r="BL149" s="496">
        <f>0</f>
        <v>0</v>
      </c>
      <c r="BM149" s="496">
        <f>0</f>
        <v>0</v>
      </c>
      <c r="BN149" s="496">
        <f>0</f>
        <v>0</v>
      </c>
      <c r="BO149" s="496">
        <f>0</f>
        <v>0</v>
      </c>
      <c r="BP149" s="496">
        <f>0</f>
        <v>0</v>
      </c>
      <c r="BQ149" s="496">
        <f>0</f>
        <v>0</v>
      </c>
      <c r="BR149" s="496">
        <f>0</f>
        <v>0</v>
      </c>
      <c r="BS149" s="496">
        <f>0</f>
        <v>0</v>
      </c>
      <c r="BT149" s="496">
        <f>0</f>
        <v>0</v>
      </c>
      <c r="BU149" s="496">
        <f>0</f>
        <v>0</v>
      </c>
      <c r="BV149" s="496">
        <f>0</f>
        <v>0</v>
      </c>
      <c r="BW149" s="2353">
        <f>0</f>
        <v>0</v>
      </c>
      <c r="BX149" s="2353">
        <f>0</f>
        <v>0</v>
      </c>
      <c r="BY149" s="2353">
        <f>0</f>
        <v>0</v>
      </c>
      <c r="BZ149" s="2353">
        <f>0</f>
        <v>0</v>
      </c>
      <c r="CA149" s="496">
        <f>0</f>
        <v>0</v>
      </c>
      <c r="CB149" s="496">
        <f>0</f>
        <v>0</v>
      </c>
      <c r="CC149" s="496">
        <f>0</f>
        <v>0</v>
      </c>
      <c r="CD149" s="496">
        <f>0</f>
        <v>0</v>
      </c>
      <c r="CE149" s="496">
        <f>0</f>
        <v>0</v>
      </c>
      <c r="CF149" s="496">
        <f>0</f>
        <v>0</v>
      </c>
      <c r="CG149" s="496">
        <f>0</f>
        <v>0</v>
      </c>
      <c r="CH149" s="496">
        <f>0</f>
        <v>0</v>
      </c>
      <c r="CI149" s="496">
        <f>0</f>
        <v>0</v>
      </c>
      <c r="CJ149" s="496">
        <f>0</f>
        <v>0</v>
      </c>
      <c r="CK149" s="496">
        <f>0</f>
        <v>0</v>
      </c>
      <c r="CL149" s="496">
        <f>0</f>
        <v>0</v>
      </c>
      <c r="CM149" s="496">
        <f>0</f>
        <v>0</v>
      </c>
      <c r="CN149" s="496">
        <f>0</f>
        <v>0</v>
      </c>
      <c r="CO149" s="496">
        <f>0</f>
        <v>0</v>
      </c>
      <c r="CP149" s="496">
        <f>0</f>
        <v>0</v>
      </c>
      <c r="CQ149" s="496">
        <f>0</f>
        <v>0</v>
      </c>
      <c r="CR149" s="496">
        <f>0</f>
        <v>0</v>
      </c>
      <c r="CS149" s="496">
        <f>0</f>
        <v>0</v>
      </c>
      <c r="CT149" s="2480">
        <f>µ_OHO_T*X_OHO*η_OHO_NO3*M_satSB_KSB_NO3*M_inhSVFA_KVFA*M_satSNO3_KNO3_OHO*M_inhSO2_KO2_OHO_NO3*M_satSNHx_KNHx_BIO*M_satSPO4_KPO4_BIO*M_satSCAT_KCAT*M_satSAN_KAN*M_satSCa_KCa*M_satSMg_KMg*B_ellinhpH</f>
        <v>6.0619901690740212</v>
      </c>
      <c r="CV149" s="2502">
        <f>E266*E149+F266*F149+G266*G149+H266*H149+I266*I149+J266*J149+K266*K149+L266*L149+M266*M149+N266*N149+O266*O149+P266*P149+Q266*Q149+R266*R149+S266*S149+T266*T149+U266*U149+V266*V149+W266*W149+X266*X149+Y266*Y149+Z266*Z149+AA266*AA149+AB266*AB149+AC266*AC149+AD266*AD149+AE266*AE149+AF266*AF149+AG266*AG149+AH266*AH149+AI266*AI149+AJ266*AJ149+AK266*AK149+AL266*AL149+AM266*AM149+AN266*AN149+AO266*AO149+AP266*AP149+AQ266*AQ149+AR266*AR149+AS266*AS149+AT266*AT149+AU266*AU149+AV266*AV149+AW266*AW149+AX266*AX149+AY266*AY149+AZ266*AZ149+BA266*BA149+BB266*BB149+BC266*BC149+BD266*BD149+BE266*BE149+BF266*BF149+BG266*BG149+BH266*BH149+BI266*BI149+BJ266*BJ149+BK266*BK149+BL266*BL149+BM266*BM149+BN266*BN149+BO266*BO149+BP266*BP149+BQ266*BQ149+BR266*BR149+BS266*BS149+BT266*BT149+BU266*BU149+BV266*BV149+BW266*BW149+BX266*BX149+BY266*BY149+BZ266*BZ149+CA266*CA149+CB266*CB149+CC266*CC149+CD266*CD149+CE266*CE149+CF266*CF149+CG266*CG149+CH266*CH149+CI266*CI149+CJ266*CJ149+CK266*CK149+CL266*CL149+CM266*CM149+CN266*CN149+CO266*CO149+CP266*CP149+CQ266*CQ149+CR266*CR149+CS266*CS149</f>
        <v>0</v>
      </c>
      <c r="CW149" s="2502">
        <f>E267*E149+F267*F149+G267*G149+H267*H149+I267*I149+J267*J149+K267*K149+L267*L149+M267*M149+N267*N149+O267*O149+P267*P149+Q267*Q149+R267*R149+S267*S149+T267*T149+U267*U149+V267*V149+W267*W149+X267*X149+Y267*Y149+Z267*Z149+AA267*AA149+AB267*AB149+AC267*AC149+AD267*AD149+AE267*AE149+AF267*AF149+AG267*AG149+AH267*AH149+AI267*AI149+AJ267*AJ149+AK267*AK149+AL267*AL149+AM267*AM149+AN267*AN149+AO267*AO149+AP267*AP149+AQ267*AQ149+AR267*AR149+AS267*AS149+AT267*AT149+AU267*AU149+AV267*AV149+AW267*AW149+AX267*AX149+AY267*AY149+AZ267*AZ149+BA267*BA149+BB267*BB149+BC267*BC149+BD267*BD149+BE267*BE149+BF267*BF149+BG267*BG149+BH267*BH149+BI267*BI149+BJ267*BJ149+BK267*BK149+BL267*BL149+BM267*BM149+BN267*BN149+BO267*BO149+BP267*BP149+BQ267*BQ149+BR267*BR149+BS267*BS149+BT267*BT149+BU267*BU149+BV267*BV149+BW267*BW149+BX267*BX149+BY267*BY149+BZ267*BZ149+CA267*CA149+CB267*CB149+CC267*CC149+CD267*CD149+CE267*CE149+CF267*CF149+CG267*CG149+CH267*CH149+CI267*CI149+CJ267*CJ149+CK267*CK149+CL267*CL149+CM267*CM149+CN267*CN149+CO267*CO149+CP267*CP149+CQ267*CQ149+CR267*CR149+CS267*CS149</f>
        <v>0</v>
      </c>
      <c r="CX149" s="2503">
        <f>E268*E149+F268*F149+G268*G149+H268*H149+I268*I149+J268*J149+K268*K149+L268*L149+M268*M149+N268*N149+O268*O149+P268*P149+Q268*Q149+R268*R149+S268*S149+T268*T149+U268*U149+V268*V149+W268*W149+X268*X149+Y268*Y149+Z268*Z149+AA268*AA149+AB268*AB149+AC268*AC149+AD268*AD149+AE268*AE149+AF268*AF149+AG268*AG149+AH268*AH149+AI268*AI149+AJ268*AJ149+AK268*AK149+AL268*AL149+AM268*AM149+AN268*AN149+AO268*AO149+AP268*AP149+AQ268*AQ149+AR268*AR149+AS268*AS149+AT268*AT149+AU268*AU149+AV268*AV149+AW268*AW149+AX268*AX149+AY268*AY149+AZ268*AZ149+BA268*BA149+BB268*BB149+BC268*BC149+BD268*BD149+BE268*BE149+BF268*BF149+BG268*BG149+BH268*BH149+BI268*BI149+BJ268*BJ149+BK268*BK149+BL268*BL149+BM268*BM149+BN268*BN149+BO268*BO149+BP268*BP149+BQ268*BQ149+BR268*BR149+BS268*BS149+BT268*BT149+BU268*BU149+BV268*BV149+BW268*BW149+BX268*BX149+BY268*BY149+BZ268*BZ149+CA268*CA149+CB268*CB149+CC268*CC149+CD268*CD149+CE268*CE149+CF268*CF149+CG268*CG149+CH268*CH149+CI268*CI149+CJ268*CJ149+CK268*CK149+CL268*CL149+CM268*CM149+CN268*CN149+CO268*CO149+CP268*CP149+CQ268*CQ149+CR268*CR149+CS268*CS149</f>
        <v>0</v>
      </c>
      <c r="CY149" s="2504">
        <f>E269*E149+F269*F149+G269*G149+H269*H149+I269*I149+J269*J149+K269*K149+L269*L149+M269*M149+N269*N149+O269*O149+P269*P149+Q269*Q149+R269*R149+S269*S149+T269*T149+U269*U149+V269*V149+W269*W149+X269*X149+Y269*Y149+Z269*Z149+AA269*AA149+AB269*AB149+AC269*AC149+AD269*AD149+AE269*AE149+AF269*AF149+AG269*AG149+AH269*AH149+AI269*AI149+AJ269*AJ149+AK269*AK149+AL269*AL149+AM269*AM149+AN269*AN149+AO269*AO149+AP269*AP149+AQ269*AQ149+AR269*AR149+AS269*AS149+AT269*AT149+AU269*AU149+AV269*AV149+AW269*AW149+AX269*AX149+AY269*AY149+AZ269*AZ149+BA269*BA149+BB269*BB149+BC269*BC149+BD269*BD149+BE269*BE149+BF269*BF149+BG269*BG149+BH269*BH149+BI269*BI149+BJ269*BJ149+BK269*BK149+BL269*BL149+BM269*BM149+BN269*BN149+BO269*BO149+BP269*BP149+BQ269*BQ149+BR269*BR149+BS269*BS149+BT269*BT149+BU269*BU149+BV269*BV149+BW269*BW149+BX269*BX149+BY269*BY149+BZ269*BZ149+CA269*CA149+CB269*CB149+CC269*CC149+CD269*CD149+CE269*CE149+CF269*CF149+CG269*CG149+CH269*CH149+CI269*CI149+CJ269*CJ149+CK269*CK149+CL269*CL149+CM269*CM149+CN269*CN149+CO269*CO149+CP269*CP149+CQ269*CQ149+CR269*CR149+CS269*CS149</f>
        <v>0</v>
      </c>
      <c r="CZ149" s="2504">
        <f>E270*E149+F270*F149+G270*G149+H270*H149+I270*I149+J270*J149+K270*K149+L270*L149+M270*M149+N270*N149+O270*O149+P270*P149+Q270*Q149+R270*R149+S270*S149+T270*T149+U270*U149+V270*V149+W270*W149+X270*X149+Y270*Y149+Z270*Z149+AA270*AA149+AB270*AB149+AC270*AC149+AD270*AD149+AE270*AE149+AF270*AF149+AG270*AG149+AH270*AH149+AI270*AI149+AJ270*AJ149+AK270*AK149+AL270*AL149+AM270*AM149+AN270*AN149+AO270*AO149+AP270*AP149+AQ270*AQ149+AR270*AR149+AS270*AS149+AT270*AT149+AU270*AU149+AV270*AV149+AW270*AW149+AX270*AX149+AY270*AY149+AZ270*AZ149+BA270*BA149+BB270*BB149+BC270*BC149+BD270*BD149+BE270*BE149+BF270*BF149+BG270*BG149+BH270*BH149+BI270*BI149+BJ270*BJ149+BK270*BK149+BL270*BL149+BM270*BM149+BN270*BN149+BO270*BO149+BP270*BP149+BQ270*BQ149+BR270*BR149+BS270*BS149+BT270*BT149+BU270*BU149+BV270*BV149+BW270*BW149+BX270*BX149+BY270*BY149+BZ270*BZ149+CA270*CA149+CB270*CB149+CC270*CC149+CD270*CD149+CE270*CE149+CF270*CF149+CG270*CG149+CH270*CH149+CI270*CI149+CJ270*CJ149+CK270*CK149+CL270*CL149+CM270*CM149+CN270*CN149+CO270*CO149+CP270*CP149+CQ270*CQ149+CR270*CR149+CS270*CS149</f>
        <v>0</v>
      </c>
      <c r="DA149" s="2504">
        <f>E271*E149+F271*F149+G271*G149+H271*H149+I271*I149+J271*J149+K271*K149+L271*L149+M271*M149+N271*N149+O271*O149+P271*P149+Q271*Q149+R271*R149+S271*S149+T271*T149+U271*U149+V271*V149+W271*W149+X271*X149+Y271*Y149+Z271*Z149+AA271*AA149+AB271*AB149+AC271*AC149+AD271*AD149+AE271*AE149+AF271*AF149+AG271*AG149+AH271*AH149+AI271*AI149+AJ271*AJ149+AK271*AK149+AL271*AL149+AM271*AM149+AN271*AN149+AO271*AO149+AP271*AP149+AQ271*AQ149+AR271*AR149+AS271*AS149+AT271*AT149+AU271*AU149+AV271*AV149+AW271*AW149+AX271*AX149+AY271*AY149+AZ271*AZ149+BA271*BA149+BB271*BB149+BC271*BC149+BD271*BD149+BE271*BE149+BF271*BF149+BG271*BG149+BH271*BH149+BI271*BI149+BJ271*BJ149+BK271*BK149+BL271*BL149+BM271*BM149+BN271*BN149+BO271*BO149+BP271*BP149+BQ271*BQ149+BR271*BR149+BS271*BS149+BT271*BT149+BU271*BU149+BV271*BV149+BW271*BW149+BX271*BX149+BY271*BY149+BZ271*BZ149+CA271*CA149+CB271*CB149+CC271*CC149+CD271*CD149+CE271*CE149+CF271*CF149+CG271*CG149+CH271*CH149+CI271*CI149+CJ271*CJ149+CK271*CK149+CL271*CL149+CM271*CM149+CN271*CN149+CO271*CO149+CP271*CP149+CQ271*CQ149+CR271*CR149+CS271*CS149</f>
        <v>0</v>
      </c>
      <c r="DB149" s="2504">
        <f>E272*E149+F272*F149+G272*G149+H272*H149+I272*I149+J272*J149+K272*K149+L272*L149+M272*M149+N272*N149+O272*O149+P272*P149+Q272*Q149+R272*R149+S272*S149+T272*T149+U272*U149+V272*V149+W272*W149+X272*X149+Y272*Y149+Z272*Z149+AA272*AA149+AB272*AB149+AC272*AC149+AD272*AD149+AE272*AE149+AF272*AF149+AG272*AG149+AH272*AH149+AI272*AI149+AJ272*AJ149+AK272*AK149+AL272*AL149+AM272*AM149+AN272*AN149+AO272*AO149+AP272*AP149+AQ272*AQ149+AR272*AR149+AS272*AS149+AT272*AT149+AU272*AU149+AV272*AV149+AW272*AW149+AX272*AX149+AY272*AY149+AZ272*AZ149+BA272*BA149+BB272*BB149+BC272*BC149+BD272*BD149+BE272*BE149+BF272*BF149+BG272*BG149+BH272*BH149+BI272*BI149+BJ272*BJ149+BK272*BK149+BL272*BL149+BM272*BM149+BN272*BN149+BO272*BO149+BP272*BP149+BQ272*BQ149+BR272*BR149+BS272*BS149+BT272*BT149+BU272*BU149+BV272*BV149+BW272*BW149+BX272*BX149+BY272*BY149+BZ272*BZ149+CA272*CA149+CB272*CB149+CC272*CC149+CD272*CD149+CE272*CE149+CF272*CF149+CG272*CG149+CH272*CH149+CI272*CI149+CJ272*CJ149+CK272*CK149+CL272*CL149+CM272*CM149+CN272*CN149+CO272*CO149+CP272*CP149+CQ272*CQ149+CR272*CR149+CS272*CS149</f>
        <v>0</v>
      </c>
      <c r="DC149" s="2504">
        <f>E273*E149+F273*F149+G273*G149+H273*H149+I273*I149+J273*J149+K273*K149+L273*L149+M273*M149+N273*N149+O273*O149+P273*P149+Q273*Q149+R273*R149+S273*S149+T273*T149+U273*U149+V273*V149+W273*W149+X273*X149+Y273*Y149+Z273*Z149+AA273*AA149+AB273*AB149+AC273*AC149+AD273*AD149+AE273*AE149+AF273*AF149+AG273*AG149+AH273*AH149+AI273*AI149+AJ273*AJ149+AK273*AK149+AL273*AL149+AM273*AM149+AN273*AN149+AO273*AO149+AP273*AP149+AQ273*AQ149+AR273*AR149+AS273*AS149+AT273*AT149+AU273*AU149+AV273*AV149+AW273*AW149+AX273*AX149+AY273*AY149+AZ273*AZ149+BA273*BA149+BB273*BB149+BC273*BC149+BD273*BD149+BE273*BE149+BF273*BF149+BG273*BG149+BH273*BH149+BI273*BI149+BJ273*BJ149+BK273*BK149+BL273*BL149+BM273*BM149+BN273*BN149+BO273*BO149+BP273*BP149+BQ273*BQ149+BR273*BR149+BS273*BS149+BT273*BT149+BU273*BU149+BV273*BV149+BW273*BW149+BX273*BX149+BY273*BY149+BZ273*BZ149+CA273*CA149+CB273*CB149+CC273*CC149+CD273*CD149+CE273*CE149+CF273*CF149+CG273*CG149+CH273*CH149+CI273*CI149+CJ273*CJ149+CK273*CK149+CL273*CL149+CM273*CM149+CN273*CN149+CO273*CO149+CP273*CP149+CQ273*CQ149+CR273*CR149+CS273*CS149</f>
        <v>0</v>
      </c>
      <c r="DD149" s="2504">
        <f>E274*E149+F274*F149+G274*G149+H274*H149+I274*I149+J274*J149+K274*K149+L274*L149+M274*M149+N274*N149+O274*O149+P274*P149+Q274*Q149+R274*R149+S274*S149+T274*T149+U274*U149+V274*V149+W274*W149+X274*X149+Y274*Y149+Z274*Z149+AA274*AA149+AB274*AB149+AC274*AC149+AD274*AD149+AE274*AE149+AF274*AF149+AG274*AG149+AH274*AH149+AI274*AI149+AJ274*AJ149+AK274*AK149+AL274*AL149+AM274*AM149+AN274*AN149+AO274*AO149+AP274*AP149+AQ274*AQ149+AR274*AR149+AS274*AS149+AT274*AT149+AU274*AU149+AV274*AV149+AW274*AW149+AX274*AX149+AY274*AY149+AZ274*AZ149+BA274*BA149+BB274*BB149+BC274*BC149+BD274*BD149+BE274*BE149+BF274*BF149+BG274*BG149+BH274*BH149+BI274*BI149+BJ274*BJ149+BK274*BK149+BL274*BL149+BM274*BM149+BN274*BN149+BO274*BO149+BP274*BP149+BQ274*BQ149+BR274*BR149+BS274*BS149+BT274*BT149+BU274*BU149+BV274*BV149+BW274*BW149+BX274*BX149+BY274*BY149+BZ274*BZ149+CA274*CA149+CB274*CB149+CC274*CC149+CD274*CD149+CE274*CE149+CF274*CF149+CG274*CG149+CH274*CH149+CI274*CI149+CJ274*CJ149+CK274*CK149+CL274*CL149+CM274*CM149+CN274*CN149+CO274*CO149+CP274*CP149+CQ274*CQ149+CR274*CR149+CS274*CS149</f>
        <v>0</v>
      </c>
      <c r="DE149" s="2504">
        <f>E275*E149+F275*F149+G275*G149+H275*H149+I275*I149+J275*J149+K275*K149+L275*L149+M275*M149+N275*N149+O275*O149+P275*P149+Q275*Q149+R275*R149+S275*S149+T275*T149+U275*U149+V275*V149+W275*W149+X275*X149+Y275*Y149+Z275*Z149+AA275*AA149+AB275*AB149+AC275*AC149+AD275*AD149+AE275*AE149+AF275*AF149+AG275*AG149+AH275*AH149+AI275*AI149+AJ275*AJ149+AK275*AK149+AL275*AL149+AM275*AM149+AN275*AN149+AO275*AO149+AP275*AP149+AQ275*AQ149+AR275*AR149+AS275*AS149+AT275*AT149+AU275*AU149+AV275*AV149+AW275*AW149+AX275*AX149+AY275*AY149+AZ275*AZ149+BA275*BA149+BB275*BB149+BC275*BC149+BD275*BD149+BE275*BE149+BF275*BF149+BG275*BG149+BH275*BH149+BI275*BI149+BJ275*BJ149+BK275*BK149+BL275*BL149+BM275*BM149+BN275*BN149+BO275*BO149+BP275*BP149+BQ275*BQ149+BR275*BR149+BS275*BS149+BT275*BT149+BU275*BU149+BV275*BV149+BW275*BW149+BX275*BX149+BY275*BY149+BZ275*BZ149+CA275*CA149+CB275*CB149+CC275*CC149+CD275*CD149+CE275*CE149+CF275*CF149+CG275*CG149+CH275*CH149+CI275*CI149+CJ275*CJ149+CK275*CK149+CL275*CL149+CM275*CM149+CN275*CN149+CO275*CO149+CP275*CP149+CQ275*CQ149+CR275*CR149+CS275*CS149</f>
        <v>0</v>
      </c>
      <c r="DF149" s="2504">
        <f>E276*E149+F276*F149+G276*G149+H276*H149+I276*I149+J276*J149+K276*K149+L276*L149+M276*M149+N276*N149+O276*O149+P276*P149+Q276*Q149+R276*R149+S276*S149+T276*T149+U276*U149+V276*V149+W276*W149+X276*X149+Y276*Y149+Z276*Z149+AA276*AA149+AB276*AB149+AC276*AC149+AD276*AD149+AE276*AE149+AF276*AF149+AG276*AG149+AH276*AH149+AI276*AI149+AJ276*AJ149+AK276*AK149+AL276*AL149+AM276*AM149+AN276*AN149+AO276*AO149+AP276*AP149+AQ276*AQ149+AR276*AR149+AS276*AS149+AT276*AT149+AU276*AU149+AV276*AV149+AW276*AW149+AX276*AX149+AY276*AY149+AZ276*AZ149+BA276*BA149+BB276*BB149+BC276*BC149+BD276*BD149+BE276*BE149+BF276*BF149+BG276*BG149+BH276*BH149+BI276*BI149+BJ276*BJ149+BK276*BK149+BL276*BL149+BM276*BM149+BN276*BN149+BO276*BO149+BP276*BP149+BQ276*BQ149+BR276*BR149+BS276*BS149+BT276*BT149+BU276*BU149+BV276*BV149+BW276*BW149+BX276*BX149+BY276*BY149+BZ276*BZ149+CA276*CA149+CB276*CB149+CC276*CC149+CD276*CD149+CE276*CE149+CF276*CF149+CG276*CG149+CH276*CH149+CI276*CI149+CJ276*CJ149+CK276*CK149+CL276*CL149+CM276*CM149+CN276*CN149+CO276*CO149+CP276*CP149+CQ276*CQ149+CR276*CR149+CS276*CS149</f>
        <v>0</v>
      </c>
    </row>
    <row r="150" spans="2:110" ht="18" x14ac:dyDescent="0.35">
      <c r="B150" s="362">
        <v>8</v>
      </c>
      <c r="C150" s="363" t="s">
        <v>231</v>
      </c>
      <c r="D150" s="523" t="s">
        <v>3622</v>
      </c>
      <c r="E150" s="497">
        <f>0</f>
        <v>0</v>
      </c>
      <c r="F150" s="496">
        <f>-1/Y_OHO_SB_anox</f>
        <v>-1.8518518518518516</v>
      </c>
      <c r="G150" s="497">
        <f>0</f>
        <v>0</v>
      </c>
      <c r="H150" s="497">
        <f>0</f>
        <v>0</v>
      </c>
      <c r="I150" s="497">
        <f>0</f>
        <v>0</v>
      </c>
      <c r="J150" s="497">
        <f>0</f>
        <v>0</v>
      </c>
      <c r="K150" s="497">
        <f>0</f>
        <v>0</v>
      </c>
      <c r="L150" s="497">
        <f>0</f>
        <v>0</v>
      </c>
      <c r="M150" s="497">
        <f>0</f>
        <v>0</v>
      </c>
      <c r="N150" s="497">
        <f>0</f>
        <v>0</v>
      </c>
      <c r="O150" s="497">
        <f>0</f>
        <v>0</v>
      </c>
      <c r="P150" s="497">
        <f>0</f>
        <v>0</v>
      </c>
      <c r="Q150" s="497">
        <f>0</f>
        <v>0</v>
      </c>
      <c r="R150" s="497">
        <f>1</f>
        <v>1</v>
      </c>
      <c r="S150" s="497">
        <f>0</f>
        <v>0</v>
      </c>
      <c r="T150" s="497">
        <f>0</f>
        <v>0</v>
      </c>
      <c r="U150" s="497">
        <f>0</f>
        <v>0</v>
      </c>
      <c r="V150" s="497">
        <f>0</f>
        <v>0</v>
      </c>
      <c r="W150" s="497">
        <f>0</f>
        <v>0</v>
      </c>
      <c r="X150" s="497">
        <f>0</f>
        <v>0</v>
      </c>
      <c r="Y150" s="497">
        <f>0</f>
        <v>0</v>
      </c>
      <c r="Z150" s="497">
        <f>0</f>
        <v>0</v>
      </c>
      <c r="AA150" s="496">
        <f t="shared" si="0"/>
        <v>-7.0000000000000007E-2</v>
      </c>
      <c r="AB150" s="496">
        <f>0</f>
        <v>0</v>
      </c>
      <c r="AC150" s="496">
        <f>0</f>
        <v>0</v>
      </c>
      <c r="AD150" s="496">
        <f>-(1-Y_OHO_SB_anox)/(E_EQNO_NO2*Y_OHO_SB_anox)</f>
        <v>-1.4915100982953529</v>
      </c>
      <c r="AE150" s="496">
        <f>0</f>
        <v>0</v>
      </c>
      <c r="AF150" s="496">
        <f>(1-Y_OHO_SB_anox)/(E_EQNO_NO2*Y_OHO_SB_anox)</f>
        <v>1.4915100982953529</v>
      </c>
      <c r="AG150" s="496">
        <f>0</f>
        <v>0</v>
      </c>
      <c r="AH150" s="496">
        <f>0</f>
        <v>0</v>
      </c>
      <c r="AI150" s="497">
        <f>0</f>
        <v>0</v>
      </c>
      <c r="AJ150" s="497">
        <f>0</f>
        <v>0</v>
      </c>
      <c r="AK150" s="497">
        <f>0</f>
        <v>0</v>
      </c>
      <c r="AL150" s="497">
        <f>0</f>
        <v>0</v>
      </c>
      <c r="AM150" s="496">
        <f t="shared" si="1"/>
        <v>-0.02</v>
      </c>
      <c r="AN150" s="497">
        <f>0</f>
        <v>0</v>
      </c>
      <c r="AO150" s="497">
        <f>0</f>
        <v>0</v>
      </c>
      <c r="AP150" s="497">
        <f>0</f>
        <v>0</v>
      </c>
      <c r="AQ150" s="497">
        <f>0</f>
        <v>0</v>
      </c>
      <c r="AR150" s="497">
        <f>0</f>
        <v>0</v>
      </c>
      <c r="AS150" s="496">
        <f>0</f>
        <v>0</v>
      </c>
      <c r="AT150" s="496">
        <f>0</f>
        <v>0</v>
      </c>
      <c r="AU150" s="496">
        <f>0</f>
        <v>0</v>
      </c>
      <c r="AV150" s="496">
        <f>i_CIT_SB/Y_OHO_SB_anox-i_CIT_BIO</f>
        <v>0.17762962962962958</v>
      </c>
      <c r="AW150" s="496">
        <f t="shared" si="2"/>
        <v>0.11</v>
      </c>
      <c r="AX150" s="496">
        <f t="shared" si="3"/>
        <v>-2.8804303582798466E-2</v>
      </c>
      <c r="AY150" s="496">
        <f t="shared" si="4"/>
        <v>-7.0195696417201539E-2</v>
      </c>
      <c r="AZ150" s="496">
        <f t="shared" si="5"/>
        <v>-5.5000000000000005E-3</v>
      </c>
      <c r="BA150" s="496">
        <f t="shared" si="6"/>
        <v>-5.5000000000000005E-3</v>
      </c>
      <c r="BB150" s="496">
        <f>0</f>
        <v>0</v>
      </c>
      <c r="BC150" s="496">
        <f>0</f>
        <v>0</v>
      </c>
      <c r="BD150" s="496">
        <f>0</f>
        <v>0</v>
      </c>
      <c r="BE150" s="496">
        <f>0</f>
        <v>0</v>
      </c>
      <c r="BF150" s="496">
        <f>0</f>
        <v>0</v>
      </c>
      <c r="BG150" s="496">
        <f>0</f>
        <v>0</v>
      </c>
      <c r="BH150" s="496">
        <f>0</f>
        <v>0</v>
      </c>
      <c r="BI150" s="496">
        <f>0</f>
        <v>0</v>
      </c>
      <c r="BJ150" s="496">
        <f>0</f>
        <v>0</v>
      </c>
      <c r="BK150" s="496">
        <f>0</f>
        <v>0</v>
      </c>
      <c r="BL150" s="496">
        <f>0</f>
        <v>0</v>
      </c>
      <c r="BM150" s="496">
        <f>0</f>
        <v>0</v>
      </c>
      <c r="BN150" s="496">
        <f>0</f>
        <v>0</v>
      </c>
      <c r="BO150" s="496">
        <f>0</f>
        <v>0</v>
      </c>
      <c r="BP150" s="496">
        <f>0</f>
        <v>0</v>
      </c>
      <c r="BQ150" s="496">
        <f>0</f>
        <v>0</v>
      </c>
      <c r="BR150" s="496">
        <f>0</f>
        <v>0</v>
      </c>
      <c r="BS150" s="496">
        <f>0</f>
        <v>0</v>
      </c>
      <c r="BT150" s="496">
        <f>0</f>
        <v>0</v>
      </c>
      <c r="BU150" s="496">
        <f>0</f>
        <v>0</v>
      </c>
      <c r="BV150" s="496">
        <f>0</f>
        <v>0</v>
      </c>
      <c r="BW150" s="2353">
        <f>0</f>
        <v>0</v>
      </c>
      <c r="BX150" s="2353">
        <f>0</f>
        <v>0</v>
      </c>
      <c r="BY150" s="2353">
        <f>0</f>
        <v>0</v>
      </c>
      <c r="BZ150" s="2353">
        <f>0</f>
        <v>0</v>
      </c>
      <c r="CA150" s="496">
        <f>0</f>
        <v>0</v>
      </c>
      <c r="CB150" s="496">
        <f>0</f>
        <v>0</v>
      </c>
      <c r="CC150" s="496">
        <f>0</f>
        <v>0</v>
      </c>
      <c r="CD150" s="496">
        <f>0</f>
        <v>0</v>
      </c>
      <c r="CE150" s="496">
        <f>0</f>
        <v>0</v>
      </c>
      <c r="CF150" s="496">
        <f>0</f>
        <v>0</v>
      </c>
      <c r="CG150" s="496">
        <f>0</f>
        <v>0</v>
      </c>
      <c r="CH150" s="496">
        <f>0</f>
        <v>0</v>
      </c>
      <c r="CI150" s="496">
        <f>0</f>
        <v>0</v>
      </c>
      <c r="CJ150" s="496">
        <f>0</f>
        <v>0</v>
      </c>
      <c r="CK150" s="496">
        <f>0</f>
        <v>0</v>
      </c>
      <c r="CL150" s="496">
        <f>0</f>
        <v>0</v>
      </c>
      <c r="CM150" s="496">
        <f>0</f>
        <v>0</v>
      </c>
      <c r="CN150" s="496">
        <f>0</f>
        <v>0</v>
      </c>
      <c r="CO150" s="496">
        <f>0</f>
        <v>0</v>
      </c>
      <c r="CP150" s="496">
        <f>0</f>
        <v>0</v>
      </c>
      <c r="CQ150" s="496">
        <f>0</f>
        <v>0</v>
      </c>
      <c r="CR150" s="496">
        <f>0</f>
        <v>0</v>
      </c>
      <c r="CS150" s="496">
        <f>0</f>
        <v>0</v>
      </c>
      <c r="CT150" s="2480">
        <f>µ_OHO_T*X_OHO*η_OHO_NO2*M_satSB_KSB_NO2*M_inhSVFA_KVFA*M_satSNO2_KNO2_OHO*M_inhSO2_KO2_OHO_NO2*M_inhSNO_KiNO_OHO_NO2*M_satSNHx_KNHx_BIO*M_satSPO4_KPO4_BIO*M_satSCAT_KCAT*M_satSAN_KAN*M_satSCa_KCa*M_satSMg_KMg*B_ellinhpH</f>
        <v>1.1546647941093373</v>
      </c>
      <c r="CV150" s="2502">
        <f>E266*E150+F266*F150+G266*G150+H266*H150+I266*I150+J266*J150+K266*K150+L266*L150+M266*M150+N266*N150+O266*O150+P266*P150+Q266*Q150+R266*R150+S266*S150+T266*T150+U266*U150+V266*V150+W266*W150+X266*X150+Y266*Y150+Z266*Z150+AA266*AA150+AB266*AB150+AC266*AC150+AD266*AD150+AE266*AE150+AF266*AF150+AG266*AG150+AH266*AH150+AI266*AI150+AJ266*AJ150+AK266*AK150+AL266*AL150+AM266*AM150+AN266*AN150+AO266*AO150+AP266*AP150+AQ266*AQ150+AR266*AR150+AS266*AS150+AT266*AT150+AU266*AU150+AV266*AV150+AW266*AW150+AX266*AX150+AY266*AY150+AZ266*AZ150+BA266*BA150+BB266*BB150+BC266*BC150+BD266*BD150+BE266*BE150+BF266*BF150+BG266*BG150+BH266*BH150+BI266*BI150+BJ266*BJ150+BK266*BK150+BL266*BL150+BM266*BM150+BN266*BN150+BO266*BO150+BP266*BP150+BQ266*BQ150+BR266*BR150+BS266*BS150+BT266*BT150+BU266*BU150+BV266*BV150+BW266*BW150+BX266*BX150+BY266*BY150+BZ266*BZ150+CA266*CA150+CB266*CB150+CC266*CC150+CD266*CD150+CE266*CE150+CF266*CF150+CG266*CG150+CH266*CH150+CI266*CI150+CJ266*CJ150+CK266*CK150+CL266*CL150+CM266*CM150+CN266*CN150+CO266*CO150+CP266*CP150+CQ266*CQ150+CR266*CR150+CS266*CS150</f>
        <v>0</v>
      </c>
      <c r="CW150" s="2502">
        <f>E267*E150+F267*F150+G267*G150+H267*H150+I267*I150+J267*J150+K267*K150+L267*L150+M267*M150+N267*N150+O267*O150+P267*P150+Q267*Q150+R267*R150+S267*S150+T267*T150+U267*U150+V267*V150+W267*W150+X267*X150+Y267*Y150+Z267*Z150+AA267*AA150+AB267*AB150+AC267*AC150+AD267*AD150+AE267*AE150+AF267*AF150+AG267*AG150+AH267*AH150+AI267*AI150+AJ267*AJ150+AK267*AK150+AL267*AL150+AM267*AM150+AN267*AN150+AO267*AO150+AP267*AP150+AQ267*AQ150+AR267*AR150+AS267*AS150+AT267*AT150+AU267*AU150+AV267*AV150+AW267*AW150+AX267*AX150+AY267*AY150+AZ267*AZ150+BA267*BA150+BB267*BB150+BC267*BC150+BD267*BD150+BE267*BE150+BF267*BF150+BG267*BG150+BH267*BH150+BI267*BI150+BJ267*BJ150+BK267*BK150+BL267*BL150+BM267*BM150+BN267*BN150+BO267*BO150+BP267*BP150+BQ267*BQ150+BR267*BR150+BS267*BS150+BT267*BT150+BU267*BU150+BV267*BV150+BW267*BW150+BX267*BX150+BY267*BY150+BZ267*BZ150+CA267*CA150+CB267*CB150+CC267*CC150+CD267*CD150+CE267*CE150+CF267*CF150+CG267*CG150+CH267*CH150+CI267*CI150+CJ267*CJ150+CK267*CK150+CL267*CL150+CM267*CM150+CN267*CN150+CO267*CO150+CP267*CP150+CQ267*CQ150+CR267*CR150+CS267*CS150</f>
        <v>0</v>
      </c>
      <c r="CX150" s="2503">
        <f>E268*E150+F268*F150+G268*G150+H268*H150+I268*I150+J268*J150+K268*K150+L268*L150+M268*M150+N268*N150+O268*O150+P268*P150+Q268*Q150+R268*R150+S268*S150+T268*T150+U268*U150+V268*V150+W268*W150+X268*X150+Y268*Y150+Z268*Z150+AA268*AA150+AB268*AB150+AC268*AC150+AD268*AD150+AE268*AE150+AF268*AF150+AG268*AG150+AH268*AH150+AI268*AI150+AJ268*AJ150+AK268*AK150+AL268*AL150+AM268*AM150+AN268*AN150+AO268*AO150+AP268*AP150+AQ268*AQ150+AR268*AR150+AS268*AS150+AT268*AT150+AU268*AU150+AV268*AV150+AW268*AW150+AX268*AX150+AY268*AY150+AZ268*AZ150+BA268*BA150+BB268*BB150+BC268*BC150+BD268*BD150+BE268*BE150+BF268*BF150+BG268*BG150+BH268*BH150+BI268*BI150+BJ268*BJ150+BK268*BK150+BL268*BL150+BM268*BM150+BN268*BN150+BO268*BO150+BP268*BP150+BQ268*BQ150+BR268*BR150+BS268*BS150+BT268*BT150+BU268*BU150+BV268*BV150+BW268*BW150+BX268*BX150+BY268*BY150+BZ268*BZ150+CA268*CA150+CB268*CB150+CC268*CC150+CD268*CD150+CE268*CE150+CF268*CF150+CG268*CG150+CH268*CH150+CI268*CI150+CJ268*CJ150+CK268*CK150+CL268*CL150+CM268*CM150+CN268*CN150+CO268*CO150+CP268*CP150+CQ268*CQ150+CR268*CR150+CS268*CS150</f>
        <v>0</v>
      </c>
      <c r="CY150" s="2504">
        <f>E269*E150+F269*F150+G269*G150+H269*H150+I269*I150+J269*J150+K269*K150+L269*L150+M269*M150+N269*N150+O269*O150+P269*P150+Q269*Q150+R269*R150+S269*S150+T269*T150+U269*U150+V269*V150+W269*W150+X269*X150+Y269*Y150+Z269*Z150+AA269*AA150+AB269*AB150+AC269*AC150+AD269*AD150+AE269*AE150+AF269*AF150+AG269*AG150+AH269*AH150+AI269*AI150+AJ269*AJ150+AK269*AK150+AL269*AL150+AM269*AM150+AN269*AN150+AO269*AO150+AP269*AP150+AQ269*AQ150+AR269*AR150+AS269*AS150+AT269*AT150+AU269*AU150+AV269*AV150+AW269*AW150+AX269*AX150+AY269*AY150+AZ269*AZ150+BA269*BA150+BB269*BB150+BC269*BC150+BD269*BD150+BE269*BE150+BF269*BF150+BG269*BG150+BH269*BH150+BI269*BI150+BJ269*BJ150+BK269*BK150+BL269*BL150+BM269*BM150+BN269*BN150+BO269*BO150+BP269*BP150+BQ269*BQ150+BR269*BR150+BS269*BS150+BT269*BT150+BU269*BU150+BV269*BV150+BW269*BW150+BX269*BX150+BY269*BY150+BZ269*BZ150+CA269*CA150+CB269*CB150+CC269*CC150+CD269*CD150+CE269*CE150+CF269*CF150+CG269*CG150+CH269*CH150+CI269*CI150+CJ269*CJ150+CK269*CK150+CL269*CL150+CM269*CM150+CN269*CN150+CO269*CO150+CP269*CP150+CQ269*CQ150+CR269*CR150+CS269*CS150</f>
        <v>0</v>
      </c>
      <c r="CZ150" s="2504">
        <f>E270*E150+F270*F150+G270*G150+H270*H150+I270*I150+J270*J150+K270*K150+L270*L150+M270*M150+N270*N150+O270*O150+P270*P150+Q270*Q150+R270*R150+S270*S150+T270*T150+U270*U150+V270*V150+W270*W150+X270*X150+Y270*Y150+Z270*Z150+AA270*AA150+AB270*AB150+AC270*AC150+AD270*AD150+AE270*AE150+AF270*AF150+AG270*AG150+AH270*AH150+AI270*AI150+AJ270*AJ150+AK270*AK150+AL270*AL150+AM270*AM150+AN270*AN150+AO270*AO150+AP270*AP150+AQ270*AQ150+AR270*AR150+AS270*AS150+AT270*AT150+AU270*AU150+AV270*AV150+AW270*AW150+AX270*AX150+AY270*AY150+AZ270*AZ150+BA270*BA150+BB270*BB150+BC270*BC150+BD270*BD150+BE270*BE150+BF270*BF150+BG270*BG150+BH270*BH150+BI270*BI150+BJ270*BJ150+BK270*BK150+BL270*BL150+BM270*BM150+BN270*BN150+BO270*BO150+BP270*BP150+BQ270*BQ150+BR270*BR150+BS270*BS150+BT270*BT150+BU270*BU150+BV270*BV150+BW270*BW150+BX270*BX150+BY270*BY150+BZ270*BZ150+CA270*CA150+CB270*CB150+CC270*CC150+CD270*CD150+CE270*CE150+CF270*CF150+CG270*CG150+CH270*CH150+CI270*CI150+CJ270*CJ150+CK270*CK150+CL270*CL150+CM270*CM150+CN270*CN150+CO270*CO150+CP270*CP150+CQ270*CQ150+CR270*CR150+CS270*CS150</f>
        <v>0</v>
      </c>
      <c r="DA150" s="2504">
        <f>E271*E150+F271*F150+G271*G150+H271*H150+I271*I150+J271*J150+K271*K150+L271*L150+M271*M150+N271*N150+O271*O150+P271*P150+Q271*Q150+R271*R150+S271*S150+T271*T150+U271*U150+V271*V150+W271*W150+X271*X150+Y271*Y150+Z271*Z150+AA271*AA150+AB271*AB150+AC271*AC150+AD271*AD150+AE271*AE150+AF271*AF150+AG271*AG150+AH271*AH150+AI271*AI150+AJ271*AJ150+AK271*AK150+AL271*AL150+AM271*AM150+AN271*AN150+AO271*AO150+AP271*AP150+AQ271*AQ150+AR271*AR150+AS271*AS150+AT271*AT150+AU271*AU150+AV271*AV150+AW271*AW150+AX271*AX150+AY271*AY150+AZ271*AZ150+BA271*BA150+BB271*BB150+BC271*BC150+BD271*BD150+BE271*BE150+BF271*BF150+BG271*BG150+BH271*BH150+BI271*BI150+BJ271*BJ150+BK271*BK150+BL271*BL150+BM271*BM150+BN271*BN150+BO271*BO150+BP271*BP150+BQ271*BQ150+BR271*BR150+BS271*BS150+BT271*BT150+BU271*BU150+BV271*BV150+BW271*BW150+BX271*BX150+BY271*BY150+BZ271*BZ150+CA271*CA150+CB271*CB150+CC271*CC150+CD271*CD150+CE271*CE150+CF271*CF150+CG271*CG150+CH271*CH150+CI271*CI150+CJ271*CJ150+CK271*CK150+CL271*CL150+CM271*CM150+CN271*CN150+CO271*CO150+CP271*CP150+CQ271*CQ150+CR271*CR150+CS271*CS150</f>
        <v>0</v>
      </c>
      <c r="DB150" s="2504">
        <f>E272*E150+F272*F150+G272*G150+H272*H150+I272*I150+J272*J150+K272*K150+L272*L150+M272*M150+N272*N150+O272*O150+P272*P150+Q272*Q150+R272*R150+S272*S150+T272*T150+U272*U150+V272*V150+W272*W150+X272*X150+Y272*Y150+Z272*Z150+AA272*AA150+AB272*AB150+AC272*AC150+AD272*AD150+AE272*AE150+AF272*AF150+AG272*AG150+AH272*AH150+AI272*AI150+AJ272*AJ150+AK272*AK150+AL272*AL150+AM272*AM150+AN272*AN150+AO272*AO150+AP272*AP150+AQ272*AQ150+AR272*AR150+AS272*AS150+AT272*AT150+AU272*AU150+AV272*AV150+AW272*AW150+AX272*AX150+AY272*AY150+AZ272*AZ150+BA272*BA150+BB272*BB150+BC272*BC150+BD272*BD150+BE272*BE150+BF272*BF150+BG272*BG150+BH272*BH150+BI272*BI150+BJ272*BJ150+BK272*BK150+BL272*BL150+BM272*BM150+BN272*BN150+BO272*BO150+BP272*BP150+BQ272*BQ150+BR272*BR150+BS272*BS150+BT272*BT150+BU272*BU150+BV272*BV150+BW272*BW150+BX272*BX150+BY272*BY150+BZ272*BZ150+CA272*CA150+CB272*CB150+CC272*CC150+CD272*CD150+CE272*CE150+CF272*CF150+CG272*CG150+CH272*CH150+CI272*CI150+CJ272*CJ150+CK272*CK150+CL272*CL150+CM272*CM150+CN272*CN150+CO272*CO150+CP272*CP150+CQ272*CQ150+CR272*CR150+CS272*CS150</f>
        <v>0</v>
      </c>
      <c r="DC150" s="2504">
        <f>E273*E150+F273*F150+G273*G150+H273*H150+I273*I150+J273*J150+K273*K150+L273*L150+M273*M150+N273*N150+O273*O150+P273*P150+Q273*Q150+R273*R150+S273*S150+T273*T150+U273*U150+V273*V150+W273*W150+X273*X150+Y273*Y150+Z273*Z150+AA273*AA150+AB273*AB150+AC273*AC150+AD273*AD150+AE273*AE150+AF273*AF150+AG273*AG150+AH273*AH150+AI273*AI150+AJ273*AJ150+AK273*AK150+AL273*AL150+AM273*AM150+AN273*AN150+AO273*AO150+AP273*AP150+AQ273*AQ150+AR273*AR150+AS273*AS150+AT273*AT150+AU273*AU150+AV273*AV150+AW273*AW150+AX273*AX150+AY273*AY150+AZ273*AZ150+BA273*BA150+BB273*BB150+BC273*BC150+BD273*BD150+BE273*BE150+BF273*BF150+BG273*BG150+BH273*BH150+BI273*BI150+BJ273*BJ150+BK273*BK150+BL273*BL150+BM273*BM150+BN273*BN150+BO273*BO150+BP273*BP150+BQ273*BQ150+BR273*BR150+BS273*BS150+BT273*BT150+BU273*BU150+BV273*BV150+BW273*BW150+BX273*BX150+BY273*BY150+BZ273*BZ150+CA273*CA150+CB273*CB150+CC273*CC150+CD273*CD150+CE273*CE150+CF273*CF150+CG273*CG150+CH273*CH150+CI273*CI150+CJ273*CJ150+CK273*CK150+CL273*CL150+CM273*CM150+CN273*CN150+CO273*CO150+CP273*CP150+CQ273*CQ150+CR273*CR150+CS273*CS150</f>
        <v>0</v>
      </c>
      <c r="DD150" s="2504">
        <f>E274*E150+F274*F150+G274*G150+H274*H150+I274*I150+J274*J150+K274*K150+L274*L150+M274*M150+N274*N150+O274*O150+P274*P150+Q274*Q150+R274*R150+S274*S150+T274*T150+U274*U150+V274*V150+W274*W150+X274*X150+Y274*Y150+Z274*Z150+AA274*AA150+AB274*AB150+AC274*AC150+AD274*AD150+AE274*AE150+AF274*AF150+AG274*AG150+AH274*AH150+AI274*AI150+AJ274*AJ150+AK274*AK150+AL274*AL150+AM274*AM150+AN274*AN150+AO274*AO150+AP274*AP150+AQ274*AQ150+AR274*AR150+AS274*AS150+AT274*AT150+AU274*AU150+AV274*AV150+AW274*AW150+AX274*AX150+AY274*AY150+AZ274*AZ150+BA274*BA150+BB274*BB150+BC274*BC150+BD274*BD150+BE274*BE150+BF274*BF150+BG274*BG150+BH274*BH150+BI274*BI150+BJ274*BJ150+BK274*BK150+BL274*BL150+BM274*BM150+BN274*BN150+BO274*BO150+BP274*BP150+BQ274*BQ150+BR274*BR150+BS274*BS150+BT274*BT150+BU274*BU150+BV274*BV150+BW274*BW150+BX274*BX150+BY274*BY150+BZ274*BZ150+CA274*CA150+CB274*CB150+CC274*CC150+CD274*CD150+CE274*CE150+CF274*CF150+CG274*CG150+CH274*CH150+CI274*CI150+CJ274*CJ150+CK274*CK150+CL274*CL150+CM274*CM150+CN274*CN150+CO274*CO150+CP274*CP150+CQ274*CQ150+CR274*CR150+CS274*CS150</f>
        <v>0</v>
      </c>
      <c r="DE150" s="2504">
        <f>E275*E150+F275*F150+G275*G150+H275*H150+I275*I150+J275*J150+K275*K150+L275*L150+M275*M150+N275*N150+O275*O150+P275*P150+Q275*Q150+R275*R150+S275*S150+T275*T150+U275*U150+V275*V150+W275*W150+X275*X150+Y275*Y150+Z275*Z150+AA275*AA150+AB275*AB150+AC275*AC150+AD275*AD150+AE275*AE150+AF275*AF150+AG275*AG150+AH275*AH150+AI275*AI150+AJ275*AJ150+AK275*AK150+AL275*AL150+AM275*AM150+AN275*AN150+AO275*AO150+AP275*AP150+AQ275*AQ150+AR275*AR150+AS275*AS150+AT275*AT150+AU275*AU150+AV275*AV150+AW275*AW150+AX275*AX150+AY275*AY150+AZ275*AZ150+BA275*BA150+BB275*BB150+BC275*BC150+BD275*BD150+BE275*BE150+BF275*BF150+BG275*BG150+BH275*BH150+BI275*BI150+BJ275*BJ150+BK275*BK150+BL275*BL150+BM275*BM150+BN275*BN150+BO275*BO150+BP275*BP150+BQ275*BQ150+BR275*BR150+BS275*BS150+BT275*BT150+BU275*BU150+BV275*BV150+BW275*BW150+BX275*BX150+BY275*BY150+BZ275*BZ150+CA275*CA150+CB275*CB150+CC275*CC150+CD275*CD150+CE275*CE150+CF275*CF150+CG275*CG150+CH275*CH150+CI275*CI150+CJ275*CJ150+CK275*CK150+CL275*CL150+CM275*CM150+CN275*CN150+CO275*CO150+CP275*CP150+CQ275*CQ150+CR275*CR150+CS275*CS150</f>
        <v>0</v>
      </c>
      <c r="DF150" s="2504">
        <f>E276*E150+F276*F150+G276*G150+H276*H150+I276*I150+J276*J150+K276*K150+L276*L150+M276*M150+N276*N150+O276*O150+P276*P150+Q276*Q150+R276*R150+S276*S150+T276*T150+U276*U150+V276*V150+W276*W150+X276*X150+Y276*Y150+Z276*Z150+AA276*AA150+AB276*AB150+AC276*AC150+AD276*AD150+AE276*AE150+AF276*AF150+AG276*AG150+AH276*AH150+AI276*AI150+AJ276*AJ150+AK276*AK150+AL276*AL150+AM276*AM150+AN276*AN150+AO276*AO150+AP276*AP150+AQ276*AQ150+AR276*AR150+AS276*AS150+AT276*AT150+AU276*AU150+AV276*AV150+AW276*AW150+AX276*AX150+AY276*AY150+AZ276*AZ150+BA276*BA150+BB276*BB150+BC276*BC150+BD276*BD150+BE276*BE150+BF276*BF150+BG276*BG150+BH276*BH150+BI276*BI150+BJ276*BJ150+BK276*BK150+BL276*BL150+BM276*BM150+BN276*BN150+BO276*BO150+BP276*BP150+BQ276*BQ150+BR276*BR150+BS276*BS150+BT276*BT150+BU276*BU150+BV276*BV150+BW276*BW150+BX276*BX150+BY276*BY150+BZ276*BZ150+CA276*CA150+CB276*CB150+CC276*CC150+CD276*CD150+CE276*CE150+CF276*CF150+CG276*CG150+CH276*CH150+CI276*CI150+CJ276*CJ150+CK276*CK150+CL276*CL150+CM276*CM150+CN276*CN150+CO276*CO150+CP276*CP150+CQ276*CQ150+CR276*CR150+CS276*CS150</f>
        <v>0</v>
      </c>
    </row>
    <row r="151" spans="2:110" ht="18" x14ac:dyDescent="0.35">
      <c r="B151" s="362">
        <v>9</v>
      </c>
      <c r="C151" s="363" t="s">
        <v>232</v>
      </c>
      <c r="D151" s="523" t="s">
        <v>3676</v>
      </c>
      <c r="E151" s="497">
        <f>0</f>
        <v>0</v>
      </c>
      <c r="F151" s="496">
        <f>-1/Y_OHO_SB_anox</f>
        <v>-1.8518518518518516</v>
      </c>
      <c r="G151" s="497">
        <f>0</f>
        <v>0</v>
      </c>
      <c r="H151" s="497">
        <f>0</f>
        <v>0</v>
      </c>
      <c r="I151" s="497">
        <f>0</f>
        <v>0</v>
      </c>
      <c r="J151" s="497">
        <f>0</f>
        <v>0</v>
      </c>
      <c r="K151" s="497">
        <f>0</f>
        <v>0</v>
      </c>
      <c r="L151" s="497">
        <f>0</f>
        <v>0</v>
      </c>
      <c r="M151" s="497">
        <f>0</f>
        <v>0</v>
      </c>
      <c r="N151" s="497">
        <f>0</f>
        <v>0</v>
      </c>
      <c r="O151" s="497">
        <f>0</f>
        <v>0</v>
      </c>
      <c r="P151" s="497">
        <f>0</f>
        <v>0</v>
      </c>
      <c r="Q151" s="497">
        <f>0</f>
        <v>0</v>
      </c>
      <c r="R151" s="497">
        <f>1</f>
        <v>1</v>
      </c>
      <c r="S151" s="497">
        <f>0</f>
        <v>0</v>
      </c>
      <c r="T151" s="497">
        <f>0</f>
        <v>0</v>
      </c>
      <c r="U151" s="497">
        <f>0</f>
        <v>0</v>
      </c>
      <c r="V151" s="497">
        <f>0</f>
        <v>0</v>
      </c>
      <c r="W151" s="497">
        <f>0</f>
        <v>0</v>
      </c>
      <c r="X151" s="497">
        <f>0</f>
        <v>0</v>
      </c>
      <c r="Y151" s="497">
        <f>0</f>
        <v>0</v>
      </c>
      <c r="Z151" s="497">
        <f>0</f>
        <v>0</v>
      </c>
      <c r="AA151" s="496">
        <f t="shared" si="0"/>
        <v>-7.0000000000000007E-2</v>
      </c>
      <c r="AB151" s="496">
        <f>0</f>
        <v>0</v>
      </c>
      <c r="AC151" s="496">
        <f>0</f>
        <v>0</v>
      </c>
      <c r="AD151" s="496">
        <f>0</f>
        <v>0</v>
      </c>
      <c r="AE151" s="496">
        <f>0</f>
        <v>0</v>
      </c>
      <c r="AF151" s="496">
        <f>-(1-Y_OHO_SB_anox)/(E_EQN2O_NO*Y_OHO_SB_anox)</f>
        <v>-1.4915100982953529</v>
      </c>
      <c r="AG151" s="496">
        <f>(1-Y_OHO_SB_anox)/(E_EQN2O_NO*Y_OHO_SB_anox)</f>
        <v>1.4915100982953529</v>
      </c>
      <c r="AH151" s="496">
        <f>0</f>
        <v>0</v>
      </c>
      <c r="AI151" s="497">
        <f>0</f>
        <v>0</v>
      </c>
      <c r="AJ151" s="497">
        <f>0</f>
        <v>0</v>
      </c>
      <c r="AK151" s="497">
        <f>0</f>
        <v>0</v>
      </c>
      <c r="AL151" s="497">
        <f>0</f>
        <v>0</v>
      </c>
      <c r="AM151" s="496">
        <f t="shared" si="1"/>
        <v>-0.02</v>
      </c>
      <c r="AN151" s="497">
        <f>0</f>
        <v>0</v>
      </c>
      <c r="AO151" s="497">
        <f>0</f>
        <v>0</v>
      </c>
      <c r="AP151" s="497">
        <f>0</f>
        <v>0</v>
      </c>
      <c r="AQ151" s="497">
        <f>0</f>
        <v>0</v>
      </c>
      <c r="AR151" s="497">
        <f>0</f>
        <v>0</v>
      </c>
      <c r="AS151" s="496">
        <f>0</f>
        <v>0</v>
      </c>
      <c r="AT151" s="496">
        <f>0</f>
        <v>0</v>
      </c>
      <c r="AU151" s="496">
        <f>0</f>
        <v>0</v>
      </c>
      <c r="AV151" s="496">
        <f>i_CIT_SB/Y_OHO_SB_anox-i_CIT_BIO</f>
        <v>0.17762962962962958</v>
      </c>
      <c r="AW151" s="496">
        <f t="shared" si="2"/>
        <v>0.11</v>
      </c>
      <c r="AX151" s="496">
        <f t="shared" si="3"/>
        <v>-2.8804303582798466E-2</v>
      </c>
      <c r="AY151" s="496">
        <f t="shared" si="4"/>
        <v>-7.0195696417201539E-2</v>
      </c>
      <c r="AZ151" s="496">
        <f t="shared" si="5"/>
        <v>-5.5000000000000005E-3</v>
      </c>
      <c r="BA151" s="496">
        <f t="shared" si="6"/>
        <v>-5.5000000000000005E-3</v>
      </c>
      <c r="BB151" s="496">
        <f>0</f>
        <v>0</v>
      </c>
      <c r="BC151" s="496">
        <f>0</f>
        <v>0</v>
      </c>
      <c r="BD151" s="496">
        <f>0</f>
        <v>0</v>
      </c>
      <c r="BE151" s="496">
        <f>0</f>
        <v>0</v>
      </c>
      <c r="BF151" s="496">
        <f>0</f>
        <v>0</v>
      </c>
      <c r="BG151" s="496">
        <f>0</f>
        <v>0</v>
      </c>
      <c r="BH151" s="496">
        <f>0</f>
        <v>0</v>
      </c>
      <c r="BI151" s="496">
        <f>0</f>
        <v>0</v>
      </c>
      <c r="BJ151" s="496">
        <f>0</f>
        <v>0</v>
      </c>
      <c r="BK151" s="496">
        <f>0</f>
        <v>0</v>
      </c>
      <c r="BL151" s="496">
        <f>0</f>
        <v>0</v>
      </c>
      <c r="BM151" s="496">
        <f>0</f>
        <v>0</v>
      </c>
      <c r="BN151" s="496">
        <f>0</f>
        <v>0</v>
      </c>
      <c r="BO151" s="496">
        <f>0</f>
        <v>0</v>
      </c>
      <c r="BP151" s="496">
        <f>0</f>
        <v>0</v>
      </c>
      <c r="BQ151" s="496">
        <f>0</f>
        <v>0</v>
      </c>
      <c r="BR151" s="496">
        <f>0</f>
        <v>0</v>
      </c>
      <c r="BS151" s="496">
        <f>0</f>
        <v>0</v>
      </c>
      <c r="BT151" s="496">
        <f>0</f>
        <v>0</v>
      </c>
      <c r="BU151" s="496">
        <f>0</f>
        <v>0</v>
      </c>
      <c r="BV151" s="496">
        <f>0</f>
        <v>0</v>
      </c>
      <c r="BW151" s="2353">
        <f>0</f>
        <v>0</v>
      </c>
      <c r="BX151" s="2353">
        <f>0</f>
        <v>0</v>
      </c>
      <c r="BY151" s="2353">
        <f>0</f>
        <v>0</v>
      </c>
      <c r="BZ151" s="2353">
        <f>0</f>
        <v>0</v>
      </c>
      <c r="CA151" s="496">
        <f>0</f>
        <v>0</v>
      </c>
      <c r="CB151" s="496">
        <f>0</f>
        <v>0</v>
      </c>
      <c r="CC151" s="496">
        <f>0</f>
        <v>0</v>
      </c>
      <c r="CD151" s="496">
        <f>0</f>
        <v>0</v>
      </c>
      <c r="CE151" s="496">
        <f>0</f>
        <v>0</v>
      </c>
      <c r="CF151" s="496">
        <f>0</f>
        <v>0</v>
      </c>
      <c r="CG151" s="496">
        <f>0</f>
        <v>0</v>
      </c>
      <c r="CH151" s="496">
        <f>0</f>
        <v>0</v>
      </c>
      <c r="CI151" s="496">
        <f>0</f>
        <v>0</v>
      </c>
      <c r="CJ151" s="496">
        <f>0</f>
        <v>0</v>
      </c>
      <c r="CK151" s="496">
        <f>0</f>
        <v>0</v>
      </c>
      <c r="CL151" s="496">
        <f>0</f>
        <v>0</v>
      </c>
      <c r="CM151" s="496">
        <f>0</f>
        <v>0</v>
      </c>
      <c r="CN151" s="496">
        <f>0</f>
        <v>0</v>
      </c>
      <c r="CO151" s="496">
        <f>0</f>
        <v>0</v>
      </c>
      <c r="CP151" s="496">
        <f>0</f>
        <v>0</v>
      </c>
      <c r="CQ151" s="496">
        <f>0</f>
        <v>0</v>
      </c>
      <c r="CR151" s="496">
        <f>0</f>
        <v>0</v>
      </c>
      <c r="CS151" s="496">
        <f>0</f>
        <v>0</v>
      </c>
      <c r="CT151" s="2480">
        <f>µ_OHO_T*X_OHO*η_OHO_NO*M_satSB_KSB_NO*M_inhSVFA_KVFA*H_satSNO_KNO_OHO*M_inhSO2_KO2_OHO_NO*M_satSNHx_KNHx_BIO*M_satSPO4_KPO4_BIO*M_satSCAT_KCAT*M_satSAN_KAN*M_satSCa_KCa*M_satSMg_KMg*B_ellinhpH</f>
        <v>2.209510435456886</v>
      </c>
      <c r="CV151" s="2502">
        <f>E266*E151+F266*F151+G266*G151+H266*H151+I266*I151+J266*J151+K266*K151+L266*L151+M266*M151+N266*N151+O266*O151+P266*P151+Q266*Q151+R266*R151+S266*S151+T266*T151+U266*U151+V266*V151+W266*W151+X266*X151+Y266*Y151+Z266*Z151+AA266*AA151+AB266*AB151+AC266*AC151+AD266*AD151+AE266*AE151+AF266*AF151+AG266*AG151+AH266*AH151+AI266*AI151+AJ266*AJ151+AK266*AK151+AL266*AL151+AM266*AM151+AN266*AN151+AO266*AO151+AP266*AP151+AQ266*AQ151+AR266*AR151+AS266*AS151+AT266*AT151+AU266*AU151+AV266*AV151+AW266*AW151+AX266*AX151+AY266*AY151+AZ266*AZ151+BA266*BA151+BB266*BB151+BC266*BC151+BD266*BD151+BE266*BE151+BF266*BF151+BG266*BG151+BH266*BH151+BI266*BI151+BJ266*BJ151+BK266*BK151+BL266*BL151+BM266*BM151+BN266*BN151+BO266*BO151+BP266*BP151+BQ266*BQ151+BR266*BR151+BS266*BS151+BT266*BT151+BU266*BU151+BV266*BV151+BW266*BW151+BX266*BX151+BY266*BY151+BZ266*BZ151+CA266*CA151+CB266*CB151+CC266*CC151+CD266*CD151+CE266*CE151+CF266*CF151+CG266*CG151+CH266*CH151+CI266*CI151+CJ266*CJ151+CK266*CK151+CL266*CL151+CM266*CM151+CN266*CN151+CO266*CO151+CP266*CP151+CQ266*CQ151+CR266*CR151+CS266*CS151</f>
        <v>8.8817841970012523E-16</v>
      </c>
      <c r="CW151" s="2502">
        <f>E267*E151+F267*F151+G267*G151+H267*H151+I267*I151+J267*J151+K267*K151+L267*L151+M267*M151+N267*N151+O267*O151+P267*P151+Q267*Q151+R267*R151+S267*S151+T267*T151+U267*U151+V267*V151+W267*W151+X267*X151+Y267*Y151+Z267*Z151+AA267*AA151+AB267*AB151+AC267*AC151+AD267*AD151+AE267*AE151+AF267*AF151+AG267*AG151+AH267*AH151+AI267*AI151+AJ267*AJ151+AK267*AK151+AL267*AL151+AM267*AM151+AN267*AN151+AO267*AO151+AP267*AP151+AQ267*AQ151+AR267*AR151+AS267*AS151+AT267*AT151+AU267*AU151+AV267*AV151+AW267*AW151+AX267*AX151+AY267*AY151+AZ267*AZ151+BA267*BA151+BB267*BB151+BC267*BC151+BD267*BD151+BE267*BE151+BF267*BF151+BG267*BG151+BH267*BH151+BI267*BI151+BJ267*BJ151+BK267*BK151+BL267*BL151+BM267*BM151+BN267*BN151+BO267*BO151+BP267*BP151+BQ267*BQ151+BR267*BR151+BS267*BS151+BT267*BT151+BU267*BU151+BV267*BV151+BW267*BW151+BX267*BX151+BY267*BY151+BZ267*BZ151+CA267*CA151+CB267*CB151+CC267*CC151+CD267*CD151+CE267*CE151+CF267*CF151+CG267*CG151+CH267*CH151+CI267*CI151+CJ267*CJ151+CK267*CK151+CL267*CL151+CM267*CM151+CN267*CN151+CO267*CO151+CP267*CP151+CQ267*CQ151+CR267*CR151+CS267*CS151</f>
        <v>0</v>
      </c>
      <c r="CX151" s="2503">
        <f>E268*E151+F268*F151+G268*G151+H268*H151+I268*I151+J268*J151+K268*K151+L268*L151+M268*M151+N268*N151+O268*O151+P268*P151+Q268*Q151+R268*R151+S268*S151+T268*T151+U268*U151+V268*V151+W268*W151+X268*X151+Y268*Y151+Z268*Z151+AA268*AA151+AB268*AB151+AC268*AC151+AD268*AD151+AE268*AE151+AF268*AF151+AG268*AG151+AH268*AH151+AI268*AI151+AJ268*AJ151+AK268*AK151+AL268*AL151+AM268*AM151+AN268*AN151+AO268*AO151+AP268*AP151+AQ268*AQ151+AR268*AR151+AS268*AS151+AT268*AT151+AU268*AU151+AV268*AV151+AW268*AW151+AX268*AX151+AY268*AY151+AZ268*AZ151+BA268*BA151+BB268*BB151+BC268*BC151+BD268*BD151+BE268*BE151+BF268*BF151+BG268*BG151+BH268*BH151+BI268*BI151+BJ268*BJ151+BK268*BK151+BL268*BL151+BM268*BM151+BN268*BN151+BO268*BO151+BP268*BP151+BQ268*BQ151+BR268*BR151+BS268*BS151+BT268*BT151+BU268*BU151+BV268*BV151+BW268*BW151+BX268*BX151+BY268*BY151+BZ268*BZ151+CA268*CA151+CB268*CB151+CC268*CC151+CD268*CD151+CE268*CE151+CF268*CF151+CG268*CG151+CH268*CH151+CI268*CI151+CJ268*CJ151+CK268*CK151+CL268*CL151+CM268*CM151+CN268*CN151+CO268*CO151+CP268*CP151+CQ268*CQ151+CR268*CR151+CS268*CS151</f>
        <v>0</v>
      </c>
      <c r="CY151" s="2504">
        <f>E269*E151+F269*F151+G269*G151+H269*H151+I269*I151+J269*J151+K269*K151+L269*L151+M269*M151+N269*N151+O269*O151+P269*P151+Q269*Q151+R269*R151+S269*S151+T269*T151+U269*U151+V269*V151+W269*W151+X269*X151+Y269*Y151+Z269*Z151+AA269*AA151+AB269*AB151+AC269*AC151+AD269*AD151+AE269*AE151+AF269*AF151+AG269*AG151+AH269*AH151+AI269*AI151+AJ269*AJ151+AK269*AK151+AL269*AL151+AM269*AM151+AN269*AN151+AO269*AO151+AP269*AP151+AQ269*AQ151+AR269*AR151+AS269*AS151+AT269*AT151+AU269*AU151+AV269*AV151+AW269*AW151+AX269*AX151+AY269*AY151+AZ269*AZ151+BA269*BA151+BB269*BB151+BC269*BC151+BD269*BD151+BE269*BE151+BF269*BF151+BG269*BG151+BH269*BH151+BI269*BI151+BJ269*BJ151+BK269*BK151+BL269*BL151+BM269*BM151+BN269*BN151+BO269*BO151+BP269*BP151+BQ269*BQ151+BR269*BR151+BS269*BS151+BT269*BT151+BU269*BU151+BV269*BV151+BW269*BW151+BX269*BX151+BY269*BY151+BZ269*BZ151+CA269*CA151+CB269*CB151+CC269*CC151+CD269*CD151+CE269*CE151+CF269*CF151+CG269*CG151+CH269*CH151+CI269*CI151+CJ269*CJ151+CK269*CK151+CL269*CL151+CM269*CM151+CN269*CN151+CO269*CO151+CP269*CP151+CQ269*CQ151+CR269*CR151+CS269*CS151</f>
        <v>0</v>
      </c>
      <c r="CZ151" s="2504">
        <f>E270*E151+F270*F151+G270*G151+H270*H151+I270*I151+J270*J151+K270*K151+L270*L151+M270*M151+N270*N151+O270*O151+P270*P151+Q270*Q151+R270*R151+S270*S151+T270*T151+U270*U151+V270*V151+W270*W151+X270*X151+Y270*Y151+Z270*Z151+AA270*AA151+AB270*AB151+AC270*AC151+AD270*AD151+AE270*AE151+AF270*AF151+AG270*AG151+AH270*AH151+AI270*AI151+AJ270*AJ151+AK270*AK151+AL270*AL151+AM270*AM151+AN270*AN151+AO270*AO151+AP270*AP151+AQ270*AQ151+AR270*AR151+AS270*AS151+AT270*AT151+AU270*AU151+AV270*AV151+AW270*AW151+AX270*AX151+AY270*AY151+AZ270*AZ151+BA270*BA151+BB270*BB151+BC270*BC151+BD270*BD151+BE270*BE151+BF270*BF151+BG270*BG151+BH270*BH151+BI270*BI151+BJ270*BJ151+BK270*BK151+BL270*BL151+BM270*BM151+BN270*BN151+BO270*BO151+BP270*BP151+BQ270*BQ151+BR270*BR151+BS270*BS151+BT270*BT151+BU270*BU151+BV270*BV151+BW270*BW151+BX270*BX151+BY270*BY151+BZ270*BZ151+CA270*CA151+CB270*CB151+CC270*CC151+CD270*CD151+CE270*CE151+CF270*CF151+CG270*CG151+CH270*CH151+CI270*CI151+CJ270*CJ151+CK270*CK151+CL270*CL151+CM270*CM151+CN270*CN151+CO270*CO151+CP270*CP151+CQ270*CQ151+CR270*CR151+CS270*CS151</f>
        <v>0</v>
      </c>
      <c r="DA151" s="2504">
        <f>E271*E151+F271*F151+G271*G151+H271*H151+I271*I151+J271*J151+K271*K151+L271*L151+M271*M151+N271*N151+O271*O151+P271*P151+Q271*Q151+R271*R151+S271*S151+T271*T151+U271*U151+V271*V151+W271*W151+X271*X151+Y271*Y151+Z271*Z151+AA271*AA151+AB271*AB151+AC271*AC151+AD271*AD151+AE271*AE151+AF271*AF151+AG271*AG151+AH271*AH151+AI271*AI151+AJ271*AJ151+AK271*AK151+AL271*AL151+AM271*AM151+AN271*AN151+AO271*AO151+AP271*AP151+AQ271*AQ151+AR271*AR151+AS271*AS151+AT271*AT151+AU271*AU151+AV271*AV151+AW271*AW151+AX271*AX151+AY271*AY151+AZ271*AZ151+BA271*BA151+BB271*BB151+BC271*BC151+BD271*BD151+BE271*BE151+BF271*BF151+BG271*BG151+BH271*BH151+BI271*BI151+BJ271*BJ151+BK271*BK151+BL271*BL151+BM271*BM151+BN271*BN151+BO271*BO151+BP271*BP151+BQ271*BQ151+BR271*BR151+BS271*BS151+BT271*BT151+BU271*BU151+BV271*BV151+BW271*BW151+BX271*BX151+BY271*BY151+BZ271*BZ151+CA271*CA151+CB271*CB151+CC271*CC151+CD271*CD151+CE271*CE151+CF271*CF151+CG271*CG151+CH271*CH151+CI271*CI151+CJ271*CJ151+CK271*CK151+CL271*CL151+CM271*CM151+CN271*CN151+CO271*CO151+CP271*CP151+CQ271*CQ151+CR271*CR151+CS271*CS151</f>
        <v>0</v>
      </c>
      <c r="DB151" s="2504">
        <f>E272*E151+F272*F151+G272*G151+H272*H151+I272*I151+J272*J151+K272*K151+L272*L151+M272*M151+N272*N151+O272*O151+P272*P151+Q272*Q151+R272*R151+S272*S151+T272*T151+U272*U151+V272*V151+W272*W151+X272*X151+Y272*Y151+Z272*Z151+AA272*AA151+AB272*AB151+AC272*AC151+AD272*AD151+AE272*AE151+AF272*AF151+AG272*AG151+AH272*AH151+AI272*AI151+AJ272*AJ151+AK272*AK151+AL272*AL151+AM272*AM151+AN272*AN151+AO272*AO151+AP272*AP151+AQ272*AQ151+AR272*AR151+AS272*AS151+AT272*AT151+AU272*AU151+AV272*AV151+AW272*AW151+AX272*AX151+AY272*AY151+AZ272*AZ151+BA272*BA151+BB272*BB151+BC272*BC151+BD272*BD151+BE272*BE151+BF272*BF151+BG272*BG151+BH272*BH151+BI272*BI151+BJ272*BJ151+BK272*BK151+BL272*BL151+BM272*BM151+BN272*BN151+BO272*BO151+BP272*BP151+BQ272*BQ151+BR272*BR151+BS272*BS151+BT272*BT151+BU272*BU151+BV272*BV151+BW272*BW151+BX272*BX151+BY272*BY151+BZ272*BZ151+CA272*CA151+CB272*CB151+CC272*CC151+CD272*CD151+CE272*CE151+CF272*CF151+CG272*CG151+CH272*CH151+CI272*CI151+CJ272*CJ151+CK272*CK151+CL272*CL151+CM272*CM151+CN272*CN151+CO272*CO151+CP272*CP151+CQ272*CQ151+CR272*CR151+CS272*CS151</f>
        <v>0</v>
      </c>
      <c r="DC151" s="2504">
        <f>E273*E151+F273*F151+G273*G151+H273*H151+I273*I151+J273*J151+K273*K151+L273*L151+M273*M151+N273*N151+O273*O151+P273*P151+Q273*Q151+R273*R151+S273*S151+T273*T151+U273*U151+V273*V151+W273*W151+X273*X151+Y273*Y151+Z273*Z151+AA273*AA151+AB273*AB151+AC273*AC151+AD273*AD151+AE273*AE151+AF273*AF151+AG273*AG151+AH273*AH151+AI273*AI151+AJ273*AJ151+AK273*AK151+AL273*AL151+AM273*AM151+AN273*AN151+AO273*AO151+AP273*AP151+AQ273*AQ151+AR273*AR151+AS273*AS151+AT273*AT151+AU273*AU151+AV273*AV151+AW273*AW151+AX273*AX151+AY273*AY151+AZ273*AZ151+BA273*BA151+BB273*BB151+BC273*BC151+BD273*BD151+BE273*BE151+BF273*BF151+BG273*BG151+BH273*BH151+BI273*BI151+BJ273*BJ151+BK273*BK151+BL273*BL151+BM273*BM151+BN273*BN151+BO273*BO151+BP273*BP151+BQ273*BQ151+BR273*BR151+BS273*BS151+BT273*BT151+BU273*BU151+BV273*BV151+BW273*BW151+BX273*BX151+BY273*BY151+BZ273*BZ151+CA273*CA151+CB273*CB151+CC273*CC151+CD273*CD151+CE273*CE151+CF273*CF151+CG273*CG151+CH273*CH151+CI273*CI151+CJ273*CJ151+CK273*CK151+CL273*CL151+CM273*CM151+CN273*CN151+CO273*CO151+CP273*CP151+CQ273*CQ151+CR273*CR151+CS273*CS151</f>
        <v>0</v>
      </c>
      <c r="DD151" s="2504">
        <f>E274*E151+F274*F151+G274*G151+H274*H151+I274*I151+J274*J151+K274*K151+L274*L151+M274*M151+N274*N151+O274*O151+P274*P151+Q274*Q151+R274*R151+S274*S151+T274*T151+U274*U151+V274*V151+W274*W151+X274*X151+Y274*Y151+Z274*Z151+AA274*AA151+AB274*AB151+AC274*AC151+AD274*AD151+AE274*AE151+AF274*AF151+AG274*AG151+AH274*AH151+AI274*AI151+AJ274*AJ151+AK274*AK151+AL274*AL151+AM274*AM151+AN274*AN151+AO274*AO151+AP274*AP151+AQ274*AQ151+AR274*AR151+AS274*AS151+AT274*AT151+AU274*AU151+AV274*AV151+AW274*AW151+AX274*AX151+AY274*AY151+AZ274*AZ151+BA274*BA151+BB274*BB151+BC274*BC151+BD274*BD151+BE274*BE151+BF274*BF151+BG274*BG151+BH274*BH151+BI274*BI151+BJ274*BJ151+BK274*BK151+BL274*BL151+BM274*BM151+BN274*BN151+BO274*BO151+BP274*BP151+BQ274*BQ151+BR274*BR151+BS274*BS151+BT274*BT151+BU274*BU151+BV274*BV151+BW274*BW151+BX274*BX151+BY274*BY151+BZ274*BZ151+CA274*CA151+CB274*CB151+CC274*CC151+CD274*CD151+CE274*CE151+CF274*CF151+CG274*CG151+CH274*CH151+CI274*CI151+CJ274*CJ151+CK274*CK151+CL274*CL151+CM274*CM151+CN274*CN151+CO274*CO151+CP274*CP151+CQ274*CQ151+CR274*CR151+CS274*CS151</f>
        <v>0</v>
      </c>
      <c r="DE151" s="2504">
        <f>E275*E151+F275*F151+G275*G151+H275*H151+I275*I151+J275*J151+K275*K151+L275*L151+M275*M151+N275*N151+O275*O151+P275*P151+Q275*Q151+R275*R151+S275*S151+T275*T151+U275*U151+V275*V151+W275*W151+X275*X151+Y275*Y151+Z275*Z151+AA275*AA151+AB275*AB151+AC275*AC151+AD275*AD151+AE275*AE151+AF275*AF151+AG275*AG151+AH275*AH151+AI275*AI151+AJ275*AJ151+AK275*AK151+AL275*AL151+AM275*AM151+AN275*AN151+AO275*AO151+AP275*AP151+AQ275*AQ151+AR275*AR151+AS275*AS151+AT275*AT151+AU275*AU151+AV275*AV151+AW275*AW151+AX275*AX151+AY275*AY151+AZ275*AZ151+BA275*BA151+BB275*BB151+BC275*BC151+BD275*BD151+BE275*BE151+BF275*BF151+BG275*BG151+BH275*BH151+BI275*BI151+BJ275*BJ151+BK275*BK151+BL275*BL151+BM275*BM151+BN275*BN151+BO275*BO151+BP275*BP151+BQ275*BQ151+BR275*BR151+BS275*BS151+BT275*BT151+BU275*BU151+BV275*BV151+BW275*BW151+BX275*BX151+BY275*BY151+BZ275*BZ151+CA275*CA151+CB275*CB151+CC275*CC151+CD275*CD151+CE275*CE151+CF275*CF151+CG275*CG151+CH275*CH151+CI275*CI151+CJ275*CJ151+CK275*CK151+CL275*CL151+CM275*CM151+CN275*CN151+CO275*CO151+CP275*CP151+CQ275*CQ151+CR275*CR151+CS275*CS151</f>
        <v>0</v>
      </c>
      <c r="DF151" s="2504">
        <f>E276*E151+F276*F151+G276*G151+H276*H151+I276*I151+J276*J151+K276*K151+L276*L151+M276*M151+N276*N151+O276*O151+P276*P151+Q276*Q151+R276*R151+S276*S151+T276*T151+U276*U151+V276*V151+W276*W151+X276*X151+Y276*Y151+Z276*Z151+AA276*AA151+AB276*AB151+AC276*AC151+AD276*AD151+AE276*AE151+AF276*AF151+AG276*AG151+AH276*AH151+AI276*AI151+AJ276*AJ151+AK276*AK151+AL276*AL151+AM276*AM151+AN276*AN151+AO276*AO151+AP276*AP151+AQ276*AQ151+AR276*AR151+AS276*AS151+AT276*AT151+AU276*AU151+AV276*AV151+AW276*AW151+AX276*AX151+AY276*AY151+AZ276*AZ151+BA276*BA151+BB276*BB151+BC276*BC151+BD276*BD151+BE276*BE151+BF276*BF151+BG276*BG151+BH276*BH151+BI276*BI151+BJ276*BJ151+BK276*BK151+BL276*BL151+BM276*BM151+BN276*BN151+BO276*BO151+BP276*BP151+BQ276*BQ151+BR276*BR151+BS276*BS151+BT276*BT151+BU276*BU151+BV276*BV151+BW276*BW151+BX276*BX151+BY276*BY151+BZ276*BZ151+CA276*CA151+CB276*CB151+CC276*CC151+CD276*CD151+CE276*CE151+CF276*CF151+CG276*CG151+CH276*CH151+CI276*CI151+CJ276*CJ151+CK276*CK151+CL276*CL151+CM276*CM151+CN276*CN151+CO276*CO151+CP276*CP151+CQ276*CQ151+CR276*CR151+CS276*CS151</f>
        <v>0</v>
      </c>
    </row>
    <row r="152" spans="2:110" ht="18" x14ac:dyDescent="0.35">
      <c r="B152" s="362">
        <v>10</v>
      </c>
      <c r="C152" s="363" t="s">
        <v>233</v>
      </c>
      <c r="D152" s="523" t="s">
        <v>3677</v>
      </c>
      <c r="E152" s="497">
        <f>0</f>
        <v>0</v>
      </c>
      <c r="F152" s="496">
        <f>-1/Y_OHO_SB_anox</f>
        <v>-1.8518518518518516</v>
      </c>
      <c r="G152" s="497">
        <f>0</f>
        <v>0</v>
      </c>
      <c r="H152" s="497">
        <f>0</f>
        <v>0</v>
      </c>
      <c r="I152" s="497">
        <f>0</f>
        <v>0</v>
      </c>
      <c r="J152" s="497">
        <f>0</f>
        <v>0</v>
      </c>
      <c r="K152" s="497">
        <f>0</f>
        <v>0</v>
      </c>
      <c r="L152" s="497">
        <f>0</f>
        <v>0</v>
      </c>
      <c r="M152" s="497">
        <f>0</f>
        <v>0</v>
      </c>
      <c r="N152" s="497">
        <f>0</f>
        <v>0</v>
      </c>
      <c r="O152" s="497">
        <f>0</f>
        <v>0</v>
      </c>
      <c r="P152" s="497">
        <f>0</f>
        <v>0</v>
      </c>
      <c r="Q152" s="497">
        <f>0</f>
        <v>0</v>
      </c>
      <c r="R152" s="497">
        <f>1</f>
        <v>1</v>
      </c>
      <c r="S152" s="497">
        <f>0</f>
        <v>0</v>
      </c>
      <c r="T152" s="497">
        <f>0</f>
        <v>0</v>
      </c>
      <c r="U152" s="497">
        <f>0</f>
        <v>0</v>
      </c>
      <c r="V152" s="497">
        <f>0</f>
        <v>0</v>
      </c>
      <c r="W152" s="497">
        <f>0</f>
        <v>0</v>
      </c>
      <c r="X152" s="497">
        <f>0</f>
        <v>0</v>
      </c>
      <c r="Y152" s="497">
        <f>0</f>
        <v>0</v>
      </c>
      <c r="Z152" s="497">
        <f>0</f>
        <v>0</v>
      </c>
      <c r="AA152" s="496">
        <f t="shared" si="0"/>
        <v>-7.0000000000000007E-2</v>
      </c>
      <c r="AB152" s="496">
        <f>0</f>
        <v>0</v>
      </c>
      <c r="AC152" s="496">
        <f>0</f>
        <v>0</v>
      </c>
      <c r="AD152" s="496">
        <f>0</f>
        <v>0</v>
      </c>
      <c r="AE152" s="496">
        <f>0</f>
        <v>0</v>
      </c>
      <c r="AF152" s="496">
        <f>0</f>
        <v>0</v>
      </c>
      <c r="AG152" s="496">
        <f>-(1-Y_OHO_SB_anox)/(E_EQN2_N2O*Y_OHO_SB_anox)</f>
        <v>-1.4915100982953529</v>
      </c>
      <c r="AH152" s="496">
        <f>(1-Y_OHO_SB_anox)/(E_EQN2_N2O*Y_OHO_SB_anox)</f>
        <v>1.4915100982953529</v>
      </c>
      <c r="AI152" s="497">
        <f>0</f>
        <v>0</v>
      </c>
      <c r="AJ152" s="497">
        <f>0</f>
        <v>0</v>
      </c>
      <c r="AK152" s="497">
        <f>0</f>
        <v>0</v>
      </c>
      <c r="AL152" s="497">
        <f>0</f>
        <v>0</v>
      </c>
      <c r="AM152" s="496">
        <f t="shared" si="1"/>
        <v>-0.02</v>
      </c>
      <c r="AN152" s="497">
        <f>0</f>
        <v>0</v>
      </c>
      <c r="AO152" s="497">
        <f>0</f>
        <v>0</v>
      </c>
      <c r="AP152" s="497">
        <f>0</f>
        <v>0</v>
      </c>
      <c r="AQ152" s="497">
        <f>0</f>
        <v>0</v>
      </c>
      <c r="AR152" s="497">
        <f>0</f>
        <v>0</v>
      </c>
      <c r="AS152" s="496">
        <f>0</f>
        <v>0</v>
      </c>
      <c r="AT152" s="496">
        <f>0</f>
        <v>0</v>
      </c>
      <c r="AU152" s="496">
        <f>0</f>
        <v>0</v>
      </c>
      <c r="AV152" s="496">
        <f>i_CIT_SB/Y_OHO_SB_anox-i_CIT_BIO</f>
        <v>0.17762962962962958</v>
      </c>
      <c r="AW152" s="496">
        <f t="shared" si="2"/>
        <v>0.11</v>
      </c>
      <c r="AX152" s="496">
        <f t="shared" si="3"/>
        <v>-2.8804303582798466E-2</v>
      </c>
      <c r="AY152" s="496">
        <f t="shared" si="4"/>
        <v>-7.0195696417201539E-2</v>
      </c>
      <c r="AZ152" s="496">
        <f t="shared" si="5"/>
        <v>-5.5000000000000005E-3</v>
      </c>
      <c r="BA152" s="496">
        <f t="shared" si="6"/>
        <v>-5.5000000000000005E-3</v>
      </c>
      <c r="BB152" s="496">
        <f>0</f>
        <v>0</v>
      </c>
      <c r="BC152" s="496">
        <f>0</f>
        <v>0</v>
      </c>
      <c r="BD152" s="496">
        <f>0</f>
        <v>0</v>
      </c>
      <c r="BE152" s="496">
        <f>0</f>
        <v>0</v>
      </c>
      <c r="BF152" s="496">
        <f>0</f>
        <v>0</v>
      </c>
      <c r="BG152" s="496">
        <f>0</f>
        <v>0</v>
      </c>
      <c r="BH152" s="496">
        <f>0</f>
        <v>0</v>
      </c>
      <c r="BI152" s="496">
        <f>0</f>
        <v>0</v>
      </c>
      <c r="BJ152" s="496">
        <f>0</f>
        <v>0</v>
      </c>
      <c r="BK152" s="496">
        <f>0</f>
        <v>0</v>
      </c>
      <c r="BL152" s="496">
        <f>0</f>
        <v>0</v>
      </c>
      <c r="BM152" s="496">
        <f>0</f>
        <v>0</v>
      </c>
      <c r="BN152" s="496">
        <f>0</f>
        <v>0</v>
      </c>
      <c r="BO152" s="496">
        <f>0</f>
        <v>0</v>
      </c>
      <c r="BP152" s="496">
        <f>0</f>
        <v>0</v>
      </c>
      <c r="BQ152" s="496">
        <f>0</f>
        <v>0</v>
      </c>
      <c r="BR152" s="496">
        <f>0</f>
        <v>0</v>
      </c>
      <c r="BS152" s="496">
        <f>0</f>
        <v>0</v>
      </c>
      <c r="BT152" s="496">
        <f>0</f>
        <v>0</v>
      </c>
      <c r="BU152" s="496">
        <f>0</f>
        <v>0</v>
      </c>
      <c r="BV152" s="496">
        <f>0</f>
        <v>0</v>
      </c>
      <c r="BW152" s="2353">
        <f>0</f>
        <v>0</v>
      </c>
      <c r="BX152" s="2353">
        <f>0</f>
        <v>0</v>
      </c>
      <c r="BY152" s="2353">
        <f>0</f>
        <v>0</v>
      </c>
      <c r="BZ152" s="2353">
        <f>0</f>
        <v>0</v>
      </c>
      <c r="CA152" s="496">
        <f>0</f>
        <v>0</v>
      </c>
      <c r="CB152" s="496">
        <f>0</f>
        <v>0</v>
      </c>
      <c r="CC152" s="496">
        <f>0</f>
        <v>0</v>
      </c>
      <c r="CD152" s="496">
        <f>0</f>
        <v>0</v>
      </c>
      <c r="CE152" s="496">
        <f>0</f>
        <v>0</v>
      </c>
      <c r="CF152" s="496">
        <f>0</f>
        <v>0</v>
      </c>
      <c r="CG152" s="496">
        <f>0</f>
        <v>0</v>
      </c>
      <c r="CH152" s="496">
        <f>0</f>
        <v>0</v>
      </c>
      <c r="CI152" s="496">
        <f>0</f>
        <v>0</v>
      </c>
      <c r="CJ152" s="496">
        <f>0</f>
        <v>0</v>
      </c>
      <c r="CK152" s="496">
        <f>0</f>
        <v>0</v>
      </c>
      <c r="CL152" s="496">
        <f>0</f>
        <v>0</v>
      </c>
      <c r="CM152" s="496">
        <f>0</f>
        <v>0</v>
      </c>
      <c r="CN152" s="496">
        <f>0</f>
        <v>0</v>
      </c>
      <c r="CO152" s="496">
        <f>0</f>
        <v>0</v>
      </c>
      <c r="CP152" s="496">
        <f>0</f>
        <v>0</v>
      </c>
      <c r="CQ152" s="496">
        <f>0</f>
        <v>0</v>
      </c>
      <c r="CR152" s="496">
        <f>0</f>
        <v>0</v>
      </c>
      <c r="CS152" s="496">
        <f>0</f>
        <v>0</v>
      </c>
      <c r="CT152" s="2480">
        <f>µ_OHO_T*X_OHO*η_OHO_N2O*M_satSB_KSB_N2O*M_inhSVFA_KVFA*M_satSN2O_KN2O_OHO*M_inhSO2_KO2_OHO_N2O*M_inhSNO_KiNO_OHO_N2O*M_satSNHx_KNHx_BIO*M_satSPO4_KPO4_BIO*M_satSCAT_KCAT*M_satSAN_KAN*M_satSCa_KCa*M_satSMg_KMg*B_ellinhpH</f>
        <v>1.0369193710258193</v>
      </c>
      <c r="CV152" s="2502">
        <f>E266*E152+F266*F152+G266*G152+H266*H152+I266*I152+J266*J152+K266*K152+L266*L152+M266*M152+N266*N152+O266*O152+P266*P152+Q266*Q152+R266*R152+S266*S152+T266*T152+U266*U152+V266*V152+W266*W152+X266*X152+Y266*Y152+Z266*Z152+AA266*AA152+AB266*AB152+AC266*AC152+AD266*AD152+AE266*AE152+AF266*AF152+AG266*AG152+AH266*AH152+AI266*AI152+AJ266*AJ152+AK266*AK152+AL266*AL152+AM266*AM152+AN266*AN152+AO266*AO152+AP266*AP152+AQ266*AQ152+AR266*AR152+AS266*AS152+AT266*AT152+AU266*AU152+AV266*AV152+AW266*AW152+AX266*AX152+AY266*AY152+AZ266*AZ152+BA266*BA152+BB266*BB152+BC266*BC152+BD266*BD152+BE266*BE152+BF266*BF152+BG266*BG152+BH266*BH152+BI266*BI152+BJ266*BJ152+BK266*BK152+BL266*BL152+BM266*BM152+BN266*BN152+BO266*BO152+BP266*BP152+BQ266*BQ152+BR266*BR152+BS266*BS152+BT266*BT152+BU266*BU152+BV266*BV152+BW266*BW152+BX266*BX152+BY266*BY152+BZ266*BZ152+CA266*CA152+CB266*CB152+CC266*CC152+CD266*CD152+CE266*CE152+CF266*CF152+CG266*CG152+CH266*CH152+CI266*CI152+CJ266*CJ152+CK266*CK152+CL266*CL152+CM266*CM152+CN266*CN152+CO266*CO152+CP266*CP152+CQ266*CQ152+CR266*CR152+CS266*CS152</f>
        <v>0</v>
      </c>
      <c r="CW152" s="2502">
        <f>E267*E152+F267*F152+G267*G152+H267*H152+I267*I152+J267*J152+K267*K152+L267*L152+M267*M152+N267*N152+O267*O152+P267*P152+Q267*Q152+R267*R152+S267*S152+T267*T152+U267*U152+V267*V152+W267*W152+X267*X152+Y267*Y152+Z267*Z152+AA267*AA152+AB267*AB152+AC267*AC152+AD267*AD152+AE267*AE152+AF267*AF152+AG267*AG152+AH267*AH152+AI267*AI152+AJ267*AJ152+AK267*AK152+AL267*AL152+AM267*AM152+AN267*AN152+AO267*AO152+AP267*AP152+AQ267*AQ152+AR267*AR152+AS267*AS152+AT267*AT152+AU267*AU152+AV267*AV152+AW267*AW152+AX267*AX152+AY267*AY152+AZ267*AZ152+BA267*BA152+BB267*BB152+BC267*BC152+BD267*BD152+BE267*BE152+BF267*BF152+BG267*BG152+BH267*BH152+BI267*BI152+BJ267*BJ152+BK267*BK152+BL267*BL152+BM267*BM152+BN267*BN152+BO267*BO152+BP267*BP152+BQ267*BQ152+BR267*BR152+BS267*BS152+BT267*BT152+BU267*BU152+BV267*BV152+BW267*BW152+BX267*BX152+BY267*BY152+BZ267*BZ152+CA267*CA152+CB267*CB152+CC267*CC152+CD267*CD152+CE267*CE152+CF267*CF152+CG267*CG152+CH267*CH152+CI267*CI152+CJ267*CJ152+CK267*CK152+CL267*CL152+CM267*CM152+CN267*CN152+CO267*CO152+CP267*CP152+CQ267*CQ152+CR267*CR152+CS267*CS152</f>
        <v>0</v>
      </c>
      <c r="CX152" s="2503">
        <f>E268*E152+F268*F152+G268*G152+H268*H152+I268*I152+J268*J152+K268*K152+L268*L152+M268*M152+N268*N152+O268*O152+P268*P152+Q268*Q152+R268*R152+S268*S152+T268*T152+U268*U152+V268*V152+W268*W152+X268*X152+Y268*Y152+Z268*Z152+AA268*AA152+AB268*AB152+AC268*AC152+AD268*AD152+AE268*AE152+AF268*AF152+AG268*AG152+AH268*AH152+AI268*AI152+AJ268*AJ152+AK268*AK152+AL268*AL152+AM268*AM152+AN268*AN152+AO268*AO152+AP268*AP152+AQ268*AQ152+AR268*AR152+AS268*AS152+AT268*AT152+AU268*AU152+AV268*AV152+AW268*AW152+AX268*AX152+AY268*AY152+AZ268*AZ152+BA268*BA152+BB268*BB152+BC268*BC152+BD268*BD152+BE268*BE152+BF268*BF152+BG268*BG152+BH268*BH152+BI268*BI152+BJ268*BJ152+BK268*BK152+BL268*BL152+BM268*BM152+BN268*BN152+BO268*BO152+BP268*BP152+BQ268*BQ152+BR268*BR152+BS268*BS152+BT268*BT152+BU268*BU152+BV268*BV152+BW268*BW152+BX268*BX152+BY268*BY152+BZ268*BZ152+CA268*CA152+CB268*CB152+CC268*CC152+CD268*CD152+CE268*CE152+CF268*CF152+CG268*CG152+CH268*CH152+CI268*CI152+CJ268*CJ152+CK268*CK152+CL268*CL152+CM268*CM152+CN268*CN152+CO268*CO152+CP268*CP152+CQ268*CQ152+CR268*CR152+CS268*CS152</f>
        <v>0</v>
      </c>
      <c r="CY152" s="2504">
        <f>E269*E152+F269*F152+G269*G152+H269*H152+I269*I152+J269*J152+K269*K152+L269*L152+M269*M152+N269*N152+O269*O152+P269*P152+Q269*Q152+R269*R152+S269*S152+T269*T152+U269*U152+V269*V152+W269*W152+X269*X152+Y269*Y152+Z269*Z152+AA269*AA152+AB269*AB152+AC269*AC152+AD269*AD152+AE269*AE152+AF269*AF152+AG269*AG152+AH269*AH152+AI269*AI152+AJ269*AJ152+AK269*AK152+AL269*AL152+AM269*AM152+AN269*AN152+AO269*AO152+AP269*AP152+AQ269*AQ152+AR269*AR152+AS269*AS152+AT269*AT152+AU269*AU152+AV269*AV152+AW269*AW152+AX269*AX152+AY269*AY152+AZ269*AZ152+BA269*BA152+BB269*BB152+BC269*BC152+BD269*BD152+BE269*BE152+BF269*BF152+BG269*BG152+BH269*BH152+BI269*BI152+BJ269*BJ152+BK269*BK152+BL269*BL152+BM269*BM152+BN269*BN152+BO269*BO152+BP269*BP152+BQ269*BQ152+BR269*BR152+BS269*BS152+BT269*BT152+BU269*BU152+BV269*BV152+BW269*BW152+BX269*BX152+BY269*BY152+BZ269*BZ152+CA269*CA152+CB269*CB152+CC269*CC152+CD269*CD152+CE269*CE152+CF269*CF152+CG269*CG152+CH269*CH152+CI269*CI152+CJ269*CJ152+CK269*CK152+CL269*CL152+CM269*CM152+CN269*CN152+CO269*CO152+CP269*CP152+CQ269*CQ152+CR269*CR152+CS269*CS152</f>
        <v>0</v>
      </c>
      <c r="CZ152" s="2504">
        <f>E270*E152+F270*F152+G270*G152+H270*H152+I270*I152+J270*J152+K270*K152+L270*L152+M270*M152+N270*N152+O270*O152+P270*P152+Q270*Q152+R270*R152+S270*S152+T270*T152+U270*U152+V270*V152+W270*W152+X270*X152+Y270*Y152+Z270*Z152+AA270*AA152+AB270*AB152+AC270*AC152+AD270*AD152+AE270*AE152+AF270*AF152+AG270*AG152+AH270*AH152+AI270*AI152+AJ270*AJ152+AK270*AK152+AL270*AL152+AM270*AM152+AN270*AN152+AO270*AO152+AP270*AP152+AQ270*AQ152+AR270*AR152+AS270*AS152+AT270*AT152+AU270*AU152+AV270*AV152+AW270*AW152+AX270*AX152+AY270*AY152+AZ270*AZ152+BA270*BA152+BB270*BB152+BC270*BC152+BD270*BD152+BE270*BE152+BF270*BF152+BG270*BG152+BH270*BH152+BI270*BI152+BJ270*BJ152+BK270*BK152+BL270*BL152+BM270*BM152+BN270*BN152+BO270*BO152+BP270*BP152+BQ270*BQ152+BR270*BR152+BS270*BS152+BT270*BT152+BU270*BU152+BV270*BV152+BW270*BW152+BX270*BX152+BY270*BY152+BZ270*BZ152+CA270*CA152+CB270*CB152+CC270*CC152+CD270*CD152+CE270*CE152+CF270*CF152+CG270*CG152+CH270*CH152+CI270*CI152+CJ270*CJ152+CK270*CK152+CL270*CL152+CM270*CM152+CN270*CN152+CO270*CO152+CP270*CP152+CQ270*CQ152+CR270*CR152+CS270*CS152</f>
        <v>0</v>
      </c>
      <c r="DA152" s="2504">
        <f>E271*E152+F271*F152+G271*G152+H271*H152+I271*I152+J271*J152+K271*K152+L271*L152+M271*M152+N271*N152+O271*O152+P271*P152+Q271*Q152+R271*R152+S271*S152+T271*T152+U271*U152+V271*V152+W271*W152+X271*X152+Y271*Y152+Z271*Z152+AA271*AA152+AB271*AB152+AC271*AC152+AD271*AD152+AE271*AE152+AF271*AF152+AG271*AG152+AH271*AH152+AI271*AI152+AJ271*AJ152+AK271*AK152+AL271*AL152+AM271*AM152+AN271*AN152+AO271*AO152+AP271*AP152+AQ271*AQ152+AR271*AR152+AS271*AS152+AT271*AT152+AU271*AU152+AV271*AV152+AW271*AW152+AX271*AX152+AY271*AY152+AZ271*AZ152+BA271*BA152+BB271*BB152+BC271*BC152+BD271*BD152+BE271*BE152+BF271*BF152+BG271*BG152+BH271*BH152+BI271*BI152+BJ271*BJ152+BK271*BK152+BL271*BL152+BM271*BM152+BN271*BN152+BO271*BO152+BP271*BP152+BQ271*BQ152+BR271*BR152+BS271*BS152+BT271*BT152+BU271*BU152+BV271*BV152+BW271*BW152+BX271*BX152+BY271*BY152+BZ271*BZ152+CA271*CA152+CB271*CB152+CC271*CC152+CD271*CD152+CE271*CE152+CF271*CF152+CG271*CG152+CH271*CH152+CI271*CI152+CJ271*CJ152+CK271*CK152+CL271*CL152+CM271*CM152+CN271*CN152+CO271*CO152+CP271*CP152+CQ271*CQ152+CR271*CR152+CS271*CS152</f>
        <v>0</v>
      </c>
      <c r="DB152" s="2504">
        <f>E272*E152+F272*F152+G272*G152+H272*H152+I272*I152+J272*J152+K272*K152+L272*L152+M272*M152+N272*N152+O272*O152+P272*P152+Q272*Q152+R272*R152+S272*S152+T272*T152+U272*U152+V272*V152+W272*W152+X272*X152+Y272*Y152+Z272*Z152+AA272*AA152+AB272*AB152+AC272*AC152+AD272*AD152+AE272*AE152+AF272*AF152+AG272*AG152+AH272*AH152+AI272*AI152+AJ272*AJ152+AK272*AK152+AL272*AL152+AM272*AM152+AN272*AN152+AO272*AO152+AP272*AP152+AQ272*AQ152+AR272*AR152+AS272*AS152+AT272*AT152+AU272*AU152+AV272*AV152+AW272*AW152+AX272*AX152+AY272*AY152+AZ272*AZ152+BA272*BA152+BB272*BB152+BC272*BC152+BD272*BD152+BE272*BE152+BF272*BF152+BG272*BG152+BH272*BH152+BI272*BI152+BJ272*BJ152+BK272*BK152+BL272*BL152+BM272*BM152+BN272*BN152+BO272*BO152+BP272*BP152+BQ272*BQ152+BR272*BR152+BS272*BS152+BT272*BT152+BU272*BU152+BV272*BV152+BW272*BW152+BX272*BX152+BY272*BY152+BZ272*BZ152+CA272*CA152+CB272*CB152+CC272*CC152+CD272*CD152+CE272*CE152+CF272*CF152+CG272*CG152+CH272*CH152+CI272*CI152+CJ272*CJ152+CK272*CK152+CL272*CL152+CM272*CM152+CN272*CN152+CO272*CO152+CP272*CP152+CQ272*CQ152+CR272*CR152+CS272*CS152</f>
        <v>0</v>
      </c>
      <c r="DC152" s="2504">
        <f>E273*E152+F273*F152+G273*G152+H273*H152+I273*I152+J273*J152+K273*K152+L273*L152+M273*M152+N273*N152+O273*O152+P273*P152+Q273*Q152+R273*R152+S273*S152+T273*T152+U273*U152+V273*V152+W273*W152+X273*X152+Y273*Y152+Z273*Z152+AA273*AA152+AB273*AB152+AC273*AC152+AD273*AD152+AE273*AE152+AF273*AF152+AG273*AG152+AH273*AH152+AI273*AI152+AJ273*AJ152+AK273*AK152+AL273*AL152+AM273*AM152+AN273*AN152+AO273*AO152+AP273*AP152+AQ273*AQ152+AR273*AR152+AS273*AS152+AT273*AT152+AU273*AU152+AV273*AV152+AW273*AW152+AX273*AX152+AY273*AY152+AZ273*AZ152+BA273*BA152+BB273*BB152+BC273*BC152+BD273*BD152+BE273*BE152+BF273*BF152+BG273*BG152+BH273*BH152+BI273*BI152+BJ273*BJ152+BK273*BK152+BL273*BL152+BM273*BM152+BN273*BN152+BO273*BO152+BP273*BP152+BQ273*BQ152+BR273*BR152+BS273*BS152+BT273*BT152+BU273*BU152+BV273*BV152+BW273*BW152+BX273*BX152+BY273*BY152+BZ273*BZ152+CA273*CA152+CB273*CB152+CC273*CC152+CD273*CD152+CE273*CE152+CF273*CF152+CG273*CG152+CH273*CH152+CI273*CI152+CJ273*CJ152+CK273*CK152+CL273*CL152+CM273*CM152+CN273*CN152+CO273*CO152+CP273*CP152+CQ273*CQ152+CR273*CR152+CS273*CS152</f>
        <v>0</v>
      </c>
      <c r="DD152" s="2504">
        <f>E274*E152+F274*F152+G274*G152+H274*H152+I274*I152+J274*J152+K274*K152+L274*L152+M274*M152+N274*N152+O274*O152+P274*P152+Q274*Q152+R274*R152+S274*S152+T274*T152+U274*U152+V274*V152+W274*W152+X274*X152+Y274*Y152+Z274*Z152+AA274*AA152+AB274*AB152+AC274*AC152+AD274*AD152+AE274*AE152+AF274*AF152+AG274*AG152+AH274*AH152+AI274*AI152+AJ274*AJ152+AK274*AK152+AL274*AL152+AM274*AM152+AN274*AN152+AO274*AO152+AP274*AP152+AQ274*AQ152+AR274*AR152+AS274*AS152+AT274*AT152+AU274*AU152+AV274*AV152+AW274*AW152+AX274*AX152+AY274*AY152+AZ274*AZ152+BA274*BA152+BB274*BB152+BC274*BC152+BD274*BD152+BE274*BE152+BF274*BF152+BG274*BG152+BH274*BH152+BI274*BI152+BJ274*BJ152+BK274*BK152+BL274*BL152+BM274*BM152+BN274*BN152+BO274*BO152+BP274*BP152+BQ274*BQ152+BR274*BR152+BS274*BS152+BT274*BT152+BU274*BU152+BV274*BV152+BW274*BW152+BX274*BX152+BY274*BY152+BZ274*BZ152+CA274*CA152+CB274*CB152+CC274*CC152+CD274*CD152+CE274*CE152+CF274*CF152+CG274*CG152+CH274*CH152+CI274*CI152+CJ274*CJ152+CK274*CK152+CL274*CL152+CM274*CM152+CN274*CN152+CO274*CO152+CP274*CP152+CQ274*CQ152+CR274*CR152+CS274*CS152</f>
        <v>0</v>
      </c>
      <c r="DE152" s="2504">
        <f>E275*E152+F275*F152+G275*G152+H275*H152+I275*I152+J275*J152+K275*K152+L275*L152+M275*M152+N275*N152+O275*O152+P275*P152+Q275*Q152+R275*R152+S275*S152+T275*T152+U275*U152+V275*V152+W275*W152+X275*X152+Y275*Y152+Z275*Z152+AA275*AA152+AB275*AB152+AC275*AC152+AD275*AD152+AE275*AE152+AF275*AF152+AG275*AG152+AH275*AH152+AI275*AI152+AJ275*AJ152+AK275*AK152+AL275*AL152+AM275*AM152+AN275*AN152+AO275*AO152+AP275*AP152+AQ275*AQ152+AR275*AR152+AS275*AS152+AT275*AT152+AU275*AU152+AV275*AV152+AW275*AW152+AX275*AX152+AY275*AY152+AZ275*AZ152+BA275*BA152+BB275*BB152+BC275*BC152+BD275*BD152+BE275*BE152+BF275*BF152+BG275*BG152+BH275*BH152+BI275*BI152+BJ275*BJ152+BK275*BK152+BL275*BL152+BM275*BM152+BN275*BN152+BO275*BO152+BP275*BP152+BQ275*BQ152+BR275*BR152+BS275*BS152+BT275*BT152+BU275*BU152+BV275*BV152+BW275*BW152+BX275*BX152+BY275*BY152+BZ275*BZ152+CA275*CA152+CB275*CB152+CC275*CC152+CD275*CD152+CE275*CE152+CF275*CF152+CG275*CG152+CH275*CH152+CI275*CI152+CJ275*CJ152+CK275*CK152+CL275*CL152+CM275*CM152+CN275*CN152+CO275*CO152+CP275*CP152+CQ275*CQ152+CR275*CR152+CS275*CS152</f>
        <v>0</v>
      </c>
      <c r="DF152" s="2504">
        <f>E276*E152+F276*F152+G276*G152+H276*H152+I276*I152+J276*J152+K276*K152+L276*L152+M276*M152+N276*N152+O276*O152+P276*P152+Q276*Q152+R276*R152+S276*S152+T276*T152+U276*U152+V276*V152+W276*W152+X276*X152+Y276*Y152+Z276*Z152+AA276*AA152+AB276*AB152+AC276*AC152+AD276*AD152+AE276*AE152+AF276*AF152+AG276*AG152+AH276*AH152+AI276*AI152+AJ276*AJ152+AK276*AK152+AL276*AL152+AM276*AM152+AN276*AN152+AO276*AO152+AP276*AP152+AQ276*AQ152+AR276*AR152+AS276*AS152+AT276*AT152+AU276*AU152+AV276*AV152+AW276*AW152+AX276*AX152+AY276*AY152+AZ276*AZ152+BA276*BA152+BB276*BB152+BC276*BC152+BD276*BD152+BE276*BE152+BF276*BF152+BG276*BG152+BH276*BH152+BI276*BI152+BJ276*BJ152+BK276*BK152+BL276*BL152+BM276*BM152+BN276*BN152+BO276*BO152+BP276*BP152+BQ276*BQ152+BR276*BR152+BS276*BS152+BT276*BT152+BU276*BU152+BV276*BV152+BW276*BW152+BX276*BX152+BY276*BY152+BZ276*BZ152+CA276*CA152+CB276*CB152+CC276*CC152+CD276*CD152+CE276*CE152+CF276*CF152+CG276*CG152+CH276*CH152+CI276*CI152+CJ276*CJ152+CK276*CK152+CL276*CL152+CM276*CM152+CN276*CN152+CO276*CO152+CP276*CP152+CQ276*CQ152+CR276*CR152+CS276*CS152</f>
        <v>0</v>
      </c>
    </row>
    <row r="153" spans="2:110" ht="18" x14ac:dyDescent="0.35">
      <c r="B153" s="362">
        <v>11</v>
      </c>
      <c r="C153" s="363" t="s">
        <v>234</v>
      </c>
      <c r="D153" s="523" t="s">
        <v>2150</v>
      </c>
      <c r="E153" s="497">
        <f>(1-Y_OHO_SB_ana-Y_OHO_H2_ana_high)/Y_OHO_SB_ana</f>
        <v>5.5</v>
      </c>
      <c r="F153" s="496">
        <f>-1/Y_OHO_SB_ana</f>
        <v>-10</v>
      </c>
      <c r="G153" s="497">
        <f>0</f>
        <v>0</v>
      </c>
      <c r="H153" s="497">
        <f>0</f>
        <v>0</v>
      </c>
      <c r="I153" s="497">
        <f>0</f>
        <v>0</v>
      </c>
      <c r="J153" s="497">
        <f>0</f>
        <v>0</v>
      </c>
      <c r="K153" s="497">
        <f>0</f>
        <v>0</v>
      </c>
      <c r="L153" s="497">
        <f>0</f>
        <v>0</v>
      </c>
      <c r="M153" s="497">
        <f>0</f>
        <v>0</v>
      </c>
      <c r="N153" s="497">
        <f>0</f>
        <v>0</v>
      </c>
      <c r="O153" s="497">
        <f>0</f>
        <v>0</v>
      </c>
      <c r="P153" s="497">
        <f>0</f>
        <v>0</v>
      </c>
      <c r="Q153" s="497">
        <f>0</f>
        <v>0</v>
      </c>
      <c r="R153" s="497">
        <f>1</f>
        <v>1</v>
      </c>
      <c r="S153" s="497">
        <f>0</f>
        <v>0</v>
      </c>
      <c r="T153" s="497">
        <f>0</f>
        <v>0</v>
      </c>
      <c r="U153" s="497">
        <f>0</f>
        <v>0</v>
      </c>
      <c r="V153" s="497">
        <f>0</f>
        <v>0</v>
      </c>
      <c r="W153" s="497">
        <f>0</f>
        <v>0</v>
      </c>
      <c r="X153" s="497">
        <f>0</f>
        <v>0</v>
      </c>
      <c r="Y153" s="497">
        <f>0</f>
        <v>0</v>
      </c>
      <c r="Z153" s="497">
        <f>0</f>
        <v>0</v>
      </c>
      <c r="AA153" s="496">
        <f t="shared" si="0"/>
        <v>-7.0000000000000007E-2</v>
      </c>
      <c r="AB153" s="496">
        <f>0</f>
        <v>0</v>
      </c>
      <c r="AC153" s="497">
        <f>0</f>
        <v>0</v>
      </c>
      <c r="AD153" s="497">
        <f>0</f>
        <v>0</v>
      </c>
      <c r="AE153" s="497">
        <f>0</f>
        <v>0</v>
      </c>
      <c r="AF153" s="497">
        <f>0</f>
        <v>0</v>
      </c>
      <c r="AG153" s="497">
        <f>0</f>
        <v>0</v>
      </c>
      <c r="AH153" s="497">
        <f>0</f>
        <v>0</v>
      </c>
      <c r="AI153" s="497">
        <f>0</f>
        <v>0</v>
      </c>
      <c r="AJ153" s="497">
        <f>0</f>
        <v>0</v>
      </c>
      <c r="AK153" s="497">
        <f>0</f>
        <v>0</v>
      </c>
      <c r="AL153" s="497">
        <f>0</f>
        <v>0</v>
      </c>
      <c r="AM153" s="496">
        <f t="shared" si="1"/>
        <v>-0.02</v>
      </c>
      <c r="AN153" s="497">
        <f>0</f>
        <v>0</v>
      </c>
      <c r="AO153" s="497">
        <f>0</f>
        <v>0</v>
      </c>
      <c r="AP153" s="497">
        <f>0</f>
        <v>0</v>
      </c>
      <c r="AQ153" s="497">
        <f>0</f>
        <v>0</v>
      </c>
      <c r="AR153" s="497">
        <f>0</f>
        <v>0</v>
      </c>
      <c r="AS153" s="497">
        <f>0</f>
        <v>0</v>
      </c>
      <c r="AT153" s="497">
        <f>0</f>
        <v>0</v>
      </c>
      <c r="AU153" s="497">
        <f>Y_OHO_H2_ana_high/Y_OHO_SB_ana</f>
        <v>3.4999999999999996</v>
      </c>
      <c r="AV153" s="525">
        <f>(i_CIT_SB-i_CIT_VFA*(1-Y_OHO_SB_ana-Y_OHO_H2_ana_high)-i_CIT_BIO*Y_OHO_SB_ana)/Y_OHO_SB_ana</f>
        <v>0.44549999999999956</v>
      </c>
      <c r="AW153" s="496">
        <f t="shared" si="2"/>
        <v>0.11</v>
      </c>
      <c r="AX153" s="496">
        <f t="shared" si="3"/>
        <v>-2.8804303582798466E-2</v>
      </c>
      <c r="AY153" s="496">
        <f t="shared" si="4"/>
        <v>-7.0195696417201539E-2</v>
      </c>
      <c r="AZ153" s="496">
        <f t="shared" si="5"/>
        <v>-5.5000000000000005E-3</v>
      </c>
      <c r="BA153" s="496">
        <f t="shared" si="6"/>
        <v>-5.5000000000000005E-3</v>
      </c>
      <c r="BB153" s="496">
        <f>0</f>
        <v>0</v>
      </c>
      <c r="BC153" s="496">
        <f>0</f>
        <v>0</v>
      </c>
      <c r="BD153" s="496">
        <f>0</f>
        <v>0</v>
      </c>
      <c r="BE153" s="496">
        <f>0</f>
        <v>0</v>
      </c>
      <c r="BF153" s="496">
        <f>0</f>
        <v>0</v>
      </c>
      <c r="BG153" s="496">
        <f>0</f>
        <v>0</v>
      </c>
      <c r="BH153" s="496">
        <f>0</f>
        <v>0</v>
      </c>
      <c r="BI153" s="496">
        <f>0</f>
        <v>0</v>
      </c>
      <c r="BJ153" s="496">
        <f>0</f>
        <v>0</v>
      </c>
      <c r="BK153" s="496">
        <f>0</f>
        <v>0</v>
      </c>
      <c r="BL153" s="496">
        <f>0</f>
        <v>0</v>
      </c>
      <c r="BM153" s="496">
        <f>0</f>
        <v>0</v>
      </c>
      <c r="BN153" s="496">
        <f>0</f>
        <v>0</v>
      </c>
      <c r="BO153" s="496">
        <f>0</f>
        <v>0</v>
      </c>
      <c r="BP153" s="496">
        <f>0</f>
        <v>0</v>
      </c>
      <c r="BQ153" s="496">
        <f>0</f>
        <v>0</v>
      </c>
      <c r="BR153" s="496">
        <f>0</f>
        <v>0</v>
      </c>
      <c r="BS153" s="496">
        <f>0</f>
        <v>0</v>
      </c>
      <c r="BT153" s="496">
        <f>0</f>
        <v>0</v>
      </c>
      <c r="BU153" s="496">
        <f>0</f>
        <v>0</v>
      </c>
      <c r="BV153" s="496">
        <f>0</f>
        <v>0</v>
      </c>
      <c r="BW153" s="2353">
        <f>0</f>
        <v>0</v>
      </c>
      <c r="BX153" s="2353">
        <f>0</f>
        <v>0</v>
      </c>
      <c r="BY153" s="2353">
        <f>0</f>
        <v>0</v>
      </c>
      <c r="BZ153" s="2353">
        <f>0</f>
        <v>0</v>
      </c>
      <c r="CA153" s="496">
        <f>0</f>
        <v>0</v>
      </c>
      <c r="CB153" s="496">
        <f>0</f>
        <v>0</v>
      </c>
      <c r="CC153" s="496">
        <f>0</f>
        <v>0</v>
      </c>
      <c r="CD153" s="496">
        <f>0</f>
        <v>0</v>
      </c>
      <c r="CE153" s="496">
        <f>0</f>
        <v>0</v>
      </c>
      <c r="CF153" s="496">
        <f>0</f>
        <v>0</v>
      </c>
      <c r="CG153" s="496">
        <f>0</f>
        <v>0</v>
      </c>
      <c r="CH153" s="496">
        <f>0</f>
        <v>0</v>
      </c>
      <c r="CI153" s="496">
        <f>0</f>
        <v>0</v>
      </c>
      <c r="CJ153" s="496">
        <f>0</f>
        <v>0</v>
      </c>
      <c r="CK153" s="496">
        <f>0</f>
        <v>0</v>
      </c>
      <c r="CL153" s="496">
        <f>0</f>
        <v>0</v>
      </c>
      <c r="CM153" s="496">
        <f>0</f>
        <v>0</v>
      </c>
      <c r="CN153" s="496">
        <f>0</f>
        <v>0</v>
      </c>
      <c r="CO153" s="496">
        <f>0</f>
        <v>0</v>
      </c>
      <c r="CP153" s="496">
        <f>0</f>
        <v>0</v>
      </c>
      <c r="CQ153" s="496">
        <f>0</f>
        <v>0</v>
      </c>
      <c r="CR153" s="496">
        <f>0</f>
        <v>0</v>
      </c>
      <c r="CS153" s="496">
        <f>0</f>
        <v>0</v>
      </c>
      <c r="CT153" s="2480">
        <f>µ_FERM_OHO_T*X_OHO*L_ogsatSVFA_KVFA_FERM*M_satSB_KSB_ana*M_inhSO2_KO2_OHO*M_inhSNO2_KNO2_OHO*M_inhSNO3_KNO3_OHO*M_satSNHx_KNHx_BIO*M_satSPO4_KPO4_BIO*M_satSCAT_KCAT*M_satSAN_KAN*M_satSCa_KCa*M_satSMg_KMg*B_ellinhpH</f>
        <v>1.9772086783332978E-218</v>
      </c>
      <c r="CV153" s="2502">
        <f>E266*E153+F266*F153+G266*G153+H266*H153+I266*I153+J266*J153+K266*K153+L266*L153+M266*M153+N266*N153+O266*O153+P266*P153+Q266*Q153+R266*R153+S266*S153+T266*T153+U266*U153+V266*V153+W266*W153+X266*X153+Y266*Y153+Z266*Z153+AA266*AA153+AB266*AB153+AC266*AC153+AD266*AD153+AE266*AE153+AF266*AF153+AG266*AG153+AH266*AH153+AI266*AI153+AJ266*AJ153+AK266*AK153+AL266*AL153+AM266*AM153+AN266*AN153+AO266*AO153+AP266*AP153+AQ266*AQ153+AR266*AR153+AS266*AS153+AT266*AT153+AU266*AU153+AV266*AV153+AW266*AW153+AX266*AX153+AY266*AY153+AZ266*AZ153+BA266*BA153+BB266*BB153+BC266*BC153+BD266*BD153+BE266*BE153+BF266*BF153+BG266*BG153+BH266*BH153+BI266*BI153+BJ266*BJ153+BK266*BK153+BL266*BL153+BM266*BM153+BN266*BN153+BO266*BO153+BP266*BP153+BQ266*BQ153+BR266*BR153+BS266*BS153+BT266*BT153+BU266*BU153+BV266*BV153+BW266*BW153+BX266*BX153+BY266*BY153+BZ266*BZ153+CA266*CA153+CB266*CB153+CC266*CC153+CD266*CD153+CE266*CE153+CF266*CF153+CG266*CG153+CH266*CH153+CI266*CI153+CJ266*CJ153+CK266*CK153+CL266*CL153+CM266*CM153+CN266*CN153+CO266*CO153+CP266*CP153+CQ266*CQ153+CR266*CR153+CS266*CS153</f>
        <v>-4.4408920985006262E-16</v>
      </c>
      <c r="CW153" s="2502">
        <f>E267*E153+F267*F153+G267*G153+H267*H153+I267*I153+J267*J153+K267*K153+L267*L153+M267*M153+N267*N153+O267*O153+P267*P153+Q267*Q153+R267*R153+S267*S153+T267*T153+U267*U153+V267*V153+W267*W153+X267*X153+Y267*Y153+Z267*Z153+AA267*AA153+AB267*AB153+AC267*AC153+AD267*AD153+AE267*AE153+AF267*AF153+AG267*AG153+AH267*AH153+AI267*AI153+AJ267*AJ153+AK267*AK153+AL267*AL153+AM267*AM153+AN267*AN153+AO267*AO153+AP267*AP153+AQ267*AQ153+AR267*AR153+AS267*AS153+AT267*AT153+AU267*AU153+AV267*AV153+AW267*AW153+AX267*AX153+AY267*AY153+AZ267*AZ153+BA267*BA153+BB267*BB153+BC267*BC153+BD267*BD153+BE267*BE153+BF267*BF153+BG267*BG153+BH267*BH153+BI267*BI153+BJ267*BJ153+BK267*BK153+BL267*BL153+BM267*BM153+BN267*BN153+BO267*BO153+BP267*BP153+BQ267*BQ153+BR267*BR153+BS267*BS153+BT267*BT153+BU267*BU153+BV267*BV153+BW267*BW153+BX267*BX153+BY267*BY153+BZ267*BZ153+CA267*CA153+CB267*CB153+CC267*CC153+CD267*CD153+CE267*CE153+CF267*CF153+CG267*CG153+CH267*CH153+CI267*CI153+CJ267*CJ153+CK267*CK153+CL267*CL153+CM267*CM153+CN267*CN153+CO267*CO153+CP267*CP153+CQ267*CQ153+CR267*CR153+CS267*CS153</f>
        <v>-3.3306690738754696E-16</v>
      </c>
      <c r="CX153" s="2503">
        <f>E268*E153+F268*F153+G268*G153+H268*H153+I268*I153+J268*J153+K268*K153+L268*L153+M268*M153+N268*N153+O268*O153+P268*P153+Q268*Q153+R268*R153+S268*S153+T268*T153+U268*U153+V268*V153+W268*W153+X268*X153+Y268*Y153+Z268*Z153+AA268*AA153+AB268*AB153+AC268*AC153+AD268*AD153+AE268*AE153+AF268*AF153+AG268*AG153+AH268*AH153+AI268*AI153+AJ268*AJ153+AK268*AK153+AL268*AL153+AM268*AM153+AN268*AN153+AO268*AO153+AP268*AP153+AQ268*AQ153+AR268*AR153+AS268*AS153+AT268*AT153+AU268*AU153+AV268*AV153+AW268*AW153+AX268*AX153+AY268*AY153+AZ268*AZ153+BA268*BA153+BB268*BB153+BC268*BC153+BD268*BD153+BE268*BE153+BF268*BF153+BG268*BG153+BH268*BH153+BI268*BI153+BJ268*BJ153+BK268*BK153+BL268*BL153+BM268*BM153+BN268*BN153+BO268*BO153+BP268*BP153+BQ268*BQ153+BR268*BR153+BS268*BS153+BT268*BT153+BU268*BU153+BV268*BV153+BW268*BW153+BX268*BX153+BY268*BY153+BZ268*BZ153+CA268*CA153+CB268*CB153+CC268*CC153+CD268*CD153+CE268*CE153+CF268*CF153+CG268*CG153+CH268*CH153+CI268*CI153+CJ268*CJ153+CK268*CK153+CL268*CL153+CM268*CM153+CN268*CN153+CO268*CO153+CP268*CP153+CQ268*CQ153+CR268*CR153+CS268*CS153</f>
        <v>0</v>
      </c>
      <c r="CY153" s="2504">
        <f>E269*E153+F269*F153+G269*G153+H269*H153+I269*I153+J269*J153+K269*K153+L269*L153+M269*M153+N269*N153+O269*O153+P269*P153+Q269*Q153+R269*R153+S269*S153+T269*T153+U269*U153+V269*V153+W269*W153+X269*X153+Y269*Y153+Z269*Z153+AA269*AA153+AB269*AB153+AC269*AC153+AD269*AD153+AE269*AE153+AF269*AF153+AG269*AG153+AH269*AH153+AI269*AI153+AJ269*AJ153+AK269*AK153+AL269*AL153+AM269*AM153+AN269*AN153+AO269*AO153+AP269*AP153+AQ269*AQ153+AR269*AR153+AS269*AS153+AT269*AT153+AU269*AU153+AV269*AV153+AW269*AW153+AX269*AX153+AY269*AY153+AZ269*AZ153+BA269*BA153+BB269*BB153+BC269*BC153+BD269*BD153+BE269*BE153+BF269*BF153+BG269*BG153+BH269*BH153+BI269*BI153+BJ269*BJ153+BK269*BK153+BL269*BL153+BM269*BM153+BN269*BN153+BO269*BO153+BP269*BP153+BQ269*BQ153+BR269*BR153+BS269*BS153+BT269*BT153+BU269*BU153+BV269*BV153+BW269*BW153+BX269*BX153+BY269*BY153+BZ269*BZ153+CA269*CA153+CB269*CB153+CC269*CC153+CD269*CD153+CE269*CE153+CF269*CF153+CG269*CG153+CH269*CH153+CI269*CI153+CJ269*CJ153+CK269*CK153+CL269*CL153+CM269*CM153+CN269*CN153+CO269*CO153+CP269*CP153+CQ269*CQ153+CR269*CR153+CS269*CS153</f>
        <v>0</v>
      </c>
      <c r="CZ153" s="2504">
        <f>E270*E153+F270*F153+G270*G153+H270*H153+I270*I153+J270*J153+K270*K153+L270*L153+M270*M153+N270*N153+O270*O153+P270*P153+Q270*Q153+R270*R153+S270*S153+T270*T153+U270*U153+V270*V153+W270*W153+X270*X153+Y270*Y153+Z270*Z153+AA270*AA153+AB270*AB153+AC270*AC153+AD270*AD153+AE270*AE153+AF270*AF153+AG270*AG153+AH270*AH153+AI270*AI153+AJ270*AJ153+AK270*AK153+AL270*AL153+AM270*AM153+AN270*AN153+AO270*AO153+AP270*AP153+AQ270*AQ153+AR270*AR153+AS270*AS153+AT270*AT153+AU270*AU153+AV270*AV153+AW270*AW153+AX270*AX153+AY270*AY153+AZ270*AZ153+BA270*BA153+BB270*BB153+BC270*BC153+BD270*BD153+BE270*BE153+BF270*BF153+BG270*BG153+BH270*BH153+BI270*BI153+BJ270*BJ153+BK270*BK153+BL270*BL153+BM270*BM153+BN270*BN153+BO270*BO153+BP270*BP153+BQ270*BQ153+BR270*BR153+BS270*BS153+BT270*BT153+BU270*BU153+BV270*BV153+BW270*BW153+BX270*BX153+BY270*BY153+BZ270*BZ153+CA270*CA153+CB270*CB153+CC270*CC153+CD270*CD153+CE270*CE153+CF270*CF153+CG270*CG153+CH270*CH153+CI270*CI153+CJ270*CJ153+CK270*CK153+CL270*CL153+CM270*CM153+CN270*CN153+CO270*CO153+CP270*CP153+CQ270*CQ153+CR270*CR153+CS270*CS153</f>
        <v>0</v>
      </c>
      <c r="DA153" s="2504">
        <f>E271*E153+F271*F153+G271*G153+H271*H153+I271*I153+J271*J153+K271*K153+L271*L153+M271*M153+N271*N153+O271*O153+P271*P153+Q271*Q153+R271*R153+S271*S153+T271*T153+U271*U153+V271*V153+W271*W153+X271*X153+Y271*Y153+Z271*Z153+AA271*AA153+AB271*AB153+AC271*AC153+AD271*AD153+AE271*AE153+AF271*AF153+AG271*AG153+AH271*AH153+AI271*AI153+AJ271*AJ153+AK271*AK153+AL271*AL153+AM271*AM153+AN271*AN153+AO271*AO153+AP271*AP153+AQ271*AQ153+AR271*AR153+AS271*AS153+AT271*AT153+AU271*AU153+AV271*AV153+AW271*AW153+AX271*AX153+AY271*AY153+AZ271*AZ153+BA271*BA153+BB271*BB153+BC271*BC153+BD271*BD153+BE271*BE153+BF271*BF153+BG271*BG153+BH271*BH153+BI271*BI153+BJ271*BJ153+BK271*BK153+BL271*BL153+BM271*BM153+BN271*BN153+BO271*BO153+BP271*BP153+BQ271*BQ153+BR271*BR153+BS271*BS153+BT271*BT153+BU271*BU153+BV271*BV153+BW271*BW153+BX271*BX153+BY271*BY153+BZ271*BZ153+CA271*CA153+CB271*CB153+CC271*CC153+CD271*CD153+CE271*CE153+CF271*CF153+CG271*CG153+CH271*CH153+CI271*CI153+CJ271*CJ153+CK271*CK153+CL271*CL153+CM271*CM153+CN271*CN153+CO271*CO153+CP271*CP153+CQ271*CQ153+CR271*CR153+CS271*CS153</f>
        <v>0</v>
      </c>
      <c r="DB153" s="2504">
        <f>E272*E153+F272*F153+G272*G153+H272*H153+I272*I153+J272*J153+K272*K153+L272*L153+M272*M153+N272*N153+O272*O153+P272*P153+Q272*Q153+R272*R153+S272*S153+T272*T153+U272*U153+V272*V153+W272*W153+X272*X153+Y272*Y153+Z272*Z153+AA272*AA153+AB272*AB153+AC272*AC153+AD272*AD153+AE272*AE153+AF272*AF153+AG272*AG153+AH272*AH153+AI272*AI153+AJ272*AJ153+AK272*AK153+AL272*AL153+AM272*AM153+AN272*AN153+AO272*AO153+AP272*AP153+AQ272*AQ153+AR272*AR153+AS272*AS153+AT272*AT153+AU272*AU153+AV272*AV153+AW272*AW153+AX272*AX153+AY272*AY153+AZ272*AZ153+BA272*BA153+BB272*BB153+BC272*BC153+BD272*BD153+BE272*BE153+BF272*BF153+BG272*BG153+BH272*BH153+BI272*BI153+BJ272*BJ153+BK272*BK153+BL272*BL153+BM272*BM153+BN272*BN153+BO272*BO153+BP272*BP153+BQ272*BQ153+BR272*BR153+BS272*BS153+BT272*BT153+BU272*BU153+BV272*BV153+BW272*BW153+BX272*BX153+BY272*BY153+BZ272*BZ153+CA272*CA153+CB272*CB153+CC272*CC153+CD272*CD153+CE272*CE153+CF272*CF153+CG272*CG153+CH272*CH153+CI272*CI153+CJ272*CJ153+CK272*CK153+CL272*CL153+CM272*CM153+CN272*CN153+CO272*CO153+CP272*CP153+CQ272*CQ153+CR272*CR153+CS272*CS153</f>
        <v>0</v>
      </c>
      <c r="DC153" s="2504">
        <f>E273*E153+F273*F153+G273*G153+H273*H153+I273*I153+J273*J153+K273*K153+L273*L153+M273*M153+N273*N153+O273*O153+P273*P153+Q273*Q153+R273*R153+S273*S153+T273*T153+U273*U153+V273*V153+W273*W153+X273*X153+Y273*Y153+Z273*Z153+AA273*AA153+AB273*AB153+AC273*AC153+AD273*AD153+AE273*AE153+AF273*AF153+AG273*AG153+AH273*AH153+AI273*AI153+AJ273*AJ153+AK273*AK153+AL273*AL153+AM273*AM153+AN273*AN153+AO273*AO153+AP273*AP153+AQ273*AQ153+AR273*AR153+AS273*AS153+AT273*AT153+AU273*AU153+AV273*AV153+AW273*AW153+AX273*AX153+AY273*AY153+AZ273*AZ153+BA273*BA153+BB273*BB153+BC273*BC153+BD273*BD153+BE273*BE153+BF273*BF153+BG273*BG153+BH273*BH153+BI273*BI153+BJ273*BJ153+BK273*BK153+BL273*BL153+BM273*BM153+BN273*BN153+BO273*BO153+BP273*BP153+BQ273*BQ153+BR273*BR153+BS273*BS153+BT273*BT153+BU273*BU153+BV273*BV153+BW273*BW153+BX273*BX153+BY273*BY153+BZ273*BZ153+CA273*CA153+CB273*CB153+CC273*CC153+CD273*CD153+CE273*CE153+CF273*CF153+CG273*CG153+CH273*CH153+CI273*CI153+CJ273*CJ153+CK273*CK153+CL273*CL153+CM273*CM153+CN273*CN153+CO273*CO153+CP273*CP153+CQ273*CQ153+CR273*CR153+CS273*CS153</f>
        <v>0</v>
      </c>
      <c r="DD153" s="2504">
        <f>E274*E153+F274*F153+G274*G153+H274*H153+I274*I153+J274*J153+K274*K153+L274*L153+M274*M153+N274*N153+O274*O153+P274*P153+Q274*Q153+R274*R153+S274*S153+T274*T153+U274*U153+V274*V153+W274*W153+X274*X153+Y274*Y153+Z274*Z153+AA274*AA153+AB274*AB153+AC274*AC153+AD274*AD153+AE274*AE153+AF274*AF153+AG274*AG153+AH274*AH153+AI274*AI153+AJ274*AJ153+AK274*AK153+AL274*AL153+AM274*AM153+AN274*AN153+AO274*AO153+AP274*AP153+AQ274*AQ153+AR274*AR153+AS274*AS153+AT274*AT153+AU274*AU153+AV274*AV153+AW274*AW153+AX274*AX153+AY274*AY153+AZ274*AZ153+BA274*BA153+BB274*BB153+BC274*BC153+BD274*BD153+BE274*BE153+BF274*BF153+BG274*BG153+BH274*BH153+BI274*BI153+BJ274*BJ153+BK274*BK153+BL274*BL153+BM274*BM153+BN274*BN153+BO274*BO153+BP274*BP153+BQ274*BQ153+BR274*BR153+BS274*BS153+BT274*BT153+BU274*BU153+BV274*BV153+BW274*BW153+BX274*BX153+BY274*BY153+BZ274*BZ153+CA274*CA153+CB274*CB153+CC274*CC153+CD274*CD153+CE274*CE153+CF274*CF153+CG274*CG153+CH274*CH153+CI274*CI153+CJ274*CJ153+CK274*CK153+CL274*CL153+CM274*CM153+CN274*CN153+CO274*CO153+CP274*CP153+CQ274*CQ153+CR274*CR153+CS274*CS153</f>
        <v>0</v>
      </c>
      <c r="DE153" s="2504">
        <f>E275*E153+F275*F153+G275*G153+H275*H153+I275*I153+J275*J153+K275*K153+L275*L153+M275*M153+N275*N153+O275*O153+P275*P153+Q275*Q153+R275*R153+S275*S153+T275*T153+U275*U153+V275*V153+W275*W153+X275*X153+Y275*Y153+Z275*Z153+AA275*AA153+AB275*AB153+AC275*AC153+AD275*AD153+AE275*AE153+AF275*AF153+AG275*AG153+AH275*AH153+AI275*AI153+AJ275*AJ153+AK275*AK153+AL275*AL153+AM275*AM153+AN275*AN153+AO275*AO153+AP275*AP153+AQ275*AQ153+AR275*AR153+AS275*AS153+AT275*AT153+AU275*AU153+AV275*AV153+AW275*AW153+AX275*AX153+AY275*AY153+AZ275*AZ153+BA275*BA153+BB275*BB153+BC275*BC153+BD275*BD153+BE275*BE153+BF275*BF153+BG275*BG153+BH275*BH153+BI275*BI153+BJ275*BJ153+BK275*BK153+BL275*BL153+BM275*BM153+BN275*BN153+BO275*BO153+BP275*BP153+BQ275*BQ153+BR275*BR153+BS275*BS153+BT275*BT153+BU275*BU153+BV275*BV153+BW275*BW153+BX275*BX153+BY275*BY153+BZ275*BZ153+CA275*CA153+CB275*CB153+CC275*CC153+CD275*CD153+CE275*CE153+CF275*CF153+CG275*CG153+CH275*CH153+CI275*CI153+CJ275*CJ153+CK275*CK153+CL275*CL153+CM275*CM153+CN275*CN153+CO275*CO153+CP275*CP153+CQ275*CQ153+CR275*CR153+CS275*CS153</f>
        <v>0</v>
      </c>
      <c r="DF153" s="2504">
        <f>E276*E153+F276*F153+G276*G153+H276*H153+I276*I153+J276*J153+K276*K153+L276*L153+M276*M153+N276*N153+O276*O153+P276*P153+Q276*Q153+R276*R153+S276*S153+T276*T153+U276*U153+V276*V153+W276*W153+X276*X153+Y276*Y153+Z276*Z153+AA276*AA153+AB276*AB153+AC276*AC153+AD276*AD153+AE276*AE153+AF276*AF153+AG276*AG153+AH276*AH153+AI276*AI153+AJ276*AJ153+AK276*AK153+AL276*AL153+AM276*AM153+AN276*AN153+AO276*AO153+AP276*AP153+AQ276*AQ153+AR276*AR153+AS276*AS153+AT276*AT153+AU276*AU153+AV276*AV153+AW276*AW153+AX276*AX153+AY276*AY153+AZ276*AZ153+BA276*BA153+BB276*BB153+BC276*BC153+BD276*BD153+BE276*BE153+BF276*BF153+BG276*BG153+BH276*BH153+BI276*BI153+BJ276*BJ153+BK276*BK153+BL276*BL153+BM276*BM153+BN276*BN153+BO276*BO153+BP276*BP153+BQ276*BQ153+BR276*BR153+BS276*BS153+BT276*BT153+BU276*BU153+BV276*BV153+BW276*BW153+BX276*BX153+BY276*BY153+BZ276*BZ153+CA276*CA153+CB276*CB153+CC276*CC153+CD276*CD153+CE276*CE153+CF276*CF153+CG276*CG153+CH276*CH153+CI276*CI153+CJ276*CJ153+CK276*CK153+CL276*CL153+CM276*CM153+CN276*CN153+CO276*CO153+CP276*CP153+CQ276*CQ153+CR276*CR153+CS276*CS153</f>
        <v>0</v>
      </c>
    </row>
    <row r="154" spans="2:110" ht="18" x14ac:dyDescent="0.35">
      <c r="B154" s="362">
        <v>12</v>
      </c>
      <c r="C154" s="363" t="s">
        <v>235</v>
      </c>
      <c r="D154" s="523" t="s">
        <v>2838</v>
      </c>
      <c r="E154" s="497">
        <f>(1-Y_OHO_SB_ana-Y_OHO_H2_ana_low)/Y_OHO_SB_ana</f>
        <v>8</v>
      </c>
      <c r="F154" s="496">
        <f>-1/Y_OHO_SB_ana</f>
        <v>-10</v>
      </c>
      <c r="G154" s="497">
        <f>0</f>
        <v>0</v>
      </c>
      <c r="H154" s="497">
        <f>0</f>
        <v>0</v>
      </c>
      <c r="I154" s="497">
        <f>0</f>
        <v>0</v>
      </c>
      <c r="J154" s="497">
        <f>0</f>
        <v>0</v>
      </c>
      <c r="K154" s="497">
        <f>0</f>
        <v>0</v>
      </c>
      <c r="L154" s="497">
        <f>0</f>
        <v>0</v>
      </c>
      <c r="M154" s="497">
        <f>0</f>
        <v>0</v>
      </c>
      <c r="N154" s="497">
        <f>0</f>
        <v>0</v>
      </c>
      <c r="O154" s="497">
        <f>0</f>
        <v>0</v>
      </c>
      <c r="P154" s="497">
        <f>0</f>
        <v>0</v>
      </c>
      <c r="Q154" s="497">
        <f>0</f>
        <v>0</v>
      </c>
      <c r="R154" s="497">
        <f>1</f>
        <v>1</v>
      </c>
      <c r="S154" s="497">
        <f>0</f>
        <v>0</v>
      </c>
      <c r="T154" s="497">
        <f>0</f>
        <v>0</v>
      </c>
      <c r="U154" s="497">
        <f>0</f>
        <v>0</v>
      </c>
      <c r="V154" s="497">
        <f>0</f>
        <v>0</v>
      </c>
      <c r="W154" s="497">
        <f>0</f>
        <v>0</v>
      </c>
      <c r="X154" s="497">
        <f>0</f>
        <v>0</v>
      </c>
      <c r="Y154" s="497">
        <f>0</f>
        <v>0</v>
      </c>
      <c r="Z154" s="497">
        <f>0</f>
        <v>0</v>
      </c>
      <c r="AA154" s="496">
        <f t="shared" si="0"/>
        <v>-7.0000000000000007E-2</v>
      </c>
      <c r="AB154" s="496">
        <f>0</f>
        <v>0</v>
      </c>
      <c r="AC154" s="497">
        <f>0</f>
        <v>0</v>
      </c>
      <c r="AD154" s="497">
        <f>0</f>
        <v>0</v>
      </c>
      <c r="AE154" s="497">
        <f>0</f>
        <v>0</v>
      </c>
      <c r="AF154" s="497">
        <f>0</f>
        <v>0</v>
      </c>
      <c r="AG154" s="497">
        <f>0</f>
        <v>0</v>
      </c>
      <c r="AH154" s="497">
        <f>0</f>
        <v>0</v>
      </c>
      <c r="AI154" s="497">
        <f>0</f>
        <v>0</v>
      </c>
      <c r="AJ154" s="497">
        <f>0</f>
        <v>0</v>
      </c>
      <c r="AK154" s="497">
        <f>0</f>
        <v>0</v>
      </c>
      <c r="AL154" s="497">
        <f>0</f>
        <v>0</v>
      </c>
      <c r="AM154" s="496">
        <f t="shared" si="1"/>
        <v>-0.02</v>
      </c>
      <c r="AN154" s="497">
        <f>0</f>
        <v>0</v>
      </c>
      <c r="AO154" s="497">
        <f>0</f>
        <v>0</v>
      </c>
      <c r="AP154" s="497">
        <f>0</f>
        <v>0</v>
      </c>
      <c r="AQ154" s="497">
        <f>0</f>
        <v>0</v>
      </c>
      <c r="AR154" s="497">
        <f>0</f>
        <v>0</v>
      </c>
      <c r="AS154" s="497">
        <f>0</f>
        <v>0</v>
      </c>
      <c r="AT154" s="497">
        <f>0</f>
        <v>0</v>
      </c>
      <c r="AU154" s="497">
        <f>Y_OHO_H2_ana_low/Y_OHO_SB_ana</f>
        <v>1</v>
      </c>
      <c r="AV154" s="525">
        <f>(i_CIT_SB-i_CIT_VFA*(1-Y_OHO_SB_ana-Y_OHO_H2_ana_low)-i_CIT_BIO*Y_OHO_SB_ana)/Y_OHO_SB_ana</f>
        <v>-0.49200000000000066</v>
      </c>
      <c r="AW154" s="496">
        <f t="shared" si="2"/>
        <v>0.11</v>
      </c>
      <c r="AX154" s="496">
        <f t="shared" si="3"/>
        <v>-2.8804303582798466E-2</v>
      </c>
      <c r="AY154" s="496">
        <f t="shared" si="4"/>
        <v>-7.0195696417201539E-2</v>
      </c>
      <c r="AZ154" s="496">
        <f t="shared" si="5"/>
        <v>-5.5000000000000005E-3</v>
      </c>
      <c r="BA154" s="496">
        <f t="shared" si="6"/>
        <v>-5.5000000000000005E-3</v>
      </c>
      <c r="BB154" s="496">
        <f>0</f>
        <v>0</v>
      </c>
      <c r="BC154" s="496">
        <f>0</f>
        <v>0</v>
      </c>
      <c r="BD154" s="496">
        <f>0</f>
        <v>0</v>
      </c>
      <c r="BE154" s="496">
        <f>0</f>
        <v>0</v>
      </c>
      <c r="BF154" s="496">
        <f>0</f>
        <v>0</v>
      </c>
      <c r="BG154" s="496">
        <f>0</f>
        <v>0</v>
      </c>
      <c r="BH154" s="496">
        <f>0</f>
        <v>0</v>
      </c>
      <c r="BI154" s="496">
        <f>0</f>
        <v>0</v>
      </c>
      <c r="BJ154" s="496">
        <f>0</f>
        <v>0</v>
      </c>
      <c r="BK154" s="496">
        <f>0</f>
        <v>0</v>
      </c>
      <c r="BL154" s="496">
        <f>0</f>
        <v>0</v>
      </c>
      <c r="BM154" s="496">
        <f>0</f>
        <v>0</v>
      </c>
      <c r="BN154" s="496">
        <f>0</f>
        <v>0</v>
      </c>
      <c r="BO154" s="496">
        <f>0</f>
        <v>0</v>
      </c>
      <c r="BP154" s="496">
        <f>0</f>
        <v>0</v>
      </c>
      <c r="BQ154" s="496">
        <f>0</f>
        <v>0</v>
      </c>
      <c r="BR154" s="496">
        <f>0</f>
        <v>0</v>
      </c>
      <c r="BS154" s="496">
        <f>0</f>
        <v>0</v>
      </c>
      <c r="BT154" s="496">
        <f>0</f>
        <v>0</v>
      </c>
      <c r="BU154" s="496">
        <f>0</f>
        <v>0</v>
      </c>
      <c r="BV154" s="496">
        <f>0</f>
        <v>0</v>
      </c>
      <c r="BW154" s="2353">
        <f>0</f>
        <v>0</v>
      </c>
      <c r="BX154" s="2353">
        <f>0</f>
        <v>0</v>
      </c>
      <c r="BY154" s="2353">
        <f>0</f>
        <v>0</v>
      </c>
      <c r="BZ154" s="2353">
        <f>0</f>
        <v>0</v>
      </c>
      <c r="CA154" s="496">
        <f>0</f>
        <v>0</v>
      </c>
      <c r="CB154" s="496">
        <f>0</f>
        <v>0</v>
      </c>
      <c r="CC154" s="496">
        <f>0</f>
        <v>0</v>
      </c>
      <c r="CD154" s="496">
        <f>0</f>
        <v>0</v>
      </c>
      <c r="CE154" s="496">
        <f>0</f>
        <v>0</v>
      </c>
      <c r="CF154" s="496">
        <f>0</f>
        <v>0</v>
      </c>
      <c r="CG154" s="496">
        <f>0</f>
        <v>0</v>
      </c>
      <c r="CH154" s="496">
        <f>0</f>
        <v>0</v>
      </c>
      <c r="CI154" s="496">
        <f>0</f>
        <v>0</v>
      </c>
      <c r="CJ154" s="496">
        <f>0</f>
        <v>0</v>
      </c>
      <c r="CK154" s="496">
        <f>0</f>
        <v>0</v>
      </c>
      <c r="CL154" s="496">
        <f>0</f>
        <v>0</v>
      </c>
      <c r="CM154" s="496">
        <f>0</f>
        <v>0</v>
      </c>
      <c r="CN154" s="496">
        <f>0</f>
        <v>0</v>
      </c>
      <c r="CO154" s="496">
        <f>0</f>
        <v>0</v>
      </c>
      <c r="CP154" s="496">
        <f>0</f>
        <v>0</v>
      </c>
      <c r="CQ154" s="496">
        <f>0</f>
        <v>0</v>
      </c>
      <c r="CR154" s="496">
        <f>0</f>
        <v>0</v>
      </c>
      <c r="CS154" s="496">
        <f>0</f>
        <v>0</v>
      </c>
      <c r="CT154" s="2480">
        <f>µ_FERM_OHO_T*X_OHO*L_oginhSVFA_KVFA_FERM*M_satSB_KSB_ana*M_inhSO2_KO2_OHO*M_inhSNO2_KNO2_OHO*M_inhSNO3_KNO3_OHO*M_satSNHx_KNHx_BIO*M_satSPO4_KPO4_BIO*M_satSCAT_KCAT*M_satSAN_KAN*M_satSCa_KCa*M_satSMg_KMg*M_satSCO2_KCO2_BIO*B_ellinhpH</f>
        <v>4.3461152921894675E-2</v>
      </c>
      <c r="CV154" s="2502">
        <f>E266*E154+F266*F154+G266*G154+H266*H154+I266*I154+J266*J154+K266*K154+L266*L154+M266*M154+N266*N154+O266*O154+P266*P154+Q266*Q154+R266*R154+S266*S154+T266*T154+U266*U154+V266*V154+W266*W154+X266*X154+Y266*Y154+Z266*Z154+AA266*AA154+AB266*AB154+AC266*AC154+AD266*AD154+AE266*AE154+AF266*AF154+AG266*AG154+AH266*AH154+AI266*AI154+AJ266*AJ154+AK266*AK154+AL266*AL154+AM266*AM154+AN266*AN154+AO266*AO154+AP266*AP154+AQ266*AQ154+AR266*AR154+AS266*AS154+AT266*AT154+AU266*AU154+AV266*AV154+AW266*AW154+AX266*AX154+AY266*AY154+AZ266*AZ154+BA266*BA154+BB266*BB154+BC266*BC154+BD266*BD154+BE266*BE154+BF266*BF154+BG266*BG154+BH266*BH154+BI266*BI154+BJ266*BJ154+BK266*BK154+BL266*BL154+BM266*BM154+BN266*BN154+BO266*BO154+BP266*BP154+BQ266*BQ154+BR266*BR154+BS266*BS154+BT266*BT154+BU266*BU154+BV266*BV154+BW266*BW154+BX266*BX154+BY266*BY154+BZ266*BZ154+CA266*CA154+CB266*CB154+CC266*CC154+CD266*CD154+CE266*CE154+CF266*CF154+CG266*CG154+CH266*CH154+CI266*CI154+CJ266*CJ154+CK266*CK154+CL266*CL154+CM266*CM154+CN266*CN154+CO266*CO154+CP266*CP154+CQ266*CQ154+CR266*CR154+CS266*CS154</f>
        <v>0</v>
      </c>
      <c r="CW154" s="2502">
        <f>E267*E154+F267*F154+G267*G154+H267*H154+I267*I154+J267*J154+K267*K154+L267*L154+M267*M154+N267*N154+O267*O154+P267*P154+Q267*Q154+R267*R154+S267*S154+T267*T154+U267*U154+V267*V154+W267*W154+X267*X154+Y267*Y154+Z267*Z154+AA267*AA154+AB267*AB154+AC267*AC154+AD267*AD154+AE267*AE154+AF267*AF154+AG267*AG154+AH267*AH154+AI267*AI154+AJ267*AJ154+AK267*AK154+AL267*AL154+AM267*AM154+AN267*AN154+AO267*AO154+AP267*AP154+AQ267*AQ154+AR267*AR154+AS267*AS154+AT267*AT154+AU267*AU154+AV267*AV154+AW267*AW154+AX267*AX154+AY267*AY154+AZ267*AZ154+BA267*BA154+BB267*BB154+BC267*BC154+BD267*BD154+BE267*BE154+BF267*BF154+BG267*BG154+BH267*BH154+BI267*BI154+BJ267*BJ154+BK267*BK154+BL267*BL154+BM267*BM154+BN267*BN154+BO267*BO154+BP267*BP154+BQ267*BQ154+BR267*BR154+BS267*BS154+BT267*BT154+BU267*BU154+BV267*BV154+BW267*BW154+BX267*BX154+BY267*BY154+BZ267*BZ154+CA267*CA154+CB267*CB154+CC267*CC154+CD267*CD154+CE267*CE154+CF267*CF154+CG267*CG154+CH267*CH154+CI267*CI154+CJ267*CJ154+CK267*CK154+CL267*CL154+CM267*CM154+CN267*CN154+CO267*CO154+CP267*CP154+CQ267*CQ154+CR267*CR154+CS267*CS154</f>
        <v>-5.5511151231257827E-16</v>
      </c>
      <c r="CX154" s="2503">
        <f>E268*E154+F268*F154+G268*G154+H268*H154+I268*I154+J268*J154+K268*K154+L268*L154+M268*M154+N268*N154+O268*O154+P268*P154+Q268*Q154+R268*R154+S268*S154+T268*T154+U268*U154+V268*V154+W268*W154+X268*X154+Y268*Y154+Z268*Z154+AA268*AA154+AB268*AB154+AC268*AC154+AD268*AD154+AE268*AE154+AF268*AF154+AG268*AG154+AH268*AH154+AI268*AI154+AJ268*AJ154+AK268*AK154+AL268*AL154+AM268*AM154+AN268*AN154+AO268*AO154+AP268*AP154+AQ268*AQ154+AR268*AR154+AS268*AS154+AT268*AT154+AU268*AU154+AV268*AV154+AW268*AW154+AX268*AX154+AY268*AY154+AZ268*AZ154+BA268*BA154+BB268*BB154+BC268*BC154+BD268*BD154+BE268*BE154+BF268*BF154+BG268*BG154+BH268*BH154+BI268*BI154+BJ268*BJ154+BK268*BK154+BL268*BL154+BM268*BM154+BN268*BN154+BO268*BO154+BP268*BP154+BQ268*BQ154+BR268*BR154+BS268*BS154+BT268*BT154+BU268*BU154+BV268*BV154+BW268*BW154+BX268*BX154+BY268*BY154+BZ268*BZ154+CA268*CA154+CB268*CB154+CC268*CC154+CD268*CD154+CE268*CE154+CF268*CF154+CG268*CG154+CH268*CH154+CI268*CI154+CJ268*CJ154+CK268*CK154+CL268*CL154+CM268*CM154+CN268*CN154+CO268*CO154+CP268*CP154+CQ268*CQ154+CR268*CR154+CS268*CS154</f>
        <v>0</v>
      </c>
      <c r="CY154" s="2504">
        <f>E269*E154+F269*F154+G269*G154+H269*H154+I269*I154+J269*J154+K269*K154+L269*L154+M269*M154+N269*N154+O269*O154+P269*P154+Q269*Q154+R269*R154+S269*S154+T269*T154+U269*U154+V269*V154+W269*W154+X269*X154+Y269*Y154+Z269*Z154+AA269*AA154+AB269*AB154+AC269*AC154+AD269*AD154+AE269*AE154+AF269*AF154+AG269*AG154+AH269*AH154+AI269*AI154+AJ269*AJ154+AK269*AK154+AL269*AL154+AM269*AM154+AN269*AN154+AO269*AO154+AP269*AP154+AQ269*AQ154+AR269*AR154+AS269*AS154+AT269*AT154+AU269*AU154+AV269*AV154+AW269*AW154+AX269*AX154+AY269*AY154+AZ269*AZ154+BA269*BA154+BB269*BB154+BC269*BC154+BD269*BD154+BE269*BE154+BF269*BF154+BG269*BG154+BH269*BH154+BI269*BI154+BJ269*BJ154+BK269*BK154+BL269*BL154+BM269*BM154+BN269*BN154+BO269*BO154+BP269*BP154+BQ269*BQ154+BR269*BR154+BS269*BS154+BT269*BT154+BU269*BU154+BV269*BV154+BW269*BW154+BX269*BX154+BY269*BY154+BZ269*BZ154+CA269*CA154+CB269*CB154+CC269*CC154+CD269*CD154+CE269*CE154+CF269*CF154+CG269*CG154+CH269*CH154+CI269*CI154+CJ269*CJ154+CK269*CK154+CL269*CL154+CM269*CM154+CN269*CN154+CO269*CO154+CP269*CP154+CQ269*CQ154+CR269*CR154+CS269*CS154</f>
        <v>0</v>
      </c>
      <c r="CZ154" s="2504">
        <f>E270*E154+F270*F154+G270*G154+H270*H154+I270*I154+J270*J154+K270*K154+L270*L154+M270*M154+N270*N154+O270*O154+P270*P154+Q270*Q154+R270*R154+S270*S154+T270*T154+U270*U154+V270*V154+W270*W154+X270*X154+Y270*Y154+Z270*Z154+AA270*AA154+AB270*AB154+AC270*AC154+AD270*AD154+AE270*AE154+AF270*AF154+AG270*AG154+AH270*AH154+AI270*AI154+AJ270*AJ154+AK270*AK154+AL270*AL154+AM270*AM154+AN270*AN154+AO270*AO154+AP270*AP154+AQ270*AQ154+AR270*AR154+AS270*AS154+AT270*AT154+AU270*AU154+AV270*AV154+AW270*AW154+AX270*AX154+AY270*AY154+AZ270*AZ154+BA270*BA154+BB270*BB154+BC270*BC154+BD270*BD154+BE270*BE154+BF270*BF154+BG270*BG154+BH270*BH154+BI270*BI154+BJ270*BJ154+BK270*BK154+BL270*BL154+BM270*BM154+BN270*BN154+BO270*BO154+BP270*BP154+BQ270*BQ154+BR270*BR154+BS270*BS154+BT270*BT154+BU270*BU154+BV270*BV154+BW270*BW154+BX270*BX154+BY270*BY154+BZ270*BZ154+CA270*CA154+CB270*CB154+CC270*CC154+CD270*CD154+CE270*CE154+CF270*CF154+CG270*CG154+CH270*CH154+CI270*CI154+CJ270*CJ154+CK270*CK154+CL270*CL154+CM270*CM154+CN270*CN154+CO270*CO154+CP270*CP154+CQ270*CQ154+CR270*CR154+CS270*CS154</f>
        <v>0</v>
      </c>
      <c r="DA154" s="2504">
        <f>E271*E154+F271*F154+G271*G154+H271*H154+I271*I154+J271*J154+K271*K154+L271*L154+M271*M154+N271*N154+O271*O154+P271*P154+Q271*Q154+R271*R154+S271*S154+T271*T154+U271*U154+V271*V154+W271*W154+X271*X154+Y271*Y154+Z271*Z154+AA271*AA154+AB271*AB154+AC271*AC154+AD271*AD154+AE271*AE154+AF271*AF154+AG271*AG154+AH271*AH154+AI271*AI154+AJ271*AJ154+AK271*AK154+AL271*AL154+AM271*AM154+AN271*AN154+AO271*AO154+AP271*AP154+AQ271*AQ154+AR271*AR154+AS271*AS154+AT271*AT154+AU271*AU154+AV271*AV154+AW271*AW154+AX271*AX154+AY271*AY154+AZ271*AZ154+BA271*BA154+BB271*BB154+BC271*BC154+BD271*BD154+BE271*BE154+BF271*BF154+BG271*BG154+BH271*BH154+BI271*BI154+BJ271*BJ154+BK271*BK154+BL271*BL154+BM271*BM154+BN271*BN154+BO271*BO154+BP271*BP154+BQ271*BQ154+BR271*BR154+BS271*BS154+BT271*BT154+BU271*BU154+BV271*BV154+BW271*BW154+BX271*BX154+BY271*BY154+BZ271*BZ154+CA271*CA154+CB271*CB154+CC271*CC154+CD271*CD154+CE271*CE154+CF271*CF154+CG271*CG154+CH271*CH154+CI271*CI154+CJ271*CJ154+CK271*CK154+CL271*CL154+CM271*CM154+CN271*CN154+CO271*CO154+CP271*CP154+CQ271*CQ154+CR271*CR154+CS271*CS154</f>
        <v>0</v>
      </c>
      <c r="DB154" s="2504">
        <f>E272*E154+F272*F154+G272*G154+H272*H154+I272*I154+J272*J154+K272*K154+L272*L154+M272*M154+N272*N154+O272*O154+P272*P154+Q272*Q154+R272*R154+S272*S154+T272*T154+U272*U154+V272*V154+W272*W154+X272*X154+Y272*Y154+Z272*Z154+AA272*AA154+AB272*AB154+AC272*AC154+AD272*AD154+AE272*AE154+AF272*AF154+AG272*AG154+AH272*AH154+AI272*AI154+AJ272*AJ154+AK272*AK154+AL272*AL154+AM272*AM154+AN272*AN154+AO272*AO154+AP272*AP154+AQ272*AQ154+AR272*AR154+AS272*AS154+AT272*AT154+AU272*AU154+AV272*AV154+AW272*AW154+AX272*AX154+AY272*AY154+AZ272*AZ154+BA272*BA154+BB272*BB154+BC272*BC154+BD272*BD154+BE272*BE154+BF272*BF154+BG272*BG154+BH272*BH154+BI272*BI154+BJ272*BJ154+BK272*BK154+BL272*BL154+BM272*BM154+BN272*BN154+BO272*BO154+BP272*BP154+BQ272*BQ154+BR272*BR154+BS272*BS154+BT272*BT154+BU272*BU154+BV272*BV154+BW272*BW154+BX272*BX154+BY272*BY154+BZ272*BZ154+CA272*CA154+CB272*CB154+CC272*CC154+CD272*CD154+CE272*CE154+CF272*CF154+CG272*CG154+CH272*CH154+CI272*CI154+CJ272*CJ154+CK272*CK154+CL272*CL154+CM272*CM154+CN272*CN154+CO272*CO154+CP272*CP154+CQ272*CQ154+CR272*CR154+CS272*CS154</f>
        <v>0</v>
      </c>
      <c r="DC154" s="2504">
        <f>E273*E154+F273*F154+G273*G154+H273*H154+I273*I154+J273*J154+K273*K154+L273*L154+M273*M154+N273*N154+O273*O154+P273*P154+Q273*Q154+R273*R154+S273*S154+T273*T154+U273*U154+V273*V154+W273*W154+X273*X154+Y273*Y154+Z273*Z154+AA273*AA154+AB273*AB154+AC273*AC154+AD273*AD154+AE273*AE154+AF273*AF154+AG273*AG154+AH273*AH154+AI273*AI154+AJ273*AJ154+AK273*AK154+AL273*AL154+AM273*AM154+AN273*AN154+AO273*AO154+AP273*AP154+AQ273*AQ154+AR273*AR154+AS273*AS154+AT273*AT154+AU273*AU154+AV273*AV154+AW273*AW154+AX273*AX154+AY273*AY154+AZ273*AZ154+BA273*BA154+BB273*BB154+BC273*BC154+BD273*BD154+BE273*BE154+BF273*BF154+BG273*BG154+BH273*BH154+BI273*BI154+BJ273*BJ154+BK273*BK154+BL273*BL154+BM273*BM154+BN273*BN154+BO273*BO154+BP273*BP154+BQ273*BQ154+BR273*BR154+BS273*BS154+BT273*BT154+BU273*BU154+BV273*BV154+BW273*BW154+BX273*BX154+BY273*BY154+BZ273*BZ154+CA273*CA154+CB273*CB154+CC273*CC154+CD273*CD154+CE273*CE154+CF273*CF154+CG273*CG154+CH273*CH154+CI273*CI154+CJ273*CJ154+CK273*CK154+CL273*CL154+CM273*CM154+CN273*CN154+CO273*CO154+CP273*CP154+CQ273*CQ154+CR273*CR154+CS273*CS154</f>
        <v>0</v>
      </c>
      <c r="DD154" s="2504">
        <f>E274*E154+F274*F154+G274*G154+H274*H154+I274*I154+J274*J154+K274*K154+L274*L154+M274*M154+N274*N154+O274*O154+P274*P154+Q274*Q154+R274*R154+S274*S154+T274*T154+U274*U154+V274*V154+W274*W154+X274*X154+Y274*Y154+Z274*Z154+AA274*AA154+AB274*AB154+AC274*AC154+AD274*AD154+AE274*AE154+AF274*AF154+AG274*AG154+AH274*AH154+AI274*AI154+AJ274*AJ154+AK274*AK154+AL274*AL154+AM274*AM154+AN274*AN154+AO274*AO154+AP274*AP154+AQ274*AQ154+AR274*AR154+AS274*AS154+AT274*AT154+AU274*AU154+AV274*AV154+AW274*AW154+AX274*AX154+AY274*AY154+AZ274*AZ154+BA274*BA154+BB274*BB154+BC274*BC154+BD274*BD154+BE274*BE154+BF274*BF154+BG274*BG154+BH274*BH154+BI274*BI154+BJ274*BJ154+BK274*BK154+BL274*BL154+BM274*BM154+BN274*BN154+BO274*BO154+BP274*BP154+BQ274*BQ154+BR274*BR154+BS274*BS154+BT274*BT154+BU274*BU154+BV274*BV154+BW274*BW154+BX274*BX154+BY274*BY154+BZ274*BZ154+CA274*CA154+CB274*CB154+CC274*CC154+CD274*CD154+CE274*CE154+CF274*CF154+CG274*CG154+CH274*CH154+CI274*CI154+CJ274*CJ154+CK274*CK154+CL274*CL154+CM274*CM154+CN274*CN154+CO274*CO154+CP274*CP154+CQ274*CQ154+CR274*CR154+CS274*CS154</f>
        <v>0</v>
      </c>
      <c r="DE154" s="2504">
        <f>E275*E154+F275*F154+G275*G154+H275*H154+I275*I154+J275*J154+K275*K154+L275*L154+M275*M154+N275*N154+O275*O154+P275*P154+Q275*Q154+R275*R154+S275*S154+T275*T154+U275*U154+V275*V154+W275*W154+X275*X154+Y275*Y154+Z275*Z154+AA275*AA154+AB275*AB154+AC275*AC154+AD275*AD154+AE275*AE154+AF275*AF154+AG275*AG154+AH275*AH154+AI275*AI154+AJ275*AJ154+AK275*AK154+AL275*AL154+AM275*AM154+AN275*AN154+AO275*AO154+AP275*AP154+AQ275*AQ154+AR275*AR154+AS275*AS154+AT275*AT154+AU275*AU154+AV275*AV154+AW275*AW154+AX275*AX154+AY275*AY154+AZ275*AZ154+BA275*BA154+BB275*BB154+BC275*BC154+BD275*BD154+BE275*BE154+BF275*BF154+BG275*BG154+BH275*BH154+BI275*BI154+BJ275*BJ154+BK275*BK154+BL275*BL154+BM275*BM154+BN275*BN154+BO275*BO154+BP275*BP154+BQ275*BQ154+BR275*BR154+BS275*BS154+BT275*BT154+BU275*BU154+BV275*BV154+BW275*BW154+BX275*BX154+BY275*BY154+BZ275*BZ154+CA275*CA154+CB275*CB154+CC275*CC154+CD275*CD154+CE275*CE154+CF275*CF154+CG275*CG154+CH275*CH154+CI275*CI154+CJ275*CJ154+CK275*CK154+CL275*CL154+CM275*CM154+CN275*CN154+CO275*CO154+CP275*CP154+CQ275*CQ154+CR275*CR154+CS275*CS154</f>
        <v>0</v>
      </c>
      <c r="DF154" s="2504">
        <f>E276*E154+F276*F154+G276*G154+H276*H154+I276*I154+J276*J154+K276*K154+L276*L154+M276*M154+N276*N154+O276*O154+P276*P154+Q276*Q154+R276*R154+S276*S154+T276*T154+U276*U154+V276*V154+W276*W154+X276*X154+Y276*Y154+Z276*Z154+AA276*AA154+AB276*AB154+AC276*AC154+AD276*AD154+AE276*AE154+AF276*AF154+AG276*AG154+AH276*AH154+AI276*AI154+AJ276*AJ154+AK276*AK154+AL276*AL154+AM276*AM154+AN276*AN154+AO276*AO154+AP276*AP154+AQ276*AQ154+AR276*AR154+AS276*AS154+AT276*AT154+AU276*AU154+AV276*AV154+AW276*AW154+AX276*AX154+AY276*AY154+AZ276*AZ154+BA276*BA154+BB276*BB154+BC276*BC154+BD276*BD154+BE276*BE154+BF276*BF154+BG276*BG154+BH276*BH154+BI276*BI154+BJ276*BJ154+BK276*BK154+BL276*BL154+BM276*BM154+BN276*BN154+BO276*BO154+BP276*BP154+BQ276*BQ154+BR276*BR154+BS276*BS154+BT276*BT154+BU276*BU154+BV276*BV154+BW276*BW154+BX276*BX154+BY276*BY154+BZ276*BZ154+CA276*CA154+CB276*CB154+CC276*CC154+CD276*CD154+CE276*CE154+CF276*CF154+CG276*CG154+CH276*CH154+CI276*CI154+CJ276*CJ154+CK276*CK154+CL276*CL154+CM276*CM154+CN276*CN154+CO276*CO154+CP276*CP154+CQ276*CQ154+CR276*CR154+CS276*CS154</f>
        <v>0</v>
      </c>
    </row>
    <row r="155" spans="2:110" ht="18" x14ac:dyDescent="0.35">
      <c r="B155" s="362">
        <v>13</v>
      </c>
      <c r="C155" s="363" t="s">
        <v>236</v>
      </c>
      <c r="D155" s="523" t="s">
        <v>1649</v>
      </c>
      <c r="E155" s="497">
        <f>0</f>
        <v>0</v>
      </c>
      <c r="F155" s="497">
        <f>0</f>
        <v>0</v>
      </c>
      <c r="G155" s="496">
        <f>-1/Y_OHO_SMEOL_ox</f>
        <v>-2.5</v>
      </c>
      <c r="H155" s="497">
        <f>0</f>
        <v>0</v>
      </c>
      <c r="I155" s="497">
        <f>0</f>
        <v>0</v>
      </c>
      <c r="J155" s="497">
        <f>0</f>
        <v>0</v>
      </c>
      <c r="K155" s="497">
        <f>0</f>
        <v>0</v>
      </c>
      <c r="L155" s="497">
        <f>0</f>
        <v>0</v>
      </c>
      <c r="M155" s="497">
        <f>0</f>
        <v>0</v>
      </c>
      <c r="N155" s="497">
        <f>0</f>
        <v>0</v>
      </c>
      <c r="O155" s="497">
        <f>0</f>
        <v>0</v>
      </c>
      <c r="P155" s="497">
        <f>0</f>
        <v>0</v>
      </c>
      <c r="Q155" s="497">
        <f>0</f>
        <v>0</v>
      </c>
      <c r="R155" s="497">
        <f>1</f>
        <v>1</v>
      </c>
      <c r="S155" s="497">
        <f>0</f>
        <v>0</v>
      </c>
      <c r="T155" s="497">
        <f>0</f>
        <v>0</v>
      </c>
      <c r="U155" s="497">
        <f>0</f>
        <v>0</v>
      </c>
      <c r="V155" s="497">
        <f>0</f>
        <v>0</v>
      </c>
      <c r="W155" s="497">
        <f>0</f>
        <v>0</v>
      </c>
      <c r="X155" s="497">
        <f>0</f>
        <v>0</v>
      </c>
      <c r="Y155" s="497">
        <f>0</f>
        <v>0</v>
      </c>
      <c r="Z155" s="497">
        <f>0</f>
        <v>0</v>
      </c>
      <c r="AA155" s="496">
        <f t="shared" si="0"/>
        <v>-7.0000000000000007E-2</v>
      </c>
      <c r="AB155" s="496">
        <f>0</f>
        <v>0</v>
      </c>
      <c r="AC155" s="497">
        <f>0</f>
        <v>0</v>
      </c>
      <c r="AD155" s="497">
        <f>0</f>
        <v>0</v>
      </c>
      <c r="AE155" s="497">
        <f>0</f>
        <v>0</v>
      </c>
      <c r="AF155" s="497">
        <f>0</f>
        <v>0</v>
      </c>
      <c r="AG155" s="497">
        <f>0</f>
        <v>0</v>
      </c>
      <c r="AH155" s="497">
        <f>0</f>
        <v>0</v>
      </c>
      <c r="AI155" s="497">
        <f>0</f>
        <v>0</v>
      </c>
      <c r="AJ155" s="497">
        <f>0</f>
        <v>0</v>
      </c>
      <c r="AK155" s="497">
        <f>0</f>
        <v>0</v>
      </c>
      <c r="AL155" s="497">
        <f>0</f>
        <v>0</v>
      </c>
      <c r="AM155" s="496">
        <f t="shared" si="1"/>
        <v>-0.02</v>
      </c>
      <c r="AN155" s="497">
        <f>0</f>
        <v>0</v>
      </c>
      <c r="AO155" s="497">
        <f>0</f>
        <v>0</v>
      </c>
      <c r="AP155" s="497">
        <f>0</f>
        <v>0</v>
      </c>
      <c r="AQ155" s="497">
        <f>0</f>
        <v>0</v>
      </c>
      <c r="AR155" s="497">
        <f>0</f>
        <v>0</v>
      </c>
      <c r="AS155" s="496">
        <f>-(1-Y_OHO_SMEOL_ox)/Y_OHO_SMEOL_ox</f>
        <v>-1.4999999999999998</v>
      </c>
      <c r="AT155" s="496">
        <f>0</f>
        <v>0</v>
      </c>
      <c r="AU155" s="496">
        <f>0</f>
        <v>0</v>
      </c>
      <c r="AV155" s="496">
        <f>i_CIT_MEOL/Y_OHO_SMEOL_ox-i_CIT_BIO</f>
        <v>0.27300000000000002</v>
      </c>
      <c r="AW155" s="496">
        <f t="shared" si="2"/>
        <v>0.11</v>
      </c>
      <c r="AX155" s="496">
        <f t="shared" si="3"/>
        <v>-2.8804303582798466E-2</v>
      </c>
      <c r="AY155" s="496">
        <f t="shared" si="4"/>
        <v>-7.0195696417201539E-2</v>
      </c>
      <c r="AZ155" s="496">
        <f t="shared" si="5"/>
        <v>-5.5000000000000005E-3</v>
      </c>
      <c r="BA155" s="496">
        <f t="shared" si="6"/>
        <v>-5.5000000000000005E-3</v>
      </c>
      <c r="BB155" s="496">
        <f>0</f>
        <v>0</v>
      </c>
      <c r="BC155" s="496">
        <f>0</f>
        <v>0</v>
      </c>
      <c r="BD155" s="496">
        <f>0</f>
        <v>0</v>
      </c>
      <c r="BE155" s="496">
        <f>0</f>
        <v>0</v>
      </c>
      <c r="BF155" s="496">
        <f>0</f>
        <v>0</v>
      </c>
      <c r="BG155" s="496">
        <f>0</f>
        <v>0</v>
      </c>
      <c r="BH155" s="496">
        <f>0</f>
        <v>0</v>
      </c>
      <c r="BI155" s="496">
        <f>0</f>
        <v>0</v>
      </c>
      <c r="BJ155" s="496">
        <f>0</f>
        <v>0</v>
      </c>
      <c r="BK155" s="496">
        <f>0</f>
        <v>0</v>
      </c>
      <c r="BL155" s="496">
        <f>0</f>
        <v>0</v>
      </c>
      <c r="BM155" s="496">
        <f>0</f>
        <v>0</v>
      </c>
      <c r="BN155" s="496">
        <f>0</f>
        <v>0</v>
      </c>
      <c r="BO155" s="496">
        <f>0</f>
        <v>0</v>
      </c>
      <c r="BP155" s="496">
        <f>0</f>
        <v>0</v>
      </c>
      <c r="BQ155" s="496">
        <f>0</f>
        <v>0</v>
      </c>
      <c r="BR155" s="496">
        <f>0</f>
        <v>0</v>
      </c>
      <c r="BS155" s="496">
        <f>0</f>
        <v>0</v>
      </c>
      <c r="BT155" s="496">
        <f>0</f>
        <v>0</v>
      </c>
      <c r="BU155" s="496">
        <f>0</f>
        <v>0</v>
      </c>
      <c r="BV155" s="496">
        <f>0</f>
        <v>0</v>
      </c>
      <c r="BW155" s="2353">
        <f>0</f>
        <v>0</v>
      </c>
      <c r="BX155" s="2353">
        <f>0</f>
        <v>0</v>
      </c>
      <c r="BY155" s="2353">
        <f>0</f>
        <v>0</v>
      </c>
      <c r="BZ155" s="2353">
        <f>0</f>
        <v>0</v>
      </c>
      <c r="CA155" s="496">
        <f>0</f>
        <v>0</v>
      </c>
      <c r="CB155" s="496">
        <f>0</f>
        <v>0</v>
      </c>
      <c r="CC155" s="496">
        <f>0</f>
        <v>0</v>
      </c>
      <c r="CD155" s="496">
        <f>0</f>
        <v>0</v>
      </c>
      <c r="CE155" s="496">
        <f>0</f>
        <v>0</v>
      </c>
      <c r="CF155" s="496">
        <f>0</f>
        <v>0</v>
      </c>
      <c r="CG155" s="496">
        <f>0</f>
        <v>0</v>
      </c>
      <c r="CH155" s="496">
        <f>0</f>
        <v>0</v>
      </c>
      <c r="CI155" s="496">
        <f>0</f>
        <v>0</v>
      </c>
      <c r="CJ155" s="496">
        <f>0</f>
        <v>0</v>
      </c>
      <c r="CK155" s="496">
        <f>0</f>
        <v>0</v>
      </c>
      <c r="CL155" s="496">
        <f>0</f>
        <v>0</v>
      </c>
      <c r="CM155" s="496">
        <f>0</f>
        <v>0</v>
      </c>
      <c r="CN155" s="496">
        <f>0</f>
        <v>0</v>
      </c>
      <c r="CO155" s="496">
        <f>0</f>
        <v>0</v>
      </c>
      <c r="CP155" s="496">
        <f>0</f>
        <v>0</v>
      </c>
      <c r="CQ155" s="496">
        <f>0</f>
        <v>0</v>
      </c>
      <c r="CR155" s="496">
        <f>0</f>
        <v>0</v>
      </c>
      <c r="CS155" s="496">
        <f>0</f>
        <v>0</v>
      </c>
      <c r="CT155" s="2480">
        <f>µ_OHO_T*X_OHO*M_satSMEOL_KMEOL_OHO*M_satSO2_KO2_OHO*M_satSNHx_KNHx_BIO*M_satSPO4_KPO4_BIO*M_satSCAT_KCAT*M_satSAN_KAN*M_satSCa_KCa*M_satSMg_KMg*B_ellinhpH</f>
        <v>0</v>
      </c>
      <c r="CV155" s="2502">
        <f>E266*E155+F266*F155+G266*G155+H266*H155+I266*I155+J266*J155+K266*K155+L266*L155+M266*M155+N266*N155+O266*O155+P266*P155+Q266*Q155+R266*R155+S266*S155+T266*T155+U266*U155+V266*V155+W266*W155+X266*X155+Y266*Y155+Z266*Z155+AA266*AA155+AB266*AB155+AC266*AC155+AD266*AD155+AE266*AE155+AF266*AF155+AG266*AG155+AH266*AH155+AI266*AI155+AJ266*AJ155+AK266*AK155+AL266*AL155+AM266*AM155+AN266*AN155+AO266*AO155+AP266*AP155+AQ266*AQ155+AR266*AR155+AS266*AS155+AT266*AT155+AU266*AU155+AV266*AV155+AW266*AW155+AX266*AX155+AY266*AY155+AZ266*AZ155+BA266*BA155+BB266*BB155+BC266*BC155+BD266*BD155+BE266*BE155+BF266*BF155+BG266*BG155+BH266*BH155+BI266*BI155+BJ266*BJ155+BK266*BK155+BL266*BL155+BM266*BM155+BN266*BN155+BO266*BO155+BP266*BP155+BQ266*BQ155+BR266*BR155+BS266*BS155+BT266*BT155+BU266*BU155+BV266*BV155+BW266*BW155+BX266*BX155+BY266*BY155+BZ266*BZ155+CA266*CA155+CB266*CB155+CC266*CC155+CD266*CD155+CE266*CE155+CF266*CF155+CG266*CG155+CH266*CH155+CI266*CI155+CJ266*CJ155+CK266*CK155+CL266*CL155+CM266*CM155+CN266*CN155+CO266*CO155+CP266*CP155+CQ266*CQ155+CR266*CR155+CS266*CS155</f>
        <v>-2.2204460492503131E-16</v>
      </c>
      <c r="CW155" s="2502">
        <f>E267*E155+F267*F155+G267*G155+H267*H155+I267*I155+J267*J155+K267*K155+L267*L155+M267*M155+N267*N155+O267*O155+P267*P155+Q267*Q155+R267*R155+S267*S155+T267*T155+U267*U155+V267*V155+W267*W155+X267*X155+Y267*Y155+Z267*Z155+AA267*AA155+AB267*AB155+AC267*AC155+AD267*AD155+AE267*AE155+AF267*AF155+AG267*AG155+AH267*AH155+AI267*AI155+AJ267*AJ155+AK267*AK155+AL267*AL155+AM267*AM155+AN267*AN155+AO267*AO155+AP267*AP155+AQ267*AQ155+AR267*AR155+AS267*AS155+AT267*AT155+AU267*AU155+AV267*AV155+AW267*AW155+AX267*AX155+AY267*AY155+AZ267*AZ155+BA267*BA155+BB267*BB155+BC267*BC155+BD267*BD155+BE267*BE155+BF267*BF155+BG267*BG155+BH267*BH155+BI267*BI155+BJ267*BJ155+BK267*BK155+BL267*BL155+BM267*BM155+BN267*BN155+BO267*BO155+BP267*BP155+BQ267*BQ155+BR267*BR155+BS267*BS155+BT267*BT155+BU267*BU155+BV267*BV155+BW267*BW155+BX267*BX155+BY267*BY155+BZ267*BZ155+CA267*CA155+CB267*CB155+CC267*CC155+CD267*CD155+CE267*CE155+CF267*CF155+CG267*CG155+CH267*CH155+CI267*CI155+CJ267*CJ155+CK267*CK155+CL267*CL155+CM267*CM155+CN267*CN155+CO267*CO155+CP267*CP155+CQ267*CQ155+CR267*CR155+CS267*CS155</f>
        <v>0</v>
      </c>
      <c r="CX155" s="2503">
        <f>E268*E155+F268*F155+G268*G155+H268*H155+I268*I155+J268*J155+K268*K155+L268*L155+M268*M155+N268*N155+O268*O155+P268*P155+Q268*Q155+R268*R155+S268*S155+T268*T155+U268*U155+V268*V155+W268*W155+X268*X155+Y268*Y155+Z268*Z155+AA268*AA155+AB268*AB155+AC268*AC155+AD268*AD155+AE268*AE155+AF268*AF155+AG268*AG155+AH268*AH155+AI268*AI155+AJ268*AJ155+AK268*AK155+AL268*AL155+AM268*AM155+AN268*AN155+AO268*AO155+AP268*AP155+AQ268*AQ155+AR268*AR155+AS268*AS155+AT268*AT155+AU268*AU155+AV268*AV155+AW268*AW155+AX268*AX155+AY268*AY155+AZ268*AZ155+BA268*BA155+BB268*BB155+BC268*BC155+BD268*BD155+BE268*BE155+BF268*BF155+BG268*BG155+BH268*BH155+BI268*BI155+BJ268*BJ155+BK268*BK155+BL268*BL155+BM268*BM155+BN268*BN155+BO268*BO155+BP268*BP155+BQ268*BQ155+BR268*BR155+BS268*BS155+BT268*BT155+BU268*BU155+BV268*BV155+BW268*BW155+BX268*BX155+BY268*BY155+BZ268*BZ155+CA268*CA155+CB268*CB155+CC268*CC155+CD268*CD155+CE268*CE155+CF268*CF155+CG268*CG155+CH268*CH155+CI268*CI155+CJ268*CJ155+CK268*CK155+CL268*CL155+CM268*CM155+CN268*CN155+CO268*CO155+CP268*CP155+CQ268*CQ155+CR268*CR155+CS268*CS155</f>
        <v>0</v>
      </c>
      <c r="CY155" s="2504">
        <f>E269*E155+F269*F155+G269*G155+H269*H155+I269*I155+J269*J155+K269*K155+L269*L155+M269*M155+N269*N155+O269*O155+P269*P155+Q269*Q155+R269*R155+S269*S155+T269*T155+U269*U155+V269*V155+W269*W155+X269*X155+Y269*Y155+Z269*Z155+AA269*AA155+AB269*AB155+AC269*AC155+AD269*AD155+AE269*AE155+AF269*AF155+AG269*AG155+AH269*AH155+AI269*AI155+AJ269*AJ155+AK269*AK155+AL269*AL155+AM269*AM155+AN269*AN155+AO269*AO155+AP269*AP155+AQ269*AQ155+AR269*AR155+AS269*AS155+AT269*AT155+AU269*AU155+AV269*AV155+AW269*AW155+AX269*AX155+AY269*AY155+AZ269*AZ155+BA269*BA155+BB269*BB155+BC269*BC155+BD269*BD155+BE269*BE155+BF269*BF155+BG269*BG155+BH269*BH155+BI269*BI155+BJ269*BJ155+BK269*BK155+BL269*BL155+BM269*BM155+BN269*BN155+BO269*BO155+BP269*BP155+BQ269*BQ155+BR269*BR155+BS269*BS155+BT269*BT155+BU269*BU155+BV269*BV155+BW269*BW155+BX269*BX155+BY269*BY155+BZ269*BZ155+CA269*CA155+CB269*CB155+CC269*CC155+CD269*CD155+CE269*CE155+CF269*CF155+CG269*CG155+CH269*CH155+CI269*CI155+CJ269*CJ155+CK269*CK155+CL269*CL155+CM269*CM155+CN269*CN155+CO269*CO155+CP269*CP155+CQ269*CQ155+CR269*CR155+CS269*CS155</f>
        <v>0</v>
      </c>
      <c r="CZ155" s="2504">
        <f>E270*E155+F270*F155+G270*G155+H270*H155+I270*I155+J270*J155+K270*K155+L270*L155+M270*M155+N270*N155+O270*O155+P270*P155+Q270*Q155+R270*R155+S270*S155+T270*T155+U270*U155+V270*V155+W270*W155+X270*X155+Y270*Y155+Z270*Z155+AA270*AA155+AB270*AB155+AC270*AC155+AD270*AD155+AE270*AE155+AF270*AF155+AG270*AG155+AH270*AH155+AI270*AI155+AJ270*AJ155+AK270*AK155+AL270*AL155+AM270*AM155+AN270*AN155+AO270*AO155+AP270*AP155+AQ270*AQ155+AR270*AR155+AS270*AS155+AT270*AT155+AU270*AU155+AV270*AV155+AW270*AW155+AX270*AX155+AY270*AY155+AZ270*AZ155+BA270*BA155+BB270*BB155+BC270*BC155+BD270*BD155+BE270*BE155+BF270*BF155+BG270*BG155+BH270*BH155+BI270*BI155+BJ270*BJ155+BK270*BK155+BL270*BL155+BM270*BM155+BN270*BN155+BO270*BO155+BP270*BP155+BQ270*BQ155+BR270*BR155+BS270*BS155+BT270*BT155+BU270*BU155+BV270*BV155+BW270*BW155+BX270*BX155+BY270*BY155+BZ270*BZ155+CA270*CA155+CB270*CB155+CC270*CC155+CD270*CD155+CE270*CE155+CF270*CF155+CG270*CG155+CH270*CH155+CI270*CI155+CJ270*CJ155+CK270*CK155+CL270*CL155+CM270*CM155+CN270*CN155+CO270*CO155+CP270*CP155+CQ270*CQ155+CR270*CR155+CS270*CS155</f>
        <v>0</v>
      </c>
      <c r="DA155" s="2504">
        <f>E271*E155+F271*F155+G271*G155+H271*H155+I271*I155+J271*J155+K271*K155+L271*L155+M271*M155+N271*N155+O271*O155+P271*P155+Q271*Q155+R271*R155+S271*S155+T271*T155+U271*U155+V271*V155+W271*W155+X271*X155+Y271*Y155+Z271*Z155+AA271*AA155+AB271*AB155+AC271*AC155+AD271*AD155+AE271*AE155+AF271*AF155+AG271*AG155+AH271*AH155+AI271*AI155+AJ271*AJ155+AK271*AK155+AL271*AL155+AM271*AM155+AN271*AN155+AO271*AO155+AP271*AP155+AQ271*AQ155+AR271*AR155+AS271*AS155+AT271*AT155+AU271*AU155+AV271*AV155+AW271*AW155+AX271*AX155+AY271*AY155+AZ271*AZ155+BA271*BA155+BB271*BB155+BC271*BC155+BD271*BD155+BE271*BE155+BF271*BF155+BG271*BG155+BH271*BH155+BI271*BI155+BJ271*BJ155+BK271*BK155+BL271*BL155+BM271*BM155+BN271*BN155+BO271*BO155+BP271*BP155+BQ271*BQ155+BR271*BR155+BS271*BS155+BT271*BT155+BU271*BU155+BV271*BV155+BW271*BW155+BX271*BX155+BY271*BY155+BZ271*BZ155+CA271*CA155+CB271*CB155+CC271*CC155+CD271*CD155+CE271*CE155+CF271*CF155+CG271*CG155+CH271*CH155+CI271*CI155+CJ271*CJ155+CK271*CK155+CL271*CL155+CM271*CM155+CN271*CN155+CO271*CO155+CP271*CP155+CQ271*CQ155+CR271*CR155+CS271*CS155</f>
        <v>0</v>
      </c>
      <c r="DB155" s="2504">
        <f>E272*E155+F272*F155+G272*G155+H272*H155+I272*I155+J272*J155+K272*K155+L272*L155+M272*M155+N272*N155+O272*O155+P272*P155+Q272*Q155+R272*R155+S272*S155+T272*T155+U272*U155+V272*V155+W272*W155+X272*X155+Y272*Y155+Z272*Z155+AA272*AA155+AB272*AB155+AC272*AC155+AD272*AD155+AE272*AE155+AF272*AF155+AG272*AG155+AH272*AH155+AI272*AI155+AJ272*AJ155+AK272*AK155+AL272*AL155+AM272*AM155+AN272*AN155+AO272*AO155+AP272*AP155+AQ272*AQ155+AR272*AR155+AS272*AS155+AT272*AT155+AU272*AU155+AV272*AV155+AW272*AW155+AX272*AX155+AY272*AY155+AZ272*AZ155+BA272*BA155+BB272*BB155+BC272*BC155+BD272*BD155+BE272*BE155+BF272*BF155+BG272*BG155+BH272*BH155+BI272*BI155+BJ272*BJ155+BK272*BK155+BL272*BL155+BM272*BM155+BN272*BN155+BO272*BO155+BP272*BP155+BQ272*BQ155+BR272*BR155+BS272*BS155+BT272*BT155+BU272*BU155+BV272*BV155+BW272*BW155+BX272*BX155+BY272*BY155+BZ272*BZ155+CA272*CA155+CB272*CB155+CC272*CC155+CD272*CD155+CE272*CE155+CF272*CF155+CG272*CG155+CH272*CH155+CI272*CI155+CJ272*CJ155+CK272*CK155+CL272*CL155+CM272*CM155+CN272*CN155+CO272*CO155+CP272*CP155+CQ272*CQ155+CR272*CR155+CS272*CS155</f>
        <v>0</v>
      </c>
      <c r="DC155" s="2504">
        <f>E273*E155+F273*F155+G273*G155+H273*H155+I273*I155+J273*J155+K273*K155+L273*L155+M273*M155+N273*N155+O273*O155+P273*P155+Q273*Q155+R273*R155+S273*S155+T273*T155+U273*U155+V273*V155+W273*W155+X273*X155+Y273*Y155+Z273*Z155+AA273*AA155+AB273*AB155+AC273*AC155+AD273*AD155+AE273*AE155+AF273*AF155+AG273*AG155+AH273*AH155+AI273*AI155+AJ273*AJ155+AK273*AK155+AL273*AL155+AM273*AM155+AN273*AN155+AO273*AO155+AP273*AP155+AQ273*AQ155+AR273*AR155+AS273*AS155+AT273*AT155+AU273*AU155+AV273*AV155+AW273*AW155+AX273*AX155+AY273*AY155+AZ273*AZ155+BA273*BA155+BB273*BB155+BC273*BC155+BD273*BD155+BE273*BE155+BF273*BF155+BG273*BG155+BH273*BH155+BI273*BI155+BJ273*BJ155+BK273*BK155+BL273*BL155+BM273*BM155+BN273*BN155+BO273*BO155+BP273*BP155+BQ273*BQ155+BR273*BR155+BS273*BS155+BT273*BT155+BU273*BU155+BV273*BV155+BW273*BW155+BX273*BX155+BY273*BY155+BZ273*BZ155+CA273*CA155+CB273*CB155+CC273*CC155+CD273*CD155+CE273*CE155+CF273*CF155+CG273*CG155+CH273*CH155+CI273*CI155+CJ273*CJ155+CK273*CK155+CL273*CL155+CM273*CM155+CN273*CN155+CO273*CO155+CP273*CP155+CQ273*CQ155+CR273*CR155+CS273*CS155</f>
        <v>0</v>
      </c>
      <c r="DD155" s="2504">
        <f>E274*E155+F274*F155+G274*G155+H274*H155+I274*I155+J274*J155+K274*K155+L274*L155+M274*M155+N274*N155+O274*O155+P274*P155+Q274*Q155+R274*R155+S274*S155+T274*T155+U274*U155+V274*V155+W274*W155+X274*X155+Y274*Y155+Z274*Z155+AA274*AA155+AB274*AB155+AC274*AC155+AD274*AD155+AE274*AE155+AF274*AF155+AG274*AG155+AH274*AH155+AI274*AI155+AJ274*AJ155+AK274*AK155+AL274*AL155+AM274*AM155+AN274*AN155+AO274*AO155+AP274*AP155+AQ274*AQ155+AR274*AR155+AS274*AS155+AT274*AT155+AU274*AU155+AV274*AV155+AW274*AW155+AX274*AX155+AY274*AY155+AZ274*AZ155+BA274*BA155+BB274*BB155+BC274*BC155+BD274*BD155+BE274*BE155+BF274*BF155+BG274*BG155+BH274*BH155+BI274*BI155+BJ274*BJ155+BK274*BK155+BL274*BL155+BM274*BM155+BN274*BN155+BO274*BO155+BP274*BP155+BQ274*BQ155+BR274*BR155+BS274*BS155+BT274*BT155+BU274*BU155+BV274*BV155+BW274*BW155+BX274*BX155+BY274*BY155+BZ274*BZ155+CA274*CA155+CB274*CB155+CC274*CC155+CD274*CD155+CE274*CE155+CF274*CF155+CG274*CG155+CH274*CH155+CI274*CI155+CJ274*CJ155+CK274*CK155+CL274*CL155+CM274*CM155+CN274*CN155+CO274*CO155+CP274*CP155+CQ274*CQ155+CR274*CR155+CS274*CS155</f>
        <v>0</v>
      </c>
      <c r="DE155" s="2504">
        <f>E275*E155+F275*F155+G275*G155+H275*H155+I275*I155+J275*J155+K275*K155+L275*L155+M275*M155+N275*N155+O275*O155+P275*P155+Q275*Q155+R275*R155+S275*S155+T275*T155+U275*U155+V275*V155+W275*W155+X275*X155+Y275*Y155+Z275*Z155+AA275*AA155+AB275*AB155+AC275*AC155+AD275*AD155+AE275*AE155+AF275*AF155+AG275*AG155+AH275*AH155+AI275*AI155+AJ275*AJ155+AK275*AK155+AL275*AL155+AM275*AM155+AN275*AN155+AO275*AO155+AP275*AP155+AQ275*AQ155+AR275*AR155+AS275*AS155+AT275*AT155+AU275*AU155+AV275*AV155+AW275*AW155+AX275*AX155+AY275*AY155+AZ275*AZ155+BA275*BA155+BB275*BB155+BC275*BC155+BD275*BD155+BE275*BE155+BF275*BF155+BG275*BG155+BH275*BH155+BI275*BI155+BJ275*BJ155+BK275*BK155+BL275*BL155+BM275*BM155+BN275*BN155+BO275*BO155+BP275*BP155+BQ275*BQ155+BR275*BR155+BS275*BS155+BT275*BT155+BU275*BU155+BV275*BV155+BW275*BW155+BX275*BX155+BY275*BY155+BZ275*BZ155+CA275*CA155+CB275*CB155+CC275*CC155+CD275*CD155+CE275*CE155+CF275*CF155+CG275*CG155+CH275*CH155+CI275*CI155+CJ275*CJ155+CK275*CK155+CL275*CL155+CM275*CM155+CN275*CN155+CO275*CO155+CP275*CP155+CQ275*CQ155+CR275*CR155+CS275*CS155</f>
        <v>0</v>
      </c>
      <c r="DF155" s="2504">
        <f>E276*E155+F276*F155+G276*G155+H276*H155+I276*I155+J276*J155+K276*K155+L276*L155+M276*M155+N276*N155+O276*O155+P276*P155+Q276*Q155+R276*R155+S276*S155+T276*T155+U276*U155+V276*V155+W276*W155+X276*X155+Y276*Y155+Z276*Z155+AA276*AA155+AB276*AB155+AC276*AC155+AD276*AD155+AE276*AE155+AF276*AF155+AG276*AG155+AH276*AH155+AI276*AI155+AJ276*AJ155+AK276*AK155+AL276*AL155+AM276*AM155+AN276*AN155+AO276*AO155+AP276*AP155+AQ276*AQ155+AR276*AR155+AS276*AS155+AT276*AT155+AU276*AU155+AV276*AV155+AW276*AW155+AX276*AX155+AY276*AY155+AZ276*AZ155+BA276*BA155+BB276*BB155+BC276*BC155+BD276*BD155+BE276*BE155+BF276*BF155+BG276*BG155+BH276*BH155+BI276*BI155+BJ276*BJ155+BK276*BK155+BL276*BL155+BM276*BM155+BN276*BN155+BO276*BO155+BP276*BP155+BQ276*BQ155+BR276*BR155+BS276*BS155+BT276*BT155+BU276*BU155+BV276*BV155+BW276*BW155+BX276*BX155+BY276*BY155+BZ276*BZ155+CA276*CA155+CB276*CB155+CC276*CC155+CD276*CD155+CE276*CE155+CF276*CF155+CG276*CG155+CH276*CH155+CI276*CI155+CJ276*CJ155+CK276*CK155+CL276*CL155+CM276*CM155+CN276*CN155+CO276*CO155+CP276*CP155+CQ276*CQ155+CR276*CR155+CS276*CS155</f>
        <v>0</v>
      </c>
    </row>
    <row r="156" spans="2:110" x14ac:dyDescent="0.25">
      <c r="B156" s="362">
        <v>14</v>
      </c>
      <c r="C156" s="363" t="s">
        <v>237</v>
      </c>
      <c r="D156" s="523" t="s">
        <v>289</v>
      </c>
      <c r="E156" s="497">
        <f>0</f>
        <v>0</v>
      </c>
      <c r="F156" s="497">
        <f>0</f>
        <v>0</v>
      </c>
      <c r="G156" s="497">
        <f>0</f>
        <v>0</v>
      </c>
      <c r="H156" s="497">
        <f>0</f>
        <v>0</v>
      </c>
      <c r="I156" s="497">
        <f>0</f>
        <v>0</v>
      </c>
      <c r="J156" s="497">
        <f>1-f_E</f>
        <v>0.92</v>
      </c>
      <c r="K156" s="497">
        <f>0</f>
        <v>0</v>
      </c>
      <c r="L156" s="497">
        <f>0</f>
        <v>0</v>
      </c>
      <c r="M156" s="497">
        <f>0</f>
        <v>0</v>
      </c>
      <c r="N156" s="497">
        <f>0</f>
        <v>0</v>
      </c>
      <c r="O156" s="497">
        <f>0</f>
        <v>0</v>
      </c>
      <c r="P156" s="497">
        <f>f_E</f>
        <v>0.08</v>
      </c>
      <c r="Q156" s="497">
        <f>0</f>
        <v>0</v>
      </c>
      <c r="R156" s="497">
        <f>-1</f>
        <v>-1</v>
      </c>
      <c r="S156" s="497">
        <f>0</f>
        <v>0</v>
      </c>
      <c r="T156" s="497">
        <f>0</f>
        <v>0</v>
      </c>
      <c r="U156" s="497">
        <f>0</f>
        <v>0</v>
      </c>
      <c r="V156" s="497">
        <f>0</f>
        <v>0</v>
      </c>
      <c r="W156" s="497">
        <f>0</f>
        <v>0</v>
      </c>
      <c r="X156" s="497">
        <f>0</f>
        <v>0</v>
      </c>
      <c r="Y156" s="497">
        <f>0</f>
        <v>0</v>
      </c>
      <c r="Z156" s="497">
        <f>0</f>
        <v>0</v>
      </c>
      <c r="AA156" s="496">
        <f>-f_E*(i_N_XE-i_N_BIO)</f>
        <v>8.0000000000000069E-4</v>
      </c>
      <c r="AB156" s="496">
        <f>0</f>
        <v>0</v>
      </c>
      <c r="AC156" s="497">
        <f>0</f>
        <v>0</v>
      </c>
      <c r="AD156" s="497">
        <f>0</f>
        <v>0</v>
      </c>
      <c r="AE156" s="497">
        <f>0</f>
        <v>0</v>
      </c>
      <c r="AF156" s="497">
        <f>0</f>
        <v>0</v>
      </c>
      <c r="AG156" s="497">
        <f>0</f>
        <v>0</v>
      </c>
      <c r="AH156" s="497">
        <f>0</f>
        <v>0</v>
      </c>
      <c r="AI156" s="497">
        <f>0</f>
        <v>0</v>
      </c>
      <c r="AJ156" s="497">
        <f>0</f>
        <v>0</v>
      </c>
      <c r="AK156" s="497">
        <f>(1-f_E)*i_N_BIO</f>
        <v>6.4400000000000013E-2</v>
      </c>
      <c r="AL156" s="497">
        <f>0</f>
        <v>0</v>
      </c>
      <c r="AM156" s="497">
        <f>0</f>
        <v>0</v>
      </c>
      <c r="AN156" s="497">
        <f>0</f>
        <v>0</v>
      </c>
      <c r="AO156" s="497">
        <f>0</f>
        <v>0</v>
      </c>
      <c r="AP156" s="497">
        <f>0</f>
        <v>0</v>
      </c>
      <c r="AQ156" s="497">
        <f>(1-f_E)*i_P_BIO</f>
        <v>1.84E-2</v>
      </c>
      <c r="AR156" s="497">
        <f>0</f>
        <v>0</v>
      </c>
      <c r="AS156" s="497">
        <f>0</f>
        <v>0</v>
      </c>
      <c r="AT156" s="497">
        <f>0</f>
        <v>0</v>
      </c>
      <c r="AU156" s="497">
        <f>0</f>
        <v>0</v>
      </c>
      <c r="AV156" s="497">
        <f>(1-f_E)*(i_CIT_BIO-i_CIT_XBe)</f>
        <v>6.0720000000000003E-2</v>
      </c>
      <c r="AW156" s="497">
        <f>0</f>
        <v>0</v>
      </c>
      <c r="AX156" s="496">
        <f>0</f>
        <v>0</v>
      </c>
      <c r="AY156" s="496">
        <f>0</f>
        <v>0</v>
      </c>
      <c r="AZ156" s="496">
        <f>0</f>
        <v>0</v>
      </c>
      <c r="BA156" s="496">
        <f>0</f>
        <v>0</v>
      </c>
      <c r="BB156" s="496">
        <f>0</f>
        <v>0</v>
      </c>
      <c r="BC156" s="496">
        <f>0</f>
        <v>0</v>
      </c>
      <c r="BD156" s="496">
        <f>0</f>
        <v>0</v>
      </c>
      <c r="BE156" s="496">
        <f>0</f>
        <v>0</v>
      </c>
      <c r="BF156" s="496">
        <f>0</f>
        <v>0</v>
      </c>
      <c r="BG156" s="496">
        <f>0</f>
        <v>0</v>
      </c>
      <c r="BH156" s="496">
        <f>0</f>
        <v>0</v>
      </c>
      <c r="BI156" s="496">
        <f>0</f>
        <v>0</v>
      </c>
      <c r="BJ156" s="496">
        <f>0</f>
        <v>0</v>
      </c>
      <c r="BK156" s="496">
        <f>0</f>
        <v>0</v>
      </c>
      <c r="BL156" s="496">
        <f>0</f>
        <v>0</v>
      </c>
      <c r="BM156" s="496">
        <f>0</f>
        <v>0</v>
      </c>
      <c r="BN156" s="496">
        <f>0</f>
        <v>0</v>
      </c>
      <c r="BO156" s="496">
        <f>0</f>
        <v>0</v>
      </c>
      <c r="BP156" s="496">
        <f>0</f>
        <v>0</v>
      </c>
      <c r="BQ156" s="496">
        <f>0</f>
        <v>0</v>
      </c>
      <c r="BR156" s="496">
        <f>0</f>
        <v>0</v>
      </c>
      <c r="BS156" s="496">
        <f>0</f>
        <v>0</v>
      </c>
      <c r="BT156" s="496">
        <f>0</f>
        <v>0</v>
      </c>
      <c r="BU156" s="496">
        <f>0</f>
        <v>0</v>
      </c>
      <c r="BV156" s="496">
        <f>0</f>
        <v>0</v>
      </c>
      <c r="BW156" s="2353">
        <f>0</f>
        <v>0</v>
      </c>
      <c r="BX156" s="2353">
        <f>0</f>
        <v>0</v>
      </c>
      <c r="BY156" s="2353">
        <f>0</f>
        <v>0</v>
      </c>
      <c r="BZ156" s="2353">
        <f>0</f>
        <v>0</v>
      </c>
      <c r="CA156" s="496">
        <f>0</f>
        <v>0</v>
      </c>
      <c r="CB156" s="496">
        <f>0</f>
        <v>0</v>
      </c>
      <c r="CC156" s="496">
        <f>0</f>
        <v>0</v>
      </c>
      <c r="CD156" s="496">
        <f>0</f>
        <v>0</v>
      </c>
      <c r="CE156" s="496">
        <f>0</f>
        <v>0</v>
      </c>
      <c r="CF156" s="496">
        <f>0</f>
        <v>0</v>
      </c>
      <c r="CG156" s="496">
        <f>0</f>
        <v>0</v>
      </c>
      <c r="CH156" s="496">
        <f>0</f>
        <v>0</v>
      </c>
      <c r="CI156" s="496">
        <f>0</f>
        <v>0</v>
      </c>
      <c r="CJ156" s="496">
        <f>0</f>
        <v>0</v>
      </c>
      <c r="CK156" s="496">
        <f>0</f>
        <v>0</v>
      </c>
      <c r="CL156" s="496">
        <f>0</f>
        <v>0</v>
      </c>
      <c r="CM156" s="496">
        <f>0</f>
        <v>0</v>
      </c>
      <c r="CN156" s="496">
        <f>0</f>
        <v>0</v>
      </c>
      <c r="CO156" s="496">
        <f>0</f>
        <v>0</v>
      </c>
      <c r="CP156" s="496">
        <f>0</f>
        <v>0</v>
      </c>
      <c r="CQ156" s="496">
        <f>0</f>
        <v>0</v>
      </c>
      <c r="CR156" s="496">
        <f>0</f>
        <v>0</v>
      </c>
      <c r="CS156" s="496">
        <f>0</f>
        <v>0</v>
      </c>
      <c r="CT156" s="2480">
        <f>b_OHO_T*X_OHO*(M_satSO2_KO2_OHO+η_b_anox*M_satSNO2_KNO2_OHO*M_inhSO2_KO2_OHO+η_b_anox*M_satSNO3_KNO3_OHO*M_inhSNO2_KNO2_OHO*M_inhSO2_KO2_OHO)</f>
        <v>298.90876565295167</v>
      </c>
      <c r="CV156" s="2502">
        <f>E266*E156+F266*F156+G266*G156+H266*H156+I266*I156+J266*J156+K266*K156+L266*L156+M266*M156+N266*N156+O266*O156+P266*P156+Q266*Q156+R266*R156+S266*S156+T266*T156+U266*U156+V266*V156+W266*W156+X266*X156+Y266*Y156+Z266*Z156+AA266*AA156+AB266*AB156+AC266*AC156+AD266*AD156+AE266*AE156+AF266*AF156+AG266*AG156+AH266*AH156+AI266*AI156+AJ266*AJ156+AK266*AK156+AL266*AL156+AM266*AM156+AN266*AN156+AO266*AO156+AP266*AP156+AQ266*AQ156+AR266*AR156+AS266*AS156+AT266*AT156+AU266*AU156+AV266*AV156+AW266*AW156+AX266*AX156+AY266*AY156+AZ266*AZ156+BA266*BA156+BB266*BB156+BC266*BC156+BD266*BD156+BE266*BE156+BF266*BF156+BG266*BG156+BH266*BH156+BI266*BI156+BJ266*BJ156+BK266*BK156+BL266*BL156+BM266*BM156+BN266*BN156+BO266*BO156+BP266*BP156+BQ266*BQ156+BR266*BR156+BS266*BS156+BT266*BT156+BU266*BU156+BV266*BV156+BW266*BW156+BX266*BX156+BY266*BY156+BZ266*BZ156+CA266*CA156+CB266*CB156+CC266*CC156+CD266*CD156+CE266*CE156+CF266*CF156+CG266*CG156+CH266*CH156+CI266*CI156+CJ266*CJ156+CK266*CK156+CL266*CL156+CM266*CM156+CN266*CN156+CO266*CO156+CP266*CP156+CQ266*CQ156+CR266*CR156+CS266*CS156</f>
        <v>0</v>
      </c>
      <c r="CW156" s="2502">
        <f>E267*E156+F267*F156+G267*G156+H267*H156+I267*I156+J267*J156+K267*K156+L267*L156+M267*M156+N267*N156+O267*O156+P267*P156+Q267*Q156+R267*R156+S267*S156+T267*T156+U267*U156+V267*V156+W267*W156+X267*X156+Y267*Y156+Z267*Z156+AA267*AA156+AB267*AB156+AC267*AC156+AD267*AD156+AE267*AE156+AF267*AF156+AG267*AG156+AH267*AH156+AI267*AI156+AJ267*AJ156+AK267*AK156+AL267*AL156+AM267*AM156+AN267*AN156+AO267*AO156+AP267*AP156+AQ267*AQ156+AR267*AR156+AS267*AS156+AT267*AT156+AU267*AU156+AV267*AV156+AW267*AW156+AX267*AX156+AY267*AY156+AZ267*AZ156+BA267*BA156+BB267*BB156+BC267*BC156+BD267*BD156+BE267*BE156+BF267*BF156+BG267*BG156+BH267*BH156+BI267*BI156+BJ267*BJ156+BK267*BK156+BL267*BL156+BM267*BM156+BN267*BN156+BO267*BO156+BP267*BP156+BQ267*BQ156+BR267*BR156+BS267*BS156+BT267*BT156+BU267*BU156+BV267*BV156+BW267*BW156+BX267*BX156+BY267*BY156+BZ267*BZ156+CA267*CA156+CB267*CB156+CC267*CC156+CD267*CD156+CE267*CE156+CF267*CF156+CG267*CG156+CH267*CH156+CI267*CI156+CJ267*CJ156+CK267*CK156+CL267*CL156+CM267*CM156+CN267*CN156+CO267*CO156+CP267*CP156+CQ267*CQ156+CR267*CR156+CS267*CS156</f>
        <v>6.9388939039072284E-18</v>
      </c>
      <c r="CX156" s="2503">
        <f>E268*E156+F268*F156+G268*G156+H268*H156+I268*I156+J268*J156+K268*K156+L268*L156+M268*M156+N268*N156+O268*O156+P268*P156+Q268*Q156+R268*R156+S268*S156+T268*T156+U268*U156+V268*V156+W268*W156+X268*X156+Y268*Y156+Z268*Z156+AA268*AA156+AB268*AB156+AC268*AC156+AD268*AD156+AE268*AE156+AF268*AF156+AG268*AG156+AH268*AH156+AI268*AI156+AJ268*AJ156+AK268*AK156+AL268*AL156+AM268*AM156+AN268*AN156+AO268*AO156+AP268*AP156+AQ268*AQ156+AR268*AR156+AS268*AS156+AT268*AT156+AU268*AU156+AV268*AV156+AW268*AW156+AX268*AX156+AY268*AY156+AZ268*AZ156+BA268*BA156+BB268*BB156+BC268*BC156+BD268*BD156+BE268*BE156+BF268*BF156+BG268*BG156+BH268*BH156+BI268*BI156+BJ268*BJ156+BK268*BK156+BL268*BL156+BM268*BM156+BN268*BN156+BO268*BO156+BP268*BP156+BQ268*BQ156+BR268*BR156+BS268*BS156+BT268*BT156+BU268*BU156+BV268*BV156+BW268*BW156+BX268*BX156+BY268*BY156+BZ268*BZ156+CA268*CA156+CB268*CB156+CC268*CC156+CD268*CD156+CE268*CE156+CF268*CF156+CG268*CG156+CH268*CH156+CI268*CI156+CJ268*CJ156+CK268*CK156+CL268*CL156+CM268*CM156+CN268*CN156+CO268*CO156+CP268*CP156+CQ268*CQ156+CR268*CR156+CS268*CS156</f>
        <v>0</v>
      </c>
      <c r="CY156" s="2504">
        <f>E269*E156+F269*F156+G269*G156+H269*H156+I269*I156+J269*J156+K269*K156+L269*L156+M269*M156+N269*N156+O269*O156+P269*P156+Q269*Q156+R269*R156+S269*S156+T269*T156+U269*U156+V269*V156+W269*W156+X269*X156+Y269*Y156+Z269*Z156+AA269*AA156+AB269*AB156+AC269*AC156+AD269*AD156+AE269*AE156+AF269*AF156+AG269*AG156+AH269*AH156+AI269*AI156+AJ269*AJ156+AK269*AK156+AL269*AL156+AM269*AM156+AN269*AN156+AO269*AO156+AP269*AP156+AQ269*AQ156+AR269*AR156+AS269*AS156+AT269*AT156+AU269*AU156+AV269*AV156+AW269*AW156+AX269*AX156+AY269*AY156+AZ269*AZ156+BA269*BA156+BB269*BB156+BC269*BC156+BD269*BD156+BE269*BE156+BF269*BF156+BG269*BG156+BH269*BH156+BI269*BI156+BJ269*BJ156+BK269*BK156+BL269*BL156+BM269*BM156+BN269*BN156+BO269*BO156+BP269*BP156+BQ269*BQ156+BR269*BR156+BS269*BS156+BT269*BT156+BU269*BU156+BV269*BV156+BW269*BW156+BX269*BX156+BY269*BY156+BZ269*BZ156+CA269*CA156+CB269*CB156+CC269*CC156+CD269*CD156+CE269*CE156+CF269*CF156+CG269*CG156+CH269*CH156+CI269*CI156+CJ269*CJ156+CK269*CK156+CL269*CL156+CM269*CM156+CN269*CN156+CO269*CO156+CP269*CP156+CQ269*CQ156+CR269*CR156+CS269*CS156</f>
        <v>0</v>
      </c>
      <c r="CZ156" s="2504">
        <f>E270*E156+F270*F156+G270*G156+H270*H156+I270*I156+J270*J156+K270*K156+L270*L156+M270*M156+N270*N156+O270*O156+P270*P156+Q270*Q156+R270*R156+S270*S156+T270*T156+U270*U156+V270*V156+W270*W156+X270*X156+Y270*Y156+Z270*Z156+AA270*AA156+AB270*AB156+AC270*AC156+AD270*AD156+AE270*AE156+AF270*AF156+AG270*AG156+AH270*AH156+AI270*AI156+AJ270*AJ156+AK270*AK156+AL270*AL156+AM270*AM156+AN270*AN156+AO270*AO156+AP270*AP156+AQ270*AQ156+AR270*AR156+AS270*AS156+AT270*AT156+AU270*AU156+AV270*AV156+AW270*AW156+AX270*AX156+AY270*AY156+AZ270*AZ156+BA270*BA156+BB270*BB156+BC270*BC156+BD270*BD156+BE270*BE156+BF270*BF156+BG270*BG156+BH270*BH156+BI270*BI156+BJ270*BJ156+BK270*BK156+BL270*BL156+BM270*BM156+BN270*BN156+BO270*BO156+BP270*BP156+BQ270*BQ156+BR270*BR156+BS270*BS156+BT270*BT156+BU270*BU156+BV270*BV156+BW270*BW156+BX270*BX156+BY270*BY156+BZ270*BZ156+CA270*CA156+CB270*CB156+CC270*CC156+CD270*CD156+CE270*CE156+CF270*CF156+CG270*CG156+CH270*CH156+CI270*CI156+CJ270*CJ156+CK270*CK156+CL270*CL156+CM270*CM156+CN270*CN156+CO270*CO156+CP270*CP156+CQ270*CQ156+CR270*CR156+CS270*CS156</f>
        <v>0</v>
      </c>
      <c r="DA156" s="2504">
        <f>E271*E156+F271*F156+G271*G156+H271*H156+I271*I156+J271*J156+K271*K156+L271*L156+M271*M156+N271*N156+O271*O156+P271*P156+Q271*Q156+R271*R156+S271*S156+T271*T156+U271*U156+V271*V156+W271*W156+X271*X156+Y271*Y156+Z271*Z156+AA271*AA156+AB271*AB156+AC271*AC156+AD271*AD156+AE271*AE156+AF271*AF156+AG271*AG156+AH271*AH156+AI271*AI156+AJ271*AJ156+AK271*AK156+AL271*AL156+AM271*AM156+AN271*AN156+AO271*AO156+AP271*AP156+AQ271*AQ156+AR271*AR156+AS271*AS156+AT271*AT156+AU271*AU156+AV271*AV156+AW271*AW156+AX271*AX156+AY271*AY156+AZ271*AZ156+BA271*BA156+BB271*BB156+BC271*BC156+BD271*BD156+BE271*BE156+BF271*BF156+BG271*BG156+BH271*BH156+BI271*BI156+BJ271*BJ156+BK271*BK156+BL271*BL156+BM271*BM156+BN271*BN156+BO271*BO156+BP271*BP156+BQ271*BQ156+BR271*BR156+BS271*BS156+BT271*BT156+BU271*BU156+BV271*BV156+BW271*BW156+BX271*BX156+BY271*BY156+BZ271*BZ156+CA271*CA156+CB271*CB156+CC271*CC156+CD271*CD156+CE271*CE156+CF271*CF156+CG271*CG156+CH271*CH156+CI271*CI156+CJ271*CJ156+CK271*CK156+CL271*CL156+CM271*CM156+CN271*CN156+CO271*CO156+CP271*CP156+CQ271*CQ156+CR271*CR156+CS271*CS156</f>
        <v>0</v>
      </c>
      <c r="DB156" s="2504">
        <f>E272*E156+F272*F156+G272*G156+H272*H156+I272*I156+J272*J156+K272*K156+L272*L156+M272*M156+N272*N156+O272*O156+P272*P156+Q272*Q156+R272*R156+S272*S156+T272*T156+U272*U156+V272*V156+W272*W156+X272*X156+Y272*Y156+Z272*Z156+AA272*AA156+AB272*AB156+AC272*AC156+AD272*AD156+AE272*AE156+AF272*AF156+AG272*AG156+AH272*AH156+AI272*AI156+AJ272*AJ156+AK272*AK156+AL272*AL156+AM272*AM156+AN272*AN156+AO272*AO156+AP272*AP156+AQ272*AQ156+AR272*AR156+AS272*AS156+AT272*AT156+AU272*AU156+AV272*AV156+AW272*AW156+AX272*AX156+AY272*AY156+AZ272*AZ156+BA272*BA156+BB272*BB156+BC272*BC156+BD272*BD156+BE272*BE156+BF272*BF156+BG272*BG156+BH272*BH156+BI272*BI156+BJ272*BJ156+BK272*BK156+BL272*BL156+BM272*BM156+BN272*BN156+BO272*BO156+BP272*BP156+BQ272*BQ156+BR272*BR156+BS272*BS156+BT272*BT156+BU272*BU156+BV272*BV156+BW272*BW156+BX272*BX156+BY272*BY156+BZ272*BZ156+CA272*CA156+CB272*CB156+CC272*CC156+CD272*CD156+CE272*CE156+CF272*CF156+CG272*CG156+CH272*CH156+CI272*CI156+CJ272*CJ156+CK272*CK156+CL272*CL156+CM272*CM156+CN272*CN156+CO272*CO156+CP272*CP156+CQ272*CQ156+CR272*CR156+CS272*CS156</f>
        <v>0</v>
      </c>
      <c r="DC156" s="2504">
        <f>E273*E156+F273*F156+G273*G156+H273*H156+I273*I156+J273*J156+K273*K156+L273*L156+M273*M156+N273*N156+O273*O156+P273*P156+Q273*Q156+R273*R156+S273*S156+T273*T156+U273*U156+V273*V156+W273*W156+X273*X156+Y273*Y156+Z273*Z156+AA273*AA156+AB273*AB156+AC273*AC156+AD273*AD156+AE273*AE156+AF273*AF156+AG273*AG156+AH273*AH156+AI273*AI156+AJ273*AJ156+AK273*AK156+AL273*AL156+AM273*AM156+AN273*AN156+AO273*AO156+AP273*AP156+AQ273*AQ156+AR273*AR156+AS273*AS156+AT273*AT156+AU273*AU156+AV273*AV156+AW273*AW156+AX273*AX156+AY273*AY156+AZ273*AZ156+BA273*BA156+BB273*BB156+BC273*BC156+BD273*BD156+BE273*BE156+BF273*BF156+BG273*BG156+BH273*BH156+BI273*BI156+BJ273*BJ156+BK273*BK156+BL273*BL156+BM273*BM156+BN273*BN156+BO273*BO156+BP273*BP156+BQ273*BQ156+BR273*BR156+BS273*BS156+BT273*BT156+BU273*BU156+BV273*BV156+BW273*BW156+BX273*BX156+BY273*BY156+BZ273*BZ156+CA273*CA156+CB273*CB156+CC273*CC156+CD273*CD156+CE273*CE156+CF273*CF156+CG273*CG156+CH273*CH156+CI273*CI156+CJ273*CJ156+CK273*CK156+CL273*CL156+CM273*CM156+CN273*CN156+CO273*CO156+CP273*CP156+CQ273*CQ156+CR273*CR156+CS273*CS156</f>
        <v>0</v>
      </c>
      <c r="DD156" s="2504">
        <f>E274*E156+F274*F156+G274*G156+H274*H156+I274*I156+J274*J156+K274*K156+L274*L156+M274*M156+N274*N156+O274*O156+P274*P156+Q274*Q156+R274*R156+S274*S156+T274*T156+U274*U156+V274*V156+W274*W156+X274*X156+Y274*Y156+Z274*Z156+AA274*AA156+AB274*AB156+AC274*AC156+AD274*AD156+AE274*AE156+AF274*AF156+AG274*AG156+AH274*AH156+AI274*AI156+AJ274*AJ156+AK274*AK156+AL274*AL156+AM274*AM156+AN274*AN156+AO274*AO156+AP274*AP156+AQ274*AQ156+AR274*AR156+AS274*AS156+AT274*AT156+AU274*AU156+AV274*AV156+AW274*AW156+AX274*AX156+AY274*AY156+AZ274*AZ156+BA274*BA156+BB274*BB156+BC274*BC156+BD274*BD156+BE274*BE156+BF274*BF156+BG274*BG156+BH274*BH156+BI274*BI156+BJ274*BJ156+BK274*BK156+BL274*BL156+BM274*BM156+BN274*BN156+BO274*BO156+BP274*BP156+BQ274*BQ156+BR274*BR156+BS274*BS156+BT274*BT156+BU274*BU156+BV274*BV156+BW274*BW156+BX274*BX156+BY274*BY156+BZ274*BZ156+CA274*CA156+CB274*CB156+CC274*CC156+CD274*CD156+CE274*CE156+CF274*CF156+CG274*CG156+CH274*CH156+CI274*CI156+CJ274*CJ156+CK274*CK156+CL274*CL156+CM274*CM156+CN274*CN156+CO274*CO156+CP274*CP156+CQ274*CQ156+CR274*CR156+CS274*CS156</f>
        <v>0</v>
      </c>
      <c r="DE156" s="2504">
        <f>E275*E156+F275*F156+G275*G156+H275*H156+I275*I156+J275*J156+K275*K156+L275*L156+M275*M156+N275*N156+O275*O156+P275*P156+Q275*Q156+R275*R156+S275*S156+T275*T156+U275*U156+V275*V156+W275*W156+X275*X156+Y275*Y156+Z275*Z156+AA275*AA156+AB275*AB156+AC275*AC156+AD275*AD156+AE275*AE156+AF275*AF156+AG275*AG156+AH275*AH156+AI275*AI156+AJ275*AJ156+AK275*AK156+AL275*AL156+AM275*AM156+AN275*AN156+AO275*AO156+AP275*AP156+AQ275*AQ156+AR275*AR156+AS275*AS156+AT275*AT156+AU275*AU156+AV275*AV156+AW275*AW156+AX275*AX156+AY275*AY156+AZ275*AZ156+BA275*BA156+BB275*BB156+BC275*BC156+BD275*BD156+BE275*BE156+BF275*BF156+BG275*BG156+BH275*BH156+BI275*BI156+BJ275*BJ156+BK275*BK156+BL275*BL156+BM275*BM156+BN275*BN156+BO275*BO156+BP275*BP156+BQ275*BQ156+BR275*BR156+BS275*BS156+BT275*BT156+BU275*BU156+BV275*BV156+BW275*BW156+BX275*BX156+BY275*BY156+BZ275*BZ156+CA275*CA156+CB275*CB156+CC275*CC156+CD275*CD156+CE275*CE156+CF275*CF156+CG275*CG156+CH275*CH156+CI275*CI156+CJ275*CJ156+CK275*CK156+CL275*CL156+CM275*CM156+CN275*CN156+CO275*CO156+CP275*CP156+CQ275*CQ156+CR275*CR156+CS275*CS156</f>
        <v>0</v>
      </c>
      <c r="DF156" s="2504">
        <f>E276*E156+F276*F156+G276*G156+H276*H156+I276*I156+J276*J156+K276*K156+L276*L156+M276*M156+N276*N156+O276*O156+P276*P156+Q276*Q156+R276*R156+S276*S156+T276*T156+U276*U156+V276*V156+W276*W156+X276*X156+Y276*Y156+Z276*Z156+AA276*AA156+AB276*AB156+AC276*AC156+AD276*AD156+AE276*AE156+AF276*AF156+AG276*AG156+AH276*AH156+AI276*AI156+AJ276*AJ156+AK276*AK156+AL276*AL156+AM276*AM156+AN276*AN156+AO276*AO156+AP276*AP156+AQ276*AQ156+AR276*AR156+AS276*AS156+AT276*AT156+AU276*AU156+AV276*AV156+AW276*AW156+AX276*AX156+AY276*AY156+AZ276*AZ156+BA276*BA156+BB276*BB156+BC276*BC156+BD276*BD156+BE276*BE156+BF276*BF156+BG276*BG156+BH276*BH156+BI276*BI156+BJ276*BJ156+BK276*BK156+BL276*BL156+BM276*BM156+BN276*BN156+BO276*BO156+BP276*BP156+BQ276*BQ156+BR276*BR156+BS276*BS156+BT276*BT156+BU276*BU156+BV276*BV156+BW276*BW156+BX276*BX156+BY276*BY156+BZ276*BZ156+CA276*CA156+CB276*CB156+CC276*CC156+CD276*CD156+CE276*CE156+CF276*CF156+CG276*CG156+CH276*CH156+CI276*CI156+CJ276*CJ156+CK276*CK156+CL276*CL156+CM276*CM156+CN276*CN156+CO276*CO156+CP276*CP156+CQ276*CQ156+CR276*CR156+CS276*CS156</f>
        <v>0</v>
      </c>
    </row>
    <row r="157" spans="2:110" x14ac:dyDescent="0.25">
      <c r="B157" s="362">
        <v>15</v>
      </c>
      <c r="C157" s="363" t="s">
        <v>238</v>
      </c>
      <c r="D157" s="523" t="s">
        <v>2951</v>
      </c>
      <c r="E157" s="497">
        <f>0</f>
        <v>0</v>
      </c>
      <c r="F157" s="497">
        <f>0</f>
        <v>0</v>
      </c>
      <c r="G157" s="497">
        <f>0</f>
        <v>0</v>
      </c>
      <c r="H157" s="497">
        <f>0</f>
        <v>0</v>
      </c>
      <c r="I157" s="497">
        <f>0</f>
        <v>0</v>
      </c>
      <c r="J157" s="497">
        <f>1-f_E</f>
        <v>0.92</v>
      </c>
      <c r="K157" s="497">
        <f>0</f>
        <v>0</v>
      </c>
      <c r="L157" s="497">
        <f>0</f>
        <v>0</v>
      </c>
      <c r="M157" s="497">
        <f>0</f>
        <v>0</v>
      </c>
      <c r="N157" s="497">
        <f>0</f>
        <v>0</v>
      </c>
      <c r="O157" s="497">
        <f>0</f>
        <v>0</v>
      </c>
      <c r="P157" s="497">
        <f>0</f>
        <v>0</v>
      </c>
      <c r="Q157" s="497">
        <f>f_E</f>
        <v>0.08</v>
      </c>
      <c r="R157" s="497">
        <f>-1</f>
        <v>-1</v>
      </c>
      <c r="S157" s="497">
        <f>0</f>
        <v>0</v>
      </c>
      <c r="T157" s="497">
        <f>0</f>
        <v>0</v>
      </c>
      <c r="U157" s="497">
        <f>0</f>
        <v>0</v>
      </c>
      <c r="V157" s="497">
        <f>0</f>
        <v>0</v>
      </c>
      <c r="W157" s="497">
        <f>0</f>
        <v>0</v>
      </c>
      <c r="X157" s="497">
        <f>0</f>
        <v>0</v>
      </c>
      <c r="Y157" s="497">
        <f>0</f>
        <v>0</v>
      </c>
      <c r="Z157" s="497">
        <f>0</f>
        <v>0</v>
      </c>
      <c r="AA157" s="496">
        <f>-f_E*(i_N_XE-i_N_BIO)</f>
        <v>8.0000000000000069E-4</v>
      </c>
      <c r="AB157" s="496">
        <f>0</f>
        <v>0</v>
      </c>
      <c r="AC157" s="497">
        <f>0</f>
        <v>0</v>
      </c>
      <c r="AD157" s="497">
        <f>0</f>
        <v>0</v>
      </c>
      <c r="AE157" s="497">
        <f>0</f>
        <v>0</v>
      </c>
      <c r="AF157" s="497">
        <f>0</f>
        <v>0</v>
      </c>
      <c r="AG157" s="497">
        <f>0</f>
        <v>0</v>
      </c>
      <c r="AH157" s="497">
        <f>0</f>
        <v>0</v>
      </c>
      <c r="AI157" s="497">
        <f>0</f>
        <v>0</v>
      </c>
      <c r="AJ157" s="497">
        <f>0</f>
        <v>0</v>
      </c>
      <c r="AK157" s="497">
        <f>(1-f_E)*i_N_BIO</f>
        <v>6.4400000000000013E-2</v>
      </c>
      <c r="AL157" s="497">
        <f>0</f>
        <v>0</v>
      </c>
      <c r="AM157" s="497">
        <f>0</f>
        <v>0</v>
      </c>
      <c r="AN157" s="497">
        <f>0</f>
        <v>0</v>
      </c>
      <c r="AO157" s="497">
        <f>0</f>
        <v>0</v>
      </c>
      <c r="AP157" s="497">
        <f>0</f>
        <v>0</v>
      </c>
      <c r="AQ157" s="497">
        <f>(1-f_E)*i_P_BIO</f>
        <v>1.84E-2</v>
      </c>
      <c r="AR157" s="497">
        <f>0</f>
        <v>0</v>
      </c>
      <c r="AS157" s="497">
        <f>0</f>
        <v>0</v>
      </c>
      <c r="AT157" s="497">
        <f>0</f>
        <v>0</v>
      </c>
      <c r="AU157" s="497">
        <f>0</f>
        <v>0</v>
      </c>
      <c r="AV157" s="497">
        <f>(1-f_E)*(i_CIT_BIO-i_CIT_XBe)</f>
        <v>6.0720000000000003E-2</v>
      </c>
      <c r="AW157" s="497">
        <f>0</f>
        <v>0</v>
      </c>
      <c r="AX157" s="496">
        <f>0</f>
        <v>0</v>
      </c>
      <c r="AY157" s="496">
        <f>0</f>
        <v>0</v>
      </c>
      <c r="AZ157" s="496">
        <f>0</f>
        <v>0</v>
      </c>
      <c r="BA157" s="496">
        <f>0</f>
        <v>0</v>
      </c>
      <c r="BB157" s="496">
        <f>0</f>
        <v>0</v>
      </c>
      <c r="BC157" s="496">
        <f>0</f>
        <v>0</v>
      </c>
      <c r="BD157" s="496">
        <f>0</f>
        <v>0</v>
      </c>
      <c r="BE157" s="496">
        <f>0</f>
        <v>0</v>
      </c>
      <c r="BF157" s="496">
        <f>0</f>
        <v>0</v>
      </c>
      <c r="BG157" s="496">
        <f>0</f>
        <v>0</v>
      </c>
      <c r="BH157" s="496">
        <f>0</f>
        <v>0</v>
      </c>
      <c r="BI157" s="496">
        <f>0</f>
        <v>0</v>
      </c>
      <c r="BJ157" s="496">
        <f>0</f>
        <v>0</v>
      </c>
      <c r="BK157" s="496">
        <f>0</f>
        <v>0</v>
      </c>
      <c r="BL157" s="496">
        <f>0</f>
        <v>0</v>
      </c>
      <c r="BM157" s="496">
        <f>0</f>
        <v>0</v>
      </c>
      <c r="BN157" s="496">
        <f>0</f>
        <v>0</v>
      </c>
      <c r="BO157" s="496">
        <f>0</f>
        <v>0</v>
      </c>
      <c r="BP157" s="496">
        <f>0</f>
        <v>0</v>
      </c>
      <c r="BQ157" s="496">
        <f>0</f>
        <v>0</v>
      </c>
      <c r="BR157" s="496">
        <f>0</f>
        <v>0</v>
      </c>
      <c r="BS157" s="496">
        <f>0</f>
        <v>0</v>
      </c>
      <c r="BT157" s="496">
        <f>0</f>
        <v>0</v>
      </c>
      <c r="BU157" s="496">
        <f>0</f>
        <v>0</v>
      </c>
      <c r="BV157" s="496">
        <f>0</f>
        <v>0</v>
      </c>
      <c r="BW157" s="2353">
        <f>0</f>
        <v>0</v>
      </c>
      <c r="BX157" s="2353">
        <f>0</f>
        <v>0</v>
      </c>
      <c r="BY157" s="2353">
        <f>0</f>
        <v>0</v>
      </c>
      <c r="BZ157" s="2353">
        <f>0</f>
        <v>0</v>
      </c>
      <c r="CA157" s="496">
        <f>0</f>
        <v>0</v>
      </c>
      <c r="CB157" s="496">
        <f>0</f>
        <v>0</v>
      </c>
      <c r="CC157" s="496">
        <f>0</f>
        <v>0</v>
      </c>
      <c r="CD157" s="496">
        <f>0</f>
        <v>0</v>
      </c>
      <c r="CE157" s="496">
        <f>0</f>
        <v>0</v>
      </c>
      <c r="CF157" s="496">
        <f>0</f>
        <v>0</v>
      </c>
      <c r="CG157" s="496">
        <f>0</f>
        <v>0</v>
      </c>
      <c r="CH157" s="496">
        <f>0</f>
        <v>0</v>
      </c>
      <c r="CI157" s="496">
        <f>0</f>
        <v>0</v>
      </c>
      <c r="CJ157" s="496">
        <f>0</f>
        <v>0</v>
      </c>
      <c r="CK157" s="496">
        <f>0</f>
        <v>0</v>
      </c>
      <c r="CL157" s="496">
        <f>0</f>
        <v>0</v>
      </c>
      <c r="CM157" s="496">
        <f>0</f>
        <v>0</v>
      </c>
      <c r="CN157" s="496">
        <f>0</f>
        <v>0</v>
      </c>
      <c r="CO157" s="496">
        <f>0</f>
        <v>0</v>
      </c>
      <c r="CP157" s="496">
        <f>0</f>
        <v>0</v>
      </c>
      <c r="CQ157" s="496">
        <f>0</f>
        <v>0</v>
      </c>
      <c r="CR157" s="496">
        <f>0</f>
        <v>0</v>
      </c>
      <c r="CS157" s="496">
        <f>0</f>
        <v>0</v>
      </c>
      <c r="CT157" s="2480">
        <f>b_OHO_T*X_OHO*η_b_ana*M_inhSNO2_KNO2_OHO*M_inhSNO3_KNO3_OHO*M_inhSO2_KO2_OHO</f>
        <v>0.13864042933810375</v>
      </c>
      <c r="CV157" s="2502">
        <f>E266*E157+F266*F157+G266*G157+H266*H157+I266*I157+J266*J157+K266*K157+L266*L157+M266*M157+N266*N157+O266*O157+P266*P157+Q266*Q157+R266*R157+S266*S157+T266*T157+U266*U157+V266*V157+W266*W157+X266*X157+Y266*Y157+Z266*Z157+AA266*AA157+AB266*AB157+AC266*AC157+AD266*AD157+AE266*AE157+AF266*AF157+AG266*AG157+AH266*AH157+AI266*AI157+AJ266*AJ157+AK266*AK157+AL266*AL157+AM266*AM157+AN266*AN157+AO266*AO157+AP266*AP157+AQ266*AQ157+AR266*AR157+AS266*AS157+AT266*AT157+AU266*AU157+AV266*AV157+AW266*AW157+AX266*AX157+AY266*AY157+AZ266*AZ157+BA266*BA157+BB266*BB157+BC266*BC157+BD266*BD157+BE266*BE157+BF266*BF157+BG266*BG157+BH266*BH157+BI266*BI157+BJ266*BJ157+BK266*BK157+BL266*BL157+BM266*BM157+BN266*BN157+BO266*BO157+BP266*BP157+BQ266*BQ157+BR266*BR157+BS266*BS157+BT266*BT157+BU266*BU157+BV266*BV157+BW266*BW157+BX266*BX157+BY266*BY157+BZ266*BZ157+CA266*CA157+CB266*CB157+CC266*CC157+CD266*CD157+CE266*CE157+CF266*CF157+CG266*CG157+CH266*CH157+CI266*CI157+CJ266*CJ157+CK266*CK157+CL266*CL157+CM266*CM157+CN266*CN157+CO266*CO157+CP266*CP157+CQ266*CQ157+CR266*CR157+CS266*CS157</f>
        <v>0</v>
      </c>
      <c r="CW157" s="2502">
        <f>E267*E157+F267*F157+G267*G157+H267*H157+I267*I157+J267*J157+K267*K157+L267*L157+M267*M157+N267*N157+O267*O157+P267*P157+Q267*Q157+R267*R157+S267*S157+T267*T157+U267*U157+V267*V157+W267*W157+X267*X157+Y267*Y157+Z267*Z157+AA267*AA157+AB267*AB157+AC267*AC157+AD267*AD157+AE267*AE157+AF267*AF157+AG267*AG157+AH267*AH157+AI267*AI157+AJ267*AJ157+AK267*AK157+AL267*AL157+AM267*AM157+AN267*AN157+AO267*AO157+AP267*AP157+AQ267*AQ157+AR267*AR157+AS267*AS157+AT267*AT157+AU267*AU157+AV267*AV157+AW267*AW157+AX267*AX157+AY267*AY157+AZ267*AZ157+BA267*BA157+BB267*BB157+BC267*BC157+BD267*BD157+BE267*BE157+BF267*BF157+BG267*BG157+BH267*BH157+BI267*BI157+BJ267*BJ157+BK267*BK157+BL267*BL157+BM267*BM157+BN267*BN157+BO267*BO157+BP267*BP157+BQ267*BQ157+BR267*BR157+BS267*BS157+BT267*BT157+BU267*BU157+BV267*BV157+BW267*BW157+BX267*BX157+BY267*BY157+BZ267*BZ157+CA267*CA157+CB267*CB157+CC267*CC157+CD267*CD157+CE267*CE157+CF267*CF157+CG267*CG157+CH267*CH157+CI267*CI157+CJ267*CJ157+CK267*CK157+CL267*CL157+CM267*CM157+CN267*CN157+CO267*CO157+CP267*CP157+CQ267*CQ157+CR267*CR157+CS267*CS157</f>
        <v>6.9388939039072284E-18</v>
      </c>
      <c r="CX157" s="2503">
        <f>E268*E157+F268*F157+G268*G157+H268*H157+I268*I157+J268*J157+K268*K157+L268*L157+M268*M157+N268*N157+O268*O157+P268*P157+Q268*Q157+R268*R157+S268*S157+T268*T157+U268*U157+V268*V157+W268*W157+X268*X157+Y268*Y157+Z268*Z157+AA268*AA157+AB268*AB157+AC268*AC157+AD268*AD157+AE268*AE157+AF268*AF157+AG268*AG157+AH268*AH157+AI268*AI157+AJ268*AJ157+AK268*AK157+AL268*AL157+AM268*AM157+AN268*AN157+AO268*AO157+AP268*AP157+AQ268*AQ157+AR268*AR157+AS268*AS157+AT268*AT157+AU268*AU157+AV268*AV157+AW268*AW157+AX268*AX157+AY268*AY157+AZ268*AZ157+BA268*BA157+BB268*BB157+BC268*BC157+BD268*BD157+BE268*BE157+BF268*BF157+BG268*BG157+BH268*BH157+BI268*BI157+BJ268*BJ157+BK268*BK157+BL268*BL157+BM268*BM157+BN268*BN157+BO268*BO157+BP268*BP157+BQ268*BQ157+BR268*BR157+BS268*BS157+BT268*BT157+BU268*BU157+BV268*BV157+BW268*BW157+BX268*BX157+BY268*BY157+BZ268*BZ157+CA268*CA157+CB268*CB157+CC268*CC157+CD268*CD157+CE268*CE157+CF268*CF157+CG268*CG157+CH268*CH157+CI268*CI157+CJ268*CJ157+CK268*CK157+CL268*CL157+CM268*CM157+CN268*CN157+CO268*CO157+CP268*CP157+CQ268*CQ157+CR268*CR157+CS268*CS157</f>
        <v>0</v>
      </c>
      <c r="CY157" s="2504">
        <f>E269*E157+F269*F157+G269*G157+H269*H157+I269*I157+J269*J157+K269*K157+L269*L157+M269*M157+N269*N157+O269*O157+P269*P157+Q269*Q157+R269*R157+S269*S157+T269*T157+U269*U157+V269*V157+W269*W157+X269*X157+Y269*Y157+Z269*Z157+AA269*AA157+AB269*AB157+AC269*AC157+AD269*AD157+AE269*AE157+AF269*AF157+AG269*AG157+AH269*AH157+AI269*AI157+AJ269*AJ157+AK269*AK157+AL269*AL157+AM269*AM157+AN269*AN157+AO269*AO157+AP269*AP157+AQ269*AQ157+AR269*AR157+AS269*AS157+AT269*AT157+AU269*AU157+AV269*AV157+AW269*AW157+AX269*AX157+AY269*AY157+AZ269*AZ157+BA269*BA157+BB269*BB157+BC269*BC157+BD269*BD157+BE269*BE157+BF269*BF157+BG269*BG157+BH269*BH157+BI269*BI157+BJ269*BJ157+BK269*BK157+BL269*BL157+BM269*BM157+BN269*BN157+BO269*BO157+BP269*BP157+BQ269*BQ157+BR269*BR157+BS269*BS157+BT269*BT157+BU269*BU157+BV269*BV157+BW269*BW157+BX269*BX157+BY269*BY157+BZ269*BZ157+CA269*CA157+CB269*CB157+CC269*CC157+CD269*CD157+CE269*CE157+CF269*CF157+CG269*CG157+CH269*CH157+CI269*CI157+CJ269*CJ157+CK269*CK157+CL269*CL157+CM269*CM157+CN269*CN157+CO269*CO157+CP269*CP157+CQ269*CQ157+CR269*CR157+CS269*CS157</f>
        <v>0</v>
      </c>
      <c r="CZ157" s="2504">
        <f>E270*E157+F270*F157+G270*G157+H270*H157+I270*I157+J270*J157+K270*K157+L270*L157+M270*M157+N270*N157+O270*O157+P270*P157+Q270*Q157+R270*R157+S270*S157+T270*T157+U270*U157+V270*V157+W270*W157+X270*X157+Y270*Y157+Z270*Z157+AA270*AA157+AB270*AB157+AC270*AC157+AD270*AD157+AE270*AE157+AF270*AF157+AG270*AG157+AH270*AH157+AI270*AI157+AJ270*AJ157+AK270*AK157+AL270*AL157+AM270*AM157+AN270*AN157+AO270*AO157+AP270*AP157+AQ270*AQ157+AR270*AR157+AS270*AS157+AT270*AT157+AU270*AU157+AV270*AV157+AW270*AW157+AX270*AX157+AY270*AY157+AZ270*AZ157+BA270*BA157+BB270*BB157+BC270*BC157+BD270*BD157+BE270*BE157+BF270*BF157+BG270*BG157+BH270*BH157+BI270*BI157+BJ270*BJ157+BK270*BK157+BL270*BL157+BM270*BM157+BN270*BN157+BO270*BO157+BP270*BP157+BQ270*BQ157+BR270*BR157+BS270*BS157+BT270*BT157+BU270*BU157+BV270*BV157+BW270*BW157+BX270*BX157+BY270*BY157+BZ270*BZ157+CA270*CA157+CB270*CB157+CC270*CC157+CD270*CD157+CE270*CE157+CF270*CF157+CG270*CG157+CH270*CH157+CI270*CI157+CJ270*CJ157+CK270*CK157+CL270*CL157+CM270*CM157+CN270*CN157+CO270*CO157+CP270*CP157+CQ270*CQ157+CR270*CR157+CS270*CS157</f>
        <v>0</v>
      </c>
      <c r="DA157" s="2504">
        <f>E271*E157+F271*F157+G271*G157+H271*H157+I271*I157+J271*J157+K271*K157+L271*L157+M271*M157+N271*N157+O271*O157+P271*P157+Q271*Q157+R271*R157+S271*S157+T271*T157+U271*U157+V271*V157+W271*W157+X271*X157+Y271*Y157+Z271*Z157+AA271*AA157+AB271*AB157+AC271*AC157+AD271*AD157+AE271*AE157+AF271*AF157+AG271*AG157+AH271*AH157+AI271*AI157+AJ271*AJ157+AK271*AK157+AL271*AL157+AM271*AM157+AN271*AN157+AO271*AO157+AP271*AP157+AQ271*AQ157+AR271*AR157+AS271*AS157+AT271*AT157+AU271*AU157+AV271*AV157+AW271*AW157+AX271*AX157+AY271*AY157+AZ271*AZ157+BA271*BA157+BB271*BB157+BC271*BC157+BD271*BD157+BE271*BE157+BF271*BF157+BG271*BG157+BH271*BH157+BI271*BI157+BJ271*BJ157+BK271*BK157+BL271*BL157+BM271*BM157+BN271*BN157+BO271*BO157+BP271*BP157+BQ271*BQ157+BR271*BR157+BS271*BS157+BT271*BT157+BU271*BU157+BV271*BV157+BW271*BW157+BX271*BX157+BY271*BY157+BZ271*BZ157+CA271*CA157+CB271*CB157+CC271*CC157+CD271*CD157+CE271*CE157+CF271*CF157+CG271*CG157+CH271*CH157+CI271*CI157+CJ271*CJ157+CK271*CK157+CL271*CL157+CM271*CM157+CN271*CN157+CO271*CO157+CP271*CP157+CQ271*CQ157+CR271*CR157+CS271*CS157</f>
        <v>0</v>
      </c>
      <c r="DB157" s="2504">
        <f>E272*E157+F272*F157+G272*G157+H272*H157+I272*I157+J272*J157+K272*K157+L272*L157+M272*M157+N272*N157+O272*O157+P272*P157+Q272*Q157+R272*R157+S272*S157+T272*T157+U272*U157+V272*V157+W272*W157+X272*X157+Y272*Y157+Z272*Z157+AA272*AA157+AB272*AB157+AC272*AC157+AD272*AD157+AE272*AE157+AF272*AF157+AG272*AG157+AH272*AH157+AI272*AI157+AJ272*AJ157+AK272*AK157+AL272*AL157+AM272*AM157+AN272*AN157+AO272*AO157+AP272*AP157+AQ272*AQ157+AR272*AR157+AS272*AS157+AT272*AT157+AU272*AU157+AV272*AV157+AW272*AW157+AX272*AX157+AY272*AY157+AZ272*AZ157+BA272*BA157+BB272*BB157+BC272*BC157+BD272*BD157+BE272*BE157+BF272*BF157+BG272*BG157+BH272*BH157+BI272*BI157+BJ272*BJ157+BK272*BK157+BL272*BL157+BM272*BM157+BN272*BN157+BO272*BO157+BP272*BP157+BQ272*BQ157+BR272*BR157+BS272*BS157+BT272*BT157+BU272*BU157+BV272*BV157+BW272*BW157+BX272*BX157+BY272*BY157+BZ272*BZ157+CA272*CA157+CB272*CB157+CC272*CC157+CD272*CD157+CE272*CE157+CF272*CF157+CG272*CG157+CH272*CH157+CI272*CI157+CJ272*CJ157+CK272*CK157+CL272*CL157+CM272*CM157+CN272*CN157+CO272*CO157+CP272*CP157+CQ272*CQ157+CR272*CR157+CS272*CS157</f>
        <v>0</v>
      </c>
      <c r="DC157" s="2504">
        <f>E273*E157+F273*F157+G273*G157+H273*H157+I273*I157+J273*J157+K273*K157+L273*L157+M273*M157+N273*N157+O273*O157+P273*P157+Q273*Q157+R273*R157+S273*S157+T273*T157+U273*U157+V273*V157+W273*W157+X273*X157+Y273*Y157+Z273*Z157+AA273*AA157+AB273*AB157+AC273*AC157+AD273*AD157+AE273*AE157+AF273*AF157+AG273*AG157+AH273*AH157+AI273*AI157+AJ273*AJ157+AK273*AK157+AL273*AL157+AM273*AM157+AN273*AN157+AO273*AO157+AP273*AP157+AQ273*AQ157+AR273*AR157+AS273*AS157+AT273*AT157+AU273*AU157+AV273*AV157+AW273*AW157+AX273*AX157+AY273*AY157+AZ273*AZ157+BA273*BA157+BB273*BB157+BC273*BC157+BD273*BD157+BE273*BE157+BF273*BF157+BG273*BG157+BH273*BH157+BI273*BI157+BJ273*BJ157+BK273*BK157+BL273*BL157+BM273*BM157+BN273*BN157+BO273*BO157+BP273*BP157+BQ273*BQ157+BR273*BR157+BS273*BS157+BT273*BT157+BU273*BU157+BV273*BV157+BW273*BW157+BX273*BX157+BY273*BY157+BZ273*BZ157+CA273*CA157+CB273*CB157+CC273*CC157+CD273*CD157+CE273*CE157+CF273*CF157+CG273*CG157+CH273*CH157+CI273*CI157+CJ273*CJ157+CK273*CK157+CL273*CL157+CM273*CM157+CN273*CN157+CO273*CO157+CP273*CP157+CQ273*CQ157+CR273*CR157+CS273*CS157</f>
        <v>0</v>
      </c>
      <c r="DD157" s="2504">
        <f>E274*E157+F274*F157+G274*G157+H274*H157+I274*I157+J274*J157+K274*K157+L274*L157+M274*M157+N274*N157+O274*O157+P274*P157+Q274*Q157+R274*R157+S274*S157+T274*T157+U274*U157+V274*V157+W274*W157+X274*X157+Y274*Y157+Z274*Z157+AA274*AA157+AB274*AB157+AC274*AC157+AD274*AD157+AE274*AE157+AF274*AF157+AG274*AG157+AH274*AH157+AI274*AI157+AJ274*AJ157+AK274*AK157+AL274*AL157+AM274*AM157+AN274*AN157+AO274*AO157+AP274*AP157+AQ274*AQ157+AR274*AR157+AS274*AS157+AT274*AT157+AU274*AU157+AV274*AV157+AW274*AW157+AX274*AX157+AY274*AY157+AZ274*AZ157+BA274*BA157+BB274*BB157+BC274*BC157+BD274*BD157+BE274*BE157+BF274*BF157+BG274*BG157+BH274*BH157+BI274*BI157+BJ274*BJ157+BK274*BK157+BL274*BL157+BM274*BM157+BN274*BN157+BO274*BO157+BP274*BP157+BQ274*BQ157+BR274*BR157+BS274*BS157+BT274*BT157+BU274*BU157+BV274*BV157+BW274*BW157+BX274*BX157+BY274*BY157+BZ274*BZ157+CA274*CA157+CB274*CB157+CC274*CC157+CD274*CD157+CE274*CE157+CF274*CF157+CG274*CG157+CH274*CH157+CI274*CI157+CJ274*CJ157+CK274*CK157+CL274*CL157+CM274*CM157+CN274*CN157+CO274*CO157+CP274*CP157+CQ274*CQ157+CR274*CR157+CS274*CS157</f>
        <v>0</v>
      </c>
      <c r="DE157" s="2504">
        <f>E275*E157+F275*F157+G275*G157+H275*H157+I275*I157+J275*J157+K275*K157+L275*L157+M275*M157+N275*N157+O275*O157+P275*P157+Q275*Q157+R275*R157+S275*S157+T275*T157+U275*U157+V275*V157+W275*W157+X275*X157+Y275*Y157+Z275*Z157+AA275*AA157+AB275*AB157+AC275*AC157+AD275*AD157+AE275*AE157+AF275*AF157+AG275*AG157+AH275*AH157+AI275*AI157+AJ275*AJ157+AK275*AK157+AL275*AL157+AM275*AM157+AN275*AN157+AO275*AO157+AP275*AP157+AQ275*AQ157+AR275*AR157+AS275*AS157+AT275*AT157+AU275*AU157+AV275*AV157+AW275*AW157+AX275*AX157+AY275*AY157+AZ275*AZ157+BA275*BA157+BB275*BB157+BC275*BC157+BD275*BD157+BE275*BE157+BF275*BF157+BG275*BG157+BH275*BH157+BI275*BI157+BJ275*BJ157+BK275*BK157+BL275*BL157+BM275*BM157+BN275*BN157+BO275*BO157+BP275*BP157+BQ275*BQ157+BR275*BR157+BS275*BS157+BT275*BT157+BU275*BU157+BV275*BV157+BW275*BW157+BX275*BX157+BY275*BY157+BZ275*BZ157+CA275*CA157+CB275*CB157+CC275*CC157+CD275*CD157+CE275*CE157+CF275*CF157+CG275*CG157+CH275*CH157+CI275*CI157+CJ275*CJ157+CK275*CK157+CL275*CL157+CM275*CM157+CN275*CN157+CO275*CO157+CP275*CP157+CQ275*CQ157+CR275*CR157+CS275*CS157</f>
        <v>0</v>
      </c>
      <c r="DF157" s="2504">
        <f>E276*E157+F276*F157+G276*G157+H276*H157+I276*I157+J276*J157+K276*K157+L276*L157+M276*M157+N276*N157+O276*O157+P276*P157+Q276*Q157+R276*R157+S276*S157+T276*T157+U276*U157+V276*V157+W276*W157+X276*X157+Y276*Y157+Z276*Z157+AA276*AA157+AB276*AB157+AC276*AC157+AD276*AD157+AE276*AE157+AF276*AF157+AG276*AG157+AH276*AH157+AI276*AI157+AJ276*AJ157+AK276*AK157+AL276*AL157+AM276*AM157+AN276*AN157+AO276*AO157+AP276*AP157+AQ276*AQ157+AR276*AR157+AS276*AS157+AT276*AT157+AU276*AU157+AV276*AV157+AW276*AW157+AX276*AX157+AY276*AY157+AZ276*AZ157+BA276*BA157+BB276*BB157+BC276*BC157+BD276*BD157+BE276*BE157+BF276*BF157+BG276*BG157+BH276*BH157+BI276*BI157+BJ276*BJ157+BK276*BK157+BL276*BL157+BM276*BM157+BN276*BN157+BO276*BO157+BP276*BP157+BQ276*BQ157+BR276*BR157+BS276*BS157+BT276*BT157+BU276*BU157+BV276*BV157+BW276*BW157+BX276*BX157+BY276*BY157+BZ276*BZ157+CA276*CA157+CB276*CB157+CC276*CC157+CD276*CD157+CE276*CE157+CF276*CF157+CG276*CG157+CH276*CH157+CI276*CI157+CJ276*CJ157+CK276*CK157+CL276*CL157+CM276*CM157+CN276*CN157+CO276*CO157+CP276*CP157+CQ276*CQ157+CR276*CR157+CS276*CS157</f>
        <v>0</v>
      </c>
    </row>
    <row r="158" spans="2:110" ht="18" x14ac:dyDescent="0.35">
      <c r="B158" s="1563">
        <v>16</v>
      </c>
      <c r="C158" s="526" t="s">
        <v>239</v>
      </c>
      <c r="D158" s="527" t="s">
        <v>2211</v>
      </c>
      <c r="E158" s="499">
        <f>0</f>
        <v>0</v>
      </c>
      <c r="F158" s="499">
        <f>0</f>
        <v>0</v>
      </c>
      <c r="G158" s="528">
        <f>-1/Y_MEOLO</f>
        <v>-2.5</v>
      </c>
      <c r="H158" s="499">
        <f>0</f>
        <v>0</v>
      </c>
      <c r="I158" s="499">
        <f>0</f>
        <v>0</v>
      </c>
      <c r="J158" s="499">
        <f>0</f>
        <v>0</v>
      </c>
      <c r="K158" s="499">
        <f>0</f>
        <v>0</v>
      </c>
      <c r="L158" s="499">
        <f>0</f>
        <v>0</v>
      </c>
      <c r="M158" s="499">
        <f>0</f>
        <v>0</v>
      </c>
      <c r="N158" s="499">
        <f>0</f>
        <v>0</v>
      </c>
      <c r="O158" s="499">
        <f>0</f>
        <v>0</v>
      </c>
      <c r="P158" s="499">
        <f>0</f>
        <v>0</v>
      </c>
      <c r="Q158" s="499">
        <f>0</f>
        <v>0</v>
      </c>
      <c r="R158" s="499">
        <f>0</f>
        <v>0</v>
      </c>
      <c r="S158" s="499">
        <f>0</f>
        <v>0</v>
      </c>
      <c r="T158" s="499">
        <f>1</f>
        <v>1</v>
      </c>
      <c r="U158" s="499">
        <f>0</f>
        <v>0</v>
      </c>
      <c r="V158" s="499">
        <f>0</f>
        <v>0</v>
      </c>
      <c r="W158" s="499">
        <f>0</f>
        <v>0</v>
      </c>
      <c r="X158" s="499">
        <f>0</f>
        <v>0</v>
      </c>
      <c r="Y158" s="499">
        <f>0</f>
        <v>0</v>
      </c>
      <c r="Z158" s="499">
        <f>0</f>
        <v>0</v>
      </c>
      <c r="AA158" s="499">
        <f>-i_N_BIO</f>
        <v>-7.0000000000000007E-2</v>
      </c>
      <c r="AB158" s="499">
        <f>0</f>
        <v>0</v>
      </c>
      <c r="AC158" s="528">
        <f>0</f>
        <v>0</v>
      </c>
      <c r="AD158" s="528">
        <f>-(1-Y_MEOLO)/(E_EQN2_NO2*Y_MEOLO)</f>
        <v>-0.87545157943422891</v>
      </c>
      <c r="AE158" s="528">
        <f>0</f>
        <v>0</v>
      </c>
      <c r="AF158" s="528">
        <f>0</f>
        <v>0</v>
      </c>
      <c r="AG158" s="528">
        <f>0</f>
        <v>0</v>
      </c>
      <c r="AH158" s="528">
        <f>(1-Y_MEOLO)/(E_EQN2_NO2*Y_MEOLO)</f>
        <v>0.87545157943422891</v>
      </c>
      <c r="AI158" s="499">
        <f>0</f>
        <v>0</v>
      </c>
      <c r="AJ158" s="499">
        <f>0</f>
        <v>0</v>
      </c>
      <c r="AK158" s="499">
        <f>0</f>
        <v>0</v>
      </c>
      <c r="AL158" s="499">
        <f>0</f>
        <v>0</v>
      </c>
      <c r="AM158" s="528">
        <f>-i_P_BIO</f>
        <v>-0.02</v>
      </c>
      <c r="AN158" s="499">
        <f>0</f>
        <v>0</v>
      </c>
      <c r="AO158" s="499">
        <f>0</f>
        <v>0</v>
      </c>
      <c r="AP158" s="499">
        <f>0</f>
        <v>0</v>
      </c>
      <c r="AQ158" s="499">
        <f>0</f>
        <v>0</v>
      </c>
      <c r="AR158" s="499">
        <f>0</f>
        <v>0</v>
      </c>
      <c r="AS158" s="499">
        <f>0</f>
        <v>0</v>
      </c>
      <c r="AT158" s="499">
        <f>0</f>
        <v>0</v>
      </c>
      <c r="AU158" s="499">
        <f>0</f>
        <v>0</v>
      </c>
      <c r="AV158" s="528">
        <f>i_CIT_MEOL/Y_MEOLO-i_CIT_BIO</f>
        <v>0.27300000000000002</v>
      </c>
      <c r="AW158" s="528">
        <f>i_INORG</f>
        <v>0.11</v>
      </c>
      <c r="AX158" s="528">
        <f>-i_INORG*(1-i_Ca_INORG*(A_MCa+2*A_MCl)/A_MCa-i_Mg_INORG*(A_MMg+2*A_MCl)/A_MMg)*f_Na</f>
        <v>-2.8804303582798466E-2</v>
      </c>
      <c r="AY158" s="528">
        <f>-i_INORG*(i_Ca_INORG*(2*A_MCl)/A_MCa+i_Mg_INORG*(2*A_MCl)/A_MMg)-i_INORG*(1-i_Ca_INORG*(A_MCa+2*A_MCl)/A_MCa-i_Mg_INORG*(A_MMg+2*A_MCl)/A_MMg)*(1-f_Na)</f>
        <v>-7.0195696417201539E-2</v>
      </c>
      <c r="AZ158" s="528">
        <f>-i_INORG*i_Ca_INORG</f>
        <v>-5.5000000000000005E-3</v>
      </c>
      <c r="BA158" s="528">
        <f>-i_INORG*i_Mg_INORG</f>
        <v>-5.5000000000000005E-3</v>
      </c>
      <c r="BB158" s="528">
        <f>0</f>
        <v>0</v>
      </c>
      <c r="BC158" s="528">
        <f>0</f>
        <v>0</v>
      </c>
      <c r="BD158" s="528">
        <f>0</f>
        <v>0</v>
      </c>
      <c r="BE158" s="528">
        <f>0</f>
        <v>0</v>
      </c>
      <c r="BF158" s="528">
        <f>0</f>
        <v>0</v>
      </c>
      <c r="BG158" s="528">
        <f>0</f>
        <v>0</v>
      </c>
      <c r="BH158" s="528">
        <f>0</f>
        <v>0</v>
      </c>
      <c r="BI158" s="528">
        <f>0</f>
        <v>0</v>
      </c>
      <c r="BJ158" s="528">
        <f>0</f>
        <v>0</v>
      </c>
      <c r="BK158" s="528">
        <f>0</f>
        <v>0</v>
      </c>
      <c r="BL158" s="528">
        <f>0</f>
        <v>0</v>
      </c>
      <c r="BM158" s="528">
        <f>0</f>
        <v>0</v>
      </c>
      <c r="BN158" s="528">
        <f>0</f>
        <v>0</v>
      </c>
      <c r="BO158" s="528">
        <f>0</f>
        <v>0</v>
      </c>
      <c r="BP158" s="528">
        <f>0</f>
        <v>0</v>
      </c>
      <c r="BQ158" s="528">
        <f>0</f>
        <v>0</v>
      </c>
      <c r="BR158" s="528">
        <f>0</f>
        <v>0</v>
      </c>
      <c r="BS158" s="528">
        <f>0</f>
        <v>0</v>
      </c>
      <c r="BT158" s="528">
        <f>0</f>
        <v>0</v>
      </c>
      <c r="BU158" s="528">
        <f>0</f>
        <v>0</v>
      </c>
      <c r="BV158" s="528">
        <f>0</f>
        <v>0</v>
      </c>
      <c r="BW158" s="2354">
        <f>0</f>
        <v>0</v>
      </c>
      <c r="BX158" s="2354">
        <f>0</f>
        <v>0</v>
      </c>
      <c r="BY158" s="2354">
        <f>0</f>
        <v>0</v>
      </c>
      <c r="BZ158" s="2354">
        <f>0</f>
        <v>0</v>
      </c>
      <c r="CA158" s="528">
        <f>0</f>
        <v>0</v>
      </c>
      <c r="CB158" s="528">
        <f>0</f>
        <v>0</v>
      </c>
      <c r="CC158" s="528">
        <f>0</f>
        <v>0</v>
      </c>
      <c r="CD158" s="528">
        <f>0</f>
        <v>0</v>
      </c>
      <c r="CE158" s="528">
        <f>0</f>
        <v>0</v>
      </c>
      <c r="CF158" s="528">
        <f>0</f>
        <v>0</v>
      </c>
      <c r="CG158" s="528">
        <f>0</f>
        <v>0</v>
      </c>
      <c r="CH158" s="528">
        <f>0</f>
        <v>0</v>
      </c>
      <c r="CI158" s="528">
        <f>0</f>
        <v>0</v>
      </c>
      <c r="CJ158" s="528">
        <f>0</f>
        <v>0</v>
      </c>
      <c r="CK158" s="528">
        <f>0</f>
        <v>0</v>
      </c>
      <c r="CL158" s="528">
        <f>0</f>
        <v>0</v>
      </c>
      <c r="CM158" s="528">
        <f>0</f>
        <v>0</v>
      </c>
      <c r="CN158" s="528">
        <f>0</f>
        <v>0</v>
      </c>
      <c r="CO158" s="528">
        <f>0</f>
        <v>0</v>
      </c>
      <c r="CP158" s="528">
        <f>0</f>
        <v>0</v>
      </c>
      <c r="CQ158" s="528">
        <f>0</f>
        <v>0</v>
      </c>
      <c r="CR158" s="528">
        <f>0</f>
        <v>0</v>
      </c>
      <c r="CS158" s="528">
        <f>0</f>
        <v>0</v>
      </c>
      <c r="CT158" s="2481">
        <f>µ_MEOLO_T*X_MEOLO*M_satSMEOL_KMEOL*M_satSNO2_KNO2_MEOLO*M_inhSO2_KiO2_MEOLO*M_satSNHx_KNHx_BIO*M_satSPO4_KPO4_BIO*M_satSCAT_KCAT*M_satSAN_KAN*M_satSCa_KCa*M_satSMg_KMg*B_ellinhpH</f>
        <v>0</v>
      </c>
      <c r="CV158" s="2502">
        <f>E266*E158+F266*F158+G266*G158+H266*H158+I266*I158+J266*J158+K266*K158+L266*L158+M266*M158+N266*N158+O266*O158+P266*P158+Q266*Q158+R266*R158+S266*S158+T266*T158+U266*U158+V266*V158+W266*W158+X266*X158+Y266*Y158+Z266*Z158+AA266*AA158+AB266*AB158+AC266*AC158+AD266*AD158+AE266*AE158+AF266*AF158+AG266*AG158+AH266*AH158+AI266*AI158+AJ266*AJ158+AK266*AK158+AL266*AL158+AM266*AM158+AN266*AN158+AO266*AO158+AP266*AP158+AQ266*AQ158+AR266*AR158+AS266*AS158+AT266*AT158+AU266*AU158+AV266*AV158+AW266*AW158+AX266*AX158+AY266*AY158+AZ266*AZ158+BA266*BA158+BB266*BB158+BC266*BC158+BD266*BD158+BE266*BE158+BF266*BF158+BG266*BG158+BH266*BH158+BI266*BI158+BJ266*BJ158+BK266*BK158+BL266*BL158+BM266*BM158+BN266*BN158+BO266*BO158+BP266*BP158+BQ266*BQ158+BR266*BR158+BS266*BS158+BT266*BT158+BU266*BU158+BV266*BV158+BW266*BW158+BX266*BX158+BY266*BY158+BZ266*BZ158+CA266*CA158+CB266*CB158+CC266*CC158+CD266*CD158+CE266*CE158+CF266*CF158+CG266*CG158+CH266*CH158+CI266*CI158+CJ266*CJ158+CK266*CK158+CL266*CL158+CM266*CM158+CN266*CN158+CO266*CO158+CP266*CP158+CQ266*CQ158+CR266*CR158+CS266*CS158</f>
        <v>0</v>
      </c>
      <c r="CW158" s="2502">
        <f>E267*E158+F267*F158+G267*G158+H267*H158+I267*I158+J267*J158+K267*K158+L267*L158+M267*M158+N267*N158+O267*O158+P267*P158+Q267*Q158+R267*R158+S267*S158+T267*T158+U267*U158+V267*V158+W267*W158+X267*X158+Y267*Y158+Z267*Z158+AA267*AA158+AB267*AB158+AC267*AC158+AD267*AD158+AE267*AE158+AF267*AF158+AG267*AG158+AH267*AH158+AI267*AI158+AJ267*AJ158+AK267*AK158+AL267*AL158+AM267*AM158+AN267*AN158+AO267*AO158+AP267*AP158+AQ267*AQ158+AR267*AR158+AS267*AS158+AT267*AT158+AU267*AU158+AV267*AV158+AW267*AW158+AX267*AX158+AY267*AY158+AZ267*AZ158+BA267*BA158+BB267*BB158+BC267*BC158+BD267*BD158+BE267*BE158+BF267*BF158+BG267*BG158+BH267*BH158+BI267*BI158+BJ267*BJ158+BK267*BK158+BL267*BL158+BM267*BM158+BN267*BN158+BO267*BO158+BP267*BP158+BQ267*BQ158+BR267*BR158+BS267*BS158+BT267*BT158+BU267*BU158+BV267*BV158+BW267*BW158+BX267*BX158+BY267*BY158+BZ267*BZ158+CA267*CA158+CB267*CB158+CC267*CC158+CD267*CD158+CE267*CE158+CF267*CF158+CG267*CG158+CH267*CH158+CI267*CI158+CJ267*CJ158+CK267*CK158+CL267*CL158+CM267*CM158+CN267*CN158+CO267*CO158+CP267*CP158+CQ267*CQ158+CR267*CR158+CS267*CS158</f>
        <v>0</v>
      </c>
      <c r="CX158" s="2503">
        <f>E268*E158+F268*F158+G268*G158+H268*H158+I268*I158+J268*J158+K268*K158+L268*L158+M268*M158+N268*N158+O268*O158+P268*P158+Q268*Q158+R268*R158+S268*S158+T268*T158+U268*U158+V268*V158+W268*W158+X268*X158+Y268*Y158+Z268*Z158+AA268*AA158+AB268*AB158+AC268*AC158+AD268*AD158+AE268*AE158+AF268*AF158+AG268*AG158+AH268*AH158+AI268*AI158+AJ268*AJ158+AK268*AK158+AL268*AL158+AM268*AM158+AN268*AN158+AO268*AO158+AP268*AP158+AQ268*AQ158+AR268*AR158+AS268*AS158+AT268*AT158+AU268*AU158+AV268*AV158+AW268*AW158+AX268*AX158+AY268*AY158+AZ268*AZ158+BA268*BA158+BB268*BB158+BC268*BC158+BD268*BD158+BE268*BE158+BF268*BF158+BG268*BG158+BH268*BH158+BI268*BI158+BJ268*BJ158+BK268*BK158+BL268*BL158+BM268*BM158+BN268*BN158+BO268*BO158+BP268*BP158+BQ268*BQ158+BR268*BR158+BS268*BS158+BT268*BT158+BU268*BU158+BV268*BV158+BW268*BW158+BX268*BX158+BY268*BY158+BZ268*BZ158+CA268*CA158+CB268*CB158+CC268*CC158+CD268*CD158+CE268*CE158+CF268*CF158+CG268*CG158+CH268*CH158+CI268*CI158+CJ268*CJ158+CK268*CK158+CL268*CL158+CM268*CM158+CN268*CN158+CO268*CO158+CP268*CP158+CQ268*CQ158+CR268*CR158+CS268*CS158</f>
        <v>0</v>
      </c>
      <c r="CY158" s="2504">
        <f>E269*E158+F269*F158+G269*G158+H269*H158+I269*I158+J269*J158+K269*K158+L269*L158+M269*M158+N269*N158+O269*O158+P269*P158+Q269*Q158+R269*R158+S269*S158+T269*T158+U269*U158+V269*V158+W269*W158+X269*X158+Y269*Y158+Z269*Z158+AA269*AA158+AB269*AB158+AC269*AC158+AD269*AD158+AE269*AE158+AF269*AF158+AG269*AG158+AH269*AH158+AI269*AI158+AJ269*AJ158+AK269*AK158+AL269*AL158+AM269*AM158+AN269*AN158+AO269*AO158+AP269*AP158+AQ269*AQ158+AR269*AR158+AS269*AS158+AT269*AT158+AU269*AU158+AV269*AV158+AW269*AW158+AX269*AX158+AY269*AY158+AZ269*AZ158+BA269*BA158+BB269*BB158+BC269*BC158+BD269*BD158+BE269*BE158+BF269*BF158+BG269*BG158+BH269*BH158+BI269*BI158+BJ269*BJ158+BK269*BK158+BL269*BL158+BM269*BM158+BN269*BN158+BO269*BO158+BP269*BP158+BQ269*BQ158+BR269*BR158+BS269*BS158+BT269*BT158+BU269*BU158+BV269*BV158+BW269*BW158+BX269*BX158+BY269*BY158+BZ269*BZ158+CA269*CA158+CB269*CB158+CC269*CC158+CD269*CD158+CE269*CE158+CF269*CF158+CG269*CG158+CH269*CH158+CI269*CI158+CJ269*CJ158+CK269*CK158+CL269*CL158+CM269*CM158+CN269*CN158+CO269*CO158+CP269*CP158+CQ269*CQ158+CR269*CR158+CS269*CS158</f>
        <v>0</v>
      </c>
      <c r="CZ158" s="2504">
        <f>E270*E158+F270*F158+G270*G158+H270*H158+I270*I158+J270*J158+K270*K158+L270*L158+M270*M158+N270*N158+O270*O158+P270*P158+Q270*Q158+R270*R158+S270*S158+T270*T158+U270*U158+V270*V158+W270*W158+X270*X158+Y270*Y158+Z270*Z158+AA270*AA158+AB270*AB158+AC270*AC158+AD270*AD158+AE270*AE158+AF270*AF158+AG270*AG158+AH270*AH158+AI270*AI158+AJ270*AJ158+AK270*AK158+AL270*AL158+AM270*AM158+AN270*AN158+AO270*AO158+AP270*AP158+AQ270*AQ158+AR270*AR158+AS270*AS158+AT270*AT158+AU270*AU158+AV270*AV158+AW270*AW158+AX270*AX158+AY270*AY158+AZ270*AZ158+BA270*BA158+BB270*BB158+BC270*BC158+BD270*BD158+BE270*BE158+BF270*BF158+BG270*BG158+BH270*BH158+BI270*BI158+BJ270*BJ158+BK270*BK158+BL270*BL158+BM270*BM158+BN270*BN158+BO270*BO158+BP270*BP158+BQ270*BQ158+BR270*BR158+BS270*BS158+BT270*BT158+BU270*BU158+BV270*BV158+BW270*BW158+BX270*BX158+BY270*BY158+BZ270*BZ158+CA270*CA158+CB270*CB158+CC270*CC158+CD270*CD158+CE270*CE158+CF270*CF158+CG270*CG158+CH270*CH158+CI270*CI158+CJ270*CJ158+CK270*CK158+CL270*CL158+CM270*CM158+CN270*CN158+CO270*CO158+CP270*CP158+CQ270*CQ158+CR270*CR158+CS270*CS158</f>
        <v>0</v>
      </c>
      <c r="DA158" s="2504">
        <f>E271*E158+F271*F158+G271*G158+H271*H158+I271*I158+J271*J158+K271*K158+L271*L158+M271*M158+N271*N158+O271*O158+P271*P158+Q271*Q158+R271*R158+S271*S158+T271*T158+U271*U158+V271*V158+W271*W158+X271*X158+Y271*Y158+Z271*Z158+AA271*AA158+AB271*AB158+AC271*AC158+AD271*AD158+AE271*AE158+AF271*AF158+AG271*AG158+AH271*AH158+AI271*AI158+AJ271*AJ158+AK271*AK158+AL271*AL158+AM271*AM158+AN271*AN158+AO271*AO158+AP271*AP158+AQ271*AQ158+AR271*AR158+AS271*AS158+AT271*AT158+AU271*AU158+AV271*AV158+AW271*AW158+AX271*AX158+AY271*AY158+AZ271*AZ158+BA271*BA158+BB271*BB158+BC271*BC158+BD271*BD158+BE271*BE158+BF271*BF158+BG271*BG158+BH271*BH158+BI271*BI158+BJ271*BJ158+BK271*BK158+BL271*BL158+BM271*BM158+BN271*BN158+BO271*BO158+BP271*BP158+BQ271*BQ158+BR271*BR158+BS271*BS158+BT271*BT158+BU271*BU158+BV271*BV158+BW271*BW158+BX271*BX158+BY271*BY158+BZ271*BZ158+CA271*CA158+CB271*CB158+CC271*CC158+CD271*CD158+CE271*CE158+CF271*CF158+CG271*CG158+CH271*CH158+CI271*CI158+CJ271*CJ158+CK271*CK158+CL271*CL158+CM271*CM158+CN271*CN158+CO271*CO158+CP271*CP158+CQ271*CQ158+CR271*CR158+CS271*CS158</f>
        <v>0</v>
      </c>
      <c r="DB158" s="2504">
        <f>E272*E158+F272*F158+G272*G158+H272*H158+I272*I158+J272*J158+K272*K158+L272*L158+M272*M158+N272*N158+O272*O158+P272*P158+Q272*Q158+R272*R158+S272*S158+T272*T158+U272*U158+V272*V158+W272*W158+X272*X158+Y272*Y158+Z272*Z158+AA272*AA158+AB272*AB158+AC272*AC158+AD272*AD158+AE272*AE158+AF272*AF158+AG272*AG158+AH272*AH158+AI272*AI158+AJ272*AJ158+AK272*AK158+AL272*AL158+AM272*AM158+AN272*AN158+AO272*AO158+AP272*AP158+AQ272*AQ158+AR272*AR158+AS272*AS158+AT272*AT158+AU272*AU158+AV272*AV158+AW272*AW158+AX272*AX158+AY272*AY158+AZ272*AZ158+BA272*BA158+BB272*BB158+BC272*BC158+BD272*BD158+BE272*BE158+BF272*BF158+BG272*BG158+BH272*BH158+BI272*BI158+BJ272*BJ158+BK272*BK158+BL272*BL158+BM272*BM158+BN272*BN158+BO272*BO158+BP272*BP158+BQ272*BQ158+BR272*BR158+BS272*BS158+BT272*BT158+BU272*BU158+BV272*BV158+BW272*BW158+BX272*BX158+BY272*BY158+BZ272*BZ158+CA272*CA158+CB272*CB158+CC272*CC158+CD272*CD158+CE272*CE158+CF272*CF158+CG272*CG158+CH272*CH158+CI272*CI158+CJ272*CJ158+CK272*CK158+CL272*CL158+CM272*CM158+CN272*CN158+CO272*CO158+CP272*CP158+CQ272*CQ158+CR272*CR158+CS272*CS158</f>
        <v>0</v>
      </c>
      <c r="DC158" s="2504">
        <f>E273*E158+F273*F158+G273*G158+H273*H158+I273*I158+J273*J158+K273*K158+L273*L158+M273*M158+N273*N158+O273*O158+P273*P158+Q273*Q158+R273*R158+S273*S158+T273*T158+U273*U158+V273*V158+W273*W158+X273*X158+Y273*Y158+Z273*Z158+AA273*AA158+AB273*AB158+AC273*AC158+AD273*AD158+AE273*AE158+AF273*AF158+AG273*AG158+AH273*AH158+AI273*AI158+AJ273*AJ158+AK273*AK158+AL273*AL158+AM273*AM158+AN273*AN158+AO273*AO158+AP273*AP158+AQ273*AQ158+AR273*AR158+AS273*AS158+AT273*AT158+AU273*AU158+AV273*AV158+AW273*AW158+AX273*AX158+AY273*AY158+AZ273*AZ158+BA273*BA158+BB273*BB158+BC273*BC158+BD273*BD158+BE273*BE158+BF273*BF158+BG273*BG158+BH273*BH158+BI273*BI158+BJ273*BJ158+BK273*BK158+BL273*BL158+BM273*BM158+BN273*BN158+BO273*BO158+BP273*BP158+BQ273*BQ158+BR273*BR158+BS273*BS158+BT273*BT158+BU273*BU158+BV273*BV158+BW273*BW158+BX273*BX158+BY273*BY158+BZ273*BZ158+CA273*CA158+CB273*CB158+CC273*CC158+CD273*CD158+CE273*CE158+CF273*CF158+CG273*CG158+CH273*CH158+CI273*CI158+CJ273*CJ158+CK273*CK158+CL273*CL158+CM273*CM158+CN273*CN158+CO273*CO158+CP273*CP158+CQ273*CQ158+CR273*CR158+CS273*CS158</f>
        <v>0</v>
      </c>
      <c r="DD158" s="2504">
        <f>E274*E158+F274*F158+G274*G158+H274*H158+I274*I158+J274*J158+K274*K158+L274*L158+M274*M158+N274*N158+O274*O158+P274*P158+Q274*Q158+R274*R158+S274*S158+T274*T158+U274*U158+V274*V158+W274*W158+X274*X158+Y274*Y158+Z274*Z158+AA274*AA158+AB274*AB158+AC274*AC158+AD274*AD158+AE274*AE158+AF274*AF158+AG274*AG158+AH274*AH158+AI274*AI158+AJ274*AJ158+AK274*AK158+AL274*AL158+AM274*AM158+AN274*AN158+AO274*AO158+AP274*AP158+AQ274*AQ158+AR274*AR158+AS274*AS158+AT274*AT158+AU274*AU158+AV274*AV158+AW274*AW158+AX274*AX158+AY274*AY158+AZ274*AZ158+BA274*BA158+BB274*BB158+BC274*BC158+BD274*BD158+BE274*BE158+BF274*BF158+BG274*BG158+BH274*BH158+BI274*BI158+BJ274*BJ158+BK274*BK158+BL274*BL158+BM274*BM158+BN274*BN158+BO274*BO158+BP274*BP158+BQ274*BQ158+BR274*BR158+BS274*BS158+BT274*BT158+BU274*BU158+BV274*BV158+BW274*BW158+BX274*BX158+BY274*BY158+BZ274*BZ158+CA274*CA158+CB274*CB158+CC274*CC158+CD274*CD158+CE274*CE158+CF274*CF158+CG274*CG158+CH274*CH158+CI274*CI158+CJ274*CJ158+CK274*CK158+CL274*CL158+CM274*CM158+CN274*CN158+CO274*CO158+CP274*CP158+CQ274*CQ158+CR274*CR158+CS274*CS158</f>
        <v>0</v>
      </c>
      <c r="DE158" s="2504">
        <f>E275*E158+F275*F158+G275*G158+H275*H158+I275*I158+J275*J158+K275*K158+L275*L158+M275*M158+N275*N158+O275*O158+P275*P158+Q275*Q158+R275*R158+S275*S158+T275*T158+U275*U158+V275*V158+W275*W158+X275*X158+Y275*Y158+Z275*Z158+AA275*AA158+AB275*AB158+AC275*AC158+AD275*AD158+AE275*AE158+AF275*AF158+AG275*AG158+AH275*AH158+AI275*AI158+AJ275*AJ158+AK275*AK158+AL275*AL158+AM275*AM158+AN275*AN158+AO275*AO158+AP275*AP158+AQ275*AQ158+AR275*AR158+AS275*AS158+AT275*AT158+AU275*AU158+AV275*AV158+AW275*AW158+AX275*AX158+AY275*AY158+AZ275*AZ158+BA275*BA158+BB275*BB158+BC275*BC158+BD275*BD158+BE275*BE158+BF275*BF158+BG275*BG158+BH275*BH158+BI275*BI158+BJ275*BJ158+BK275*BK158+BL275*BL158+BM275*BM158+BN275*BN158+BO275*BO158+BP275*BP158+BQ275*BQ158+BR275*BR158+BS275*BS158+BT275*BT158+BU275*BU158+BV275*BV158+BW275*BW158+BX275*BX158+BY275*BY158+BZ275*BZ158+CA275*CA158+CB275*CB158+CC275*CC158+CD275*CD158+CE275*CE158+CF275*CF158+CG275*CG158+CH275*CH158+CI275*CI158+CJ275*CJ158+CK275*CK158+CL275*CL158+CM275*CM158+CN275*CN158+CO275*CO158+CP275*CP158+CQ275*CQ158+CR275*CR158+CS275*CS158</f>
        <v>0</v>
      </c>
      <c r="DF158" s="2504">
        <f>E276*E158+F276*F158+G276*G158+H276*H158+I276*I158+J276*J158+K276*K158+L276*L158+M276*M158+N276*N158+O276*O158+P276*P158+Q276*Q158+R276*R158+S276*S158+T276*T158+U276*U158+V276*V158+W276*W158+X276*X158+Y276*Y158+Z276*Z158+AA276*AA158+AB276*AB158+AC276*AC158+AD276*AD158+AE276*AE158+AF276*AF158+AG276*AG158+AH276*AH158+AI276*AI158+AJ276*AJ158+AK276*AK158+AL276*AL158+AM276*AM158+AN276*AN158+AO276*AO158+AP276*AP158+AQ276*AQ158+AR276*AR158+AS276*AS158+AT276*AT158+AU276*AU158+AV276*AV158+AW276*AW158+AX276*AX158+AY276*AY158+AZ276*AZ158+BA276*BA158+BB276*BB158+BC276*BC158+BD276*BD158+BE276*BE158+BF276*BF158+BG276*BG158+BH276*BH158+BI276*BI158+BJ276*BJ158+BK276*BK158+BL276*BL158+BM276*BM158+BN276*BN158+BO276*BO158+BP276*BP158+BQ276*BQ158+BR276*BR158+BS276*BS158+BT276*BT158+BU276*BU158+BV276*BV158+BW276*BW158+BX276*BX158+BY276*BY158+BZ276*BZ158+CA276*CA158+CB276*CB158+CC276*CC158+CD276*CD158+CE276*CE158+CF276*CF158+CG276*CG158+CH276*CH158+CI276*CI158+CJ276*CJ158+CK276*CK158+CL276*CL158+CM276*CM158+CN276*CN158+CO276*CO158+CP276*CP158+CQ276*CQ158+CR276*CR158+CS276*CS158</f>
        <v>0</v>
      </c>
    </row>
    <row r="159" spans="2:110" ht="18" x14ac:dyDescent="0.35">
      <c r="B159" s="1563">
        <v>17</v>
      </c>
      <c r="C159" s="526" t="s">
        <v>240</v>
      </c>
      <c r="D159" s="527" t="s">
        <v>1654</v>
      </c>
      <c r="E159" s="499">
        <f>0</f>
        <v>0</v>
      </c>
      <c r="F159" s="499">
        <f>0</f>
        <v>0</v>
      </c>
      <c r="G159" s="528">
        <f>-1/Y_MEOLO</f>
        <v>-2.5</v>
      </c>
      <c r="H159" s="499">
        <f>0</f>
        <v>0</v>
      </c>
      <c r="I159" s="499">
        <f>0</f>
        <v>0</v>
      </c>
      <c r="J159" s="499">
        <f>0</f>
        <v>0</v>
      </c>
      <c r="K159" s="499">
        <f>0</f>
        <v>0</v>
      </c>
      <c r="L159" s="499">
        <f>0</f>
        <v>0</v>
      </c>
      <c r="M159" s="499">
        <f>0</f>
        <v>0</v>
      </c>
      <c r="N159" s="499">
        <f>0</f>
        <v>0</v>
      </c>
      <c r="O159" s="499">
        <f>0</f>
        <v>0</v>
      </c>
      <c r="P159" s="499">
        <f>0</f>
        <v>0</v>
      </c>
      <c r="Q159" s="499">
        <f>0</f>
        <v>0</v>
      </c>
      <c r="R159" s="499">
        <f>0</f>
        <v>0</v>
      </c>
      <c r="S159" s="499">
        <f>0</f>
        <v>0</v>
      </c>
      <c r="T159" s="499">
        <f>1</f>
        <v>1</v>
      </c>
      <c r="U159" s="499">
        <f>0</f>
        <v>0</v>
      </c>
      <c r="V159" s="499">
        <f>0</f>
        <v>0</v>
      </c>
      <c r="W159" s="499">
        <f>0</f>
        <v>0</v>
      </c>
      <c r="X159" s="499">
        <f>0</f>
        <v>0</v>
      </c>
      <c r="Y159" s="499">
        <f>0</f>
        <v>0</v>
      </c>
      <c r="Z159" s="499">
        <f>0</f>
        <v>0</v>
      </c>
      <c r="AA159" s="499">
        <f>-i_N_BIO</f>
        <v>-7.0000000000000007E-2</v>
      </c>
      <c r="AB159" s="499">
        <f>0</f>
        <v>0</v>
      </c>
      <c r="AC159" s="528">
        <f>-(1-Y_MEOLO)/(E_EQNO2_NO3*Y_MEOLO)</f>
        <v>-1.3131773691513433</v>
      </c>
      <c r="AD159" s="528">
        <f>(1-Y_MEOLO)/(E_EQNO2_NO3*Y_MEOLO)</f>
        <v>1.3131773691513433</v>
      </c>
      <c r="AE159" s="528">
        <f>0</f>
        <v>0</v>
      </c>
      <c r="AF159" s="528">
        <f>0</f>
        <v>0</v>
      </c>
      <c r="AG159" s="528">
        <f>0</f>
        <v>0</v>
      </c>
      <c r="AH159" s="528">
        <f>0</f>
        <v>0</v>
      </c>
      <c r="AI159" s="499">
        <f>0</f>
        <v>0</v>
      </c>
      <c r="AJ159" s="499">
        <f>0</f>
        <v>0</v>
      </c>
      <c r="AK159" s="499">
        <f>0</f>
        <v>0</v>
      </c>
      <c r="AL159" s="499">
        <f>0</f>
        <v>0</v>
      </c>
      <c r="AM159" s="528">
        <f>-i_P_BIO</f>
        <v>-0.02</v>
      </c>
      <c r="AN159" s="499">
        <f>0</f>
        <v>0</v>
      </c>
      <c r="AO159" s="499">
        <f>0</f>
        <v>0</v>
      </c>
      <c r="AP159" s="499">
        <f>0</f>
        <v>0</v>
      </c>
      <c r="AQ159" s="499">
        <f>0</f>
        <v>0</v>
      </c>
      <c r="AR159" s="499">
        <f>0</f>
        <v>0</v>
      </c>
      <c r="AS159" s="499">
        <f>0</f>
        <v>0</v>
      </c>
      <c r="AT159" s="499">
        <f>0</f>
        <v>0</v>
      </c>
      <c r="AU159" s="499">
        <f>0</f>
        <v>0</v>
      </c>
      <c r="AV159" s="528">
        <f>i_CIT_MEOL/Y_MEOLO-i_CIT_BIO</f>
        <v>0.27300000000000002</v>
      </c>
      <c r="AW159" s="528">
        <f>i_INORG</f>
        <v>0.11</v>
      </c>
      <c r="AX159" s="528">
        <f>-i_INORG*(1-i_Ca_INORG*(A_MCa+2*A_MCl)/A_MCa-i_Mg_INORG*(A_MMg+2*A_MCl)/A_MMg)*f_Na</f>
        <v>-2.8804303582798466E-2</v>
      </c>
      <c r="AY159" s="528">
        <f>-i_INORG*(i_Ca_INORG*(2*A_MCl)/A_MCa+i_Mg_INORG*(2*A_MCl)/A_MMg)-i_INORG*(1-i_Ca_INORG*(A_MCa+2*A_MCl)/A_MCa-i_Mg_INORG*(A_MMg+2*A_MCl)/A_MMg)*(1-f_Na)</f>
        <v>-7.0195696417201539E-2</v>
      </c>
      <c r="AZ159" s="528">
        <f>-i_INORG*i_Ca_INORG</f>
        <v>-5.5000000000000005E-3</v>
      </c>
      <c r="BA159" s="528">
        <f>-i_INORG*i_Mg_INORG</f>
        <v>-5.5000000000000005E-3</v>
      </c>
      <c r="BB159" s="528">
        <f>0</f>
        <v>0</v>
      </c>
      <c r="BC159" s="528">
        <f>0</f>
        <v>0</v>
      </c>
      <c r="BD159" s="528">
        <f>0</f>
        <v>0</v>
      </c>
      <c r="BE159" s="528">
        <f>0</f>
        <v>0</v>
      </c>
      <c r="BF159" s="528">
        <f>0</f>
        <v>0</v>
      </c>
      <c r="BG159" s="528">
        <f>0</f>
        <v>0</v>
      </c>
      <c r="BH159" s="528">
        <f>0</f>
        <v>0</v>
      </c>
      <c r="BI159" s="528">
        <f>0</f>
        <v>0</v>
      </c>
      <c r="BJ159" s="528">
        <f>0</f>
        <v>0</v>
      </c>
      <c r="BK159" s="528">
        <f>0</f>
        <v>0</v>
      </c>
      <c r="BL159" s="528">
        <f>0</f>
        <v>0</v>
      </c>
      <c r="BM159" s="528">
        <f>0</f>
        <v>0</v>
      </c>
      <c r="BN159" s="528">
        <f>0</f>
        <v>0</v>
      </c>
      <c r="BO159" s="528">
        <f>0</f>
        <v>0</v>
      </c>
      <c r="BP159" s="528">
        <f>0</f>
        <v>0</v>
      </c>
      <c r="BQ159" s="528">
        <f>0</f>
        <v>0</v>
      </c>
      <c r="BR159" s="528">
        <f>0</f>
        <v>0</v>
      </c>
      <c r="BS159" s="528">
        <f>0</f>
        <v>0</v>
      </c>
      <c r="BT159" s="528">
        <f>0</f>
        <v>0</v>
      </c>
      <c r="BU159" s="528">
        <f>0</f>
        <v>0</v>
      </c>
      <c r="BV159" s="528">
        <f>0</f>
        <v>0</v>
      </c>
      <c r="BW159" s="2354">
        <f>0</f>
        <v>0</v>
      </c>
      <c r="BX159" s="2354">
        <f>0</f>
        <v>0</v>
      </c>
      <c r="BY159" s="2354">
        <f>0</f>
        <v>0</v>
      </c>
      <c r="BZ159" s="2354">
        <f>0</f>
        <v>0</v>
      </c>
      <c r="CA159" s="528">
        <f>0</f>
        <v>0</v>
      </c>
      <c r="CB159" s="528">
        <f>0</f>
        <v>0</v>
      </c>
      <c r="CC159" s="528">
        <f>0</f>
        <v>0</v>
      </c>
      <c r="CD159" s="528">
        <f>0</f>
        <v>0</v>
      </c>
      <c r="CE159" s="528">
        <f>0</f>
        <v>0</v>
      </c>
      <c r="CF159" s="528">
        <f>0</f>
        <v>0</v>
      </c>
      <c r="CG159" s="528">
        <f>0</f>
        <v>0</v>
      </c>
      <c r="CH159" s="528">
        <f>0</f>
        <v>0</v>
      </c>
      <c r="CI159" s="528">
        <f>0</f>
        <v>0</v>
      </c>
      <c r="CJ159" s="528">
        <f>0</f>
        <v>0</v>
      </c>
      <c r="CK159" s="528">
        <f>0</f>
        <v>0</v>
      </c>
      <c r="CL159" s="528">
        <f>0</f>
        <v>0</v>
      </c>
      <c r="CM159" s="528">
        <f>0</f>
        <v>0</v>
      </c>
      <c r="CN159" s="528">
        <f>0</f>
        <v>0</v>
      </c>
      <c r="CO159" s="528">
        <f>0</f>
        <v>0</v>
      </c>
      <c r="CP159" s="528">
        <f>0</f>
        <v>0</v>
      </c>
      <c r="CQ159" s="528">
        <f>0</f>
        <v>0</v>
      </c>
      <c r="CR159" s="528">
        <f>0</f>
        <v>0</v>
      </c>
      <c r="CS159" s="528">
        <f>0</f>
        <v>0</v>
      </c>
      <c r="CT159" s="2481">
        <f>µ_MEOLO_T*X_MEOLO*M_satSMEOL_KMEOL*M_satSNO3_KNO3_MEOLO*M_inhSNO2_KNO2_MEOLO*M_inhSO2_KiO2_MEOLO*M_satSNHx_KNHx_BIO*M_satSPO4_KPO4_BIO*M_satSCAT_KCAT*M_satSAN_KAN*M_satSCa_KCa*M_satSMg_KMg*B_ellinhpH</f>
        <v>0</v>
      </c>
      <c r="CV159" s="2502">
        <f>E266*E159+F266*F159+G266*G159+H266*H159+I266*I159+J266*J159+K266*K159+L266*L159+M266*M159+N266*N159+O266*O159+P266*P159+Q266*Q159+R266*R159+S266*S159+T266*T159+U266*U159+V266*V159+W266*W159+X266*X159+Y266*Y159+Z266*Z159+AA266*AA159+AB266*AB159+AC266*AC159+AD266*AD159+AE266*AE159+AF266*AF159+AG266*AG159+AH266*AH159+AI266*AI159+AJ266*AJ159+AK266*AK159+AL266*AL159+AM266*AM159+AN266*AN159+AO266*AO159+AP266*AP159+AQ266*AQ159+AR266*AR159+AS266*AS159+AT266*AT159+AU266*AU159+AV266*AV159+AW266*AW159+AX266*AX159+AY266*AY159+AZ266*AZ159+BA266*BA159+BB266*BB159+BC266*BC159+BD266*BD159+BE266*BE159+BF266*BF159+BG266*BG159+BH266*BH159+BI266*BI159+BJ266*BJ159+BK266*BK159+BL266*BL159+BM266*BM159+BN266*BN159+BO266*BO159+BP266*BP159+BQ266*BQ159+BR266*BR159+BS266*BS159+BT266*BT159+BU266*BU159+BV266*BV159+BW266*BW159+BX266*BX159+BY266*BY159+BZ266*BZ159+CA266*CA159+CB266*CB159+CC266*CC159+CD266*CD159+CE266*CE159+CF266*CF159+CG266*CG159+CH266*CH159+CI266*CI159+CJ266*CJ159+CK266*CK159+CL266*CL159+CM266*CM159+CN266*CN159+CO266*CO159+CP266*CP159+CQ266*CQ159+CR266*CR159+CS266*CS159</f>
        <v>0</v>
      </c>
      <c r="CW159" s="2502">
        <f>E267*E159+F267*F159+G267*G159+H267*H159+I267*I159+J267*J159+K267*K159+L267*L159+M267*M159+N267*N159+O267*O159+P267*P159+Q267*Q159+R267*R159+S267*S159+T267*T159+U267*U159+V267*V159+W267*W159+X267*X159+Y267*Y159+Z267*Z159+AA267*AA159+AB267*AB159+AC267*AC159+AD267*AD159+AE267*AE159+AF267*AF159+AG267*AG159+AH267*AH159+AI267*AI159+AJ267*AJ159+AK267*AK159+AL267*AL159+AM267*AM159+AN267*AN159+AO267*AO159+AP267*AP159+AQ267*AQ159+AR267*AR159+AS267*AS159+AT267*AT159+AU267*AU159+AV267*AV159+AW267*AW159+AX267*AX159+AY267*AY159+AZ267*AZ159+BA267*BA159+BB267*BB159+BC267*BC159+BD267*BD159+BE267*BE159+BF267*BF159+BG267*BG159+BH267*BH159+BI267*BI159+BJ267*BJ159+BK267*BK159+BL267*BL159+BM267*BM159+BN267*BN159+BO267*BO159+BP267*BP159+BQ267*BQ159+BR267*BR159+BS267*BS159+BT267*BT159+BU267*BU159+BV267*BV159+BW267*BW159+BX267*BX159+BY267*BY159+BZ267*BZ159+CA267*CA159+CB267*CB159+CC267*CC159+CD267*CD159+CE267*CE159+CF267*CF159+CG267*CG159+CH267*CH159+CI267*CI159+CJ267*CJ159+CK267*CK159+CL267*CL159+CM267*CM159+CN267*CN159+CO267*CO159+CP267*CP159+CQ267*CQ159+CR267*CR159+CS267*CS159</f>
        <v>0</v>
      </c>
      <c r="CX159" s="2503">
        <f>E268*E159+F268*F159+G268*G159+H268*H159+I268*I159+J268*J159+K268*K159+L268*L159+M268*M159+N268*N159+O268*O159+P268*P159+Q268*Q159+R268*R159+S268*S159+T268*T159+U268*U159+V268*V159+W268*W159+X268*X159+Y268*Y159+Z268*Z159+AA268*AA159+AB268*AB159+AC268*AC159+AD268*AD159+AE268*AE159+AF268*AF159+AG268*AG159+AH268*AH159+AI268*AI159+AJ268*AJ159+AK268*AK159+AL268*AL159+AM268*AM159+AN268*AN159+AO268*AO159+AP268*AP159+AQ268*AQ159+AR268*AR159+AS268*AS159+AT268*AT159+AU268*AU159+AV268*AV159+AW268*AW159+AX268*AX159+AY268*AY159+AZ268*AZ159+BA268*BA159+BB268*BB159+BC268*BC159+BD268*BD159+BE268*BE159+BF268*BF159+BG268*BG159+BH268*BH159+BI268*BI159+BJ268*BJ159+BK268*BK159+BL268*BL159+BM268*BM159+BN268*BN159+BO268*BO159+BP268*BP159+BQ268*BQ159+BR268*BR159+BS268*BS159+BT268*BT159+BU268*BU159+BV268*BV159+BW268*BW159+BX268*BX159+BY268*BY159+BZ268*BZ159+CA268*CA159+CB268*CB159+CC268*CC159+CD268*CD159+CE268*CE159+CF268*CF159+CG268*CG159+CH268*CH159+CI268*CI159+CJ268*CJ159+CK268*CK159+CL268*CL159+CM268*CM159+CN268*CN159+CO268*CO159+CP268*CP159+CQ268*CQ159+CR268*CR159+CS268*CS159</f>
        <v>0</v>
      </c>
      <c r="CY159" s="2504">
        <f>E269*E159+F269*F159+G269*G159+H269*H159+I269*I159+J269*J159+K269*K159+L269*L159+M269*M159+N269*N159+O269*O159+P269*P159+Q269*Q159+R269*R159+S269*S159+T269*T159+U269*U159+V269*V159+W269*W159+X269*X159+Y269*Y159+Z269*Z159+AA269*AA159+AB269*AB159+AC269*AC159+AD269*AD159+AE269*AE159+AF269*AF159+AG269*AG159+AH269*AH159+AI269*AI159+AJ269*AJ159+AK269*AK159+AL269*AL159+AM269*AM159+AN269*AN159+AO269*AO159+AP269*AP159+AQ269*AQ159+AR269*AR159+AS269*AS159+AT269*AT159+AU269*AU159+AV269*AV159+AW269*AW159+AX269*AX159+AY269*AY159+AZ269*AZ159+BA269*BA159+BB269*BB159+BC269*BC159+BD269*BD159+BE269*BE159+BF269*BF159+BG269*BG159+BH269*BH159+BI269*BI159+BJ269*BJ159+BK269*BK159+BL269*BL159+BM269*BM159+BN269*BN159+BO269*BO159+BP269*BP159+BQ269*BQ159+BR269*BR159+BS269*BS159+BT269*BT159+BU269*BU159+BV269*BV159+BW269*BW159+BX269*BX159+BY269*BY159+BZ269*BZ159+CA269*CA159+CB269*CB159+CC269*CC159+CD269*CD159+CE269*CE159+CF269*CF159+CG269*CG159+CH269*CH159+CI269*CI159+CJ269*CJ159+CK269*CK159+CL269*CL159+CM269*CM159+CN269*CN159+CO269*CO159+CP269*CP159+CQ269*CQ159+CR269*CR159+CS269*CS159</f>
        <v>0</v>
      </c>
      <c r="CZ159" s="2504">
        <f>E270*E159+F270*F159+G270*G159+H270*H159+I270*I159+J270*J159+K270*K159+L270*L159+M270*M159+N270*N159+O270*O159+P270*P159+Q270*Q159+R270*R159+S270*S159+T270*T159+U270*U159+V270*V159+W270*W159+X270*X159+Y270*Y159+Z270*Z159+AA270*AA159+AB270*AB159+AC270*AC159+AD270*AD159+AE270*AE159+AF270*AF159+AG270*AG159+AH270*AH159+AI270*AI159+AJ270*AJ159+AK270*AK159+AL270*AL159+AM270*AM159+AN270*AN159+AO270*AO159+AP270*AP159+AQ270*AQ159+AR270*AR159+AS270*AS159+AT270*AT159+AU270*AU159+AV270*AV159+AW270*AW159+AX270*AX159+AY270*AY159+AZ270*AZ159+BA270*BA159+BB270*BB159+BC270*BC159+BD270*BD159+BE270*BE159+BF270*BF159+BG270*BG159+BH270*BH159+BI270*BI159+BJ270*BJ159+BK270*BK159+BL270*BL159+BM270*BM159+BN270*BN159+BO270*BO159+BP270*BP159+BQ270*BQ159+BR270*BR159+BS270*BS159+BT270*BT159+BU270*BU159+BV270*BV159+BW270*BW159+BX270*BX159+BY270*BY159+BZ270*BZ159+CA270*CA159+CB270*CB159+CC270*CC159+CD270*CD159+CE270*CE159+CF270*CF159+CG270*CG159+CH270*CH159+CI270*CI159+CJ270*CJ159+CK270*CK159+CL270*CL159+CM270*CM159+CN270*CN159+CO270*CO159+CP270*CP159+CQ270*CQ159+CR270*CR159+CS270*CS159</f>
        <v>0</v>
      </c>
      <c r="DA159" s="2504">
        <f>E271*E159+F271*F159+G271*G159+H271*H159+I271*I159+J271*J159+K271*K159+L271*L159+M271*M159+N271*N159+O271*O159+P271*P159+Q271*Q159+R271*R159+S271*S159+T271*T159+U271*U159+V271*V159+W271*W159+X271*X159+Y271*Y159+Z271*Z159+AA271*AA159+AB271*AB159+AC271*AC159+AD271*AD159+AE271*AE159+AF271*AF159+AG271*AG159+AH271*AH159+AI271*AI159+AJ271*AJ159+AK271*AK159+AL271*AL159+AM271*AM159+AN271*AN159+AO271*AO159+AP271*AP159+AQ271*AQ159+AR271*AR159+AS271*AS159+AT271*AT159+AU271*AU159+AV271*AV159+AW271*AW159+AX271*AX159+AY271*AY159+AZ271*AZ159+BA271*BA159+BB271*BB159+BC271*BC159+BD271*BD159+BE271*BE159+BF271*BF159+BG271*BG159+BH271*BH159+BI271*BI159+BJ271*BJ159+BK271*BK159+BL271*BL159+BM271*BM159+BN271*BN159+BO271*BO159+BP271*BP159+BQ271*BQ159+BR271*BR159+BS271*BS159+BT271*BT159+BU271*BU159+BV271*BV159+BW271*BW159+BX271*BX159+BY271*BY159+BZ271*BZ159+CA271*CA159+CB271*CB159+CC271*CC159+CD271*CD159+CE271*CE159+CF271*CF159+CG271*CG159+CH271*CH159+CI271*CI159+CJ271*CJ159+CK271*CK159+CL271*CL159+CM271*CM159+CN271*CN159+CO271*CO159+CP271*CP159+CQ271*CQ159+CR271*CR159+CS271*CS159</f>
        <v>0</v>
      </c>
      <c r="DB159" s="2504">
        <f>E272*E159+F272*F159+G272*G159+H272*H159+I272*I159+J272*J159+K272*K159+L272*L159+M272*M159+N272*N159+O272*O159+P272*P159+Q272*Q159+R272*R159+S272*S159+T272*T159+U272*U159+V272*V159+W272*W159+X272*X159+Y272*Y159+Z272*Z159+AA272*AA159+AB272*AB159+AC272*AC159+AD272*AD159+AE272*AE159+AF272*AF159+AG272*AG159+AH272*AH159+AI272*AI159+AJ272*AJ159+AK272*AK159+AL272*AL159+AM272*AM159+AN272*AN159+AO272*AO159+AP272*AP159+AQ272*AQ159+AR272*AR159+AS272*AS159+AT272*AT159+AU272*AU159+AV272*AV159+AW272*AW159+AX272*AX159+AY272*AY159+AZ272*AZ159+BA272*BA159+BB272*BB159+BC272*BC159+BD272*BD159+BE272*BE159+BF272*BF159+BG272*BG159+BH272*BH159+BI272*BI159+BJ272*BJ159+BK272*BK159+BL272*BL159+BM272*BM159+BN272*BN159+BO272*BO159+BP272*BP159+BQ272*BQ159+BR272*BR159+BS272*BS159+BT272*BT159+BU272*BU159+BV272*BV159+BW272*BW159+BX272*BX159+BY272*BY159+BZ272*BZ159+CA272*CA159+CB272*CB159+CC272*CC159+CD272*CD159+CE272*CE159+CF272*CF159+CG272*CG159+CH272*CH159+CI272*CI159+CJ272*CJ159+CK272*CK159+CL272*CL159+CM272*CM159+CN272*CN159+CO272*CO159+CP272*CP159+CQ272*CQ159+CR272*CR159+CS272*CS159</f>
        <v>0</v>
      </c>
      <c r="DC159" s="2504">
        <f>E273*E159+F273*F159+G273*G159+H273*H159+I273*I159+J273*J159+K273*K159+L273*L159+M273*M159+N273*N159+O273*O159+P273*P159+Q273*Q159+R273*R159+S273*S159+T273*T159+U273*U159+V273*V159+W273*W159+X273*X159+Y273*Y159+Z273*Z159+AA273*AA159+AB273*AB159+AC273*AC159+AD273*AD159+AE273*AE159+AF273*AF159+AG273*AG159+AH273*AH159+AI273*AI159+AJ273*AJ159+AK273*AK159+AL273*AL159+AM273*AM159+AN273*AN159+AO273*AO159+AP273*AP159+AQ273*AQ159+AR273*AR159+AS273*AS159+AT273*AT159+AU273*AU159+AV273*AV159+AW273*AW159+AX273*AX159+AY273*AY159+AZ273*AZ159+BA273*BA159+BB273*BB159+BC273*BC159+BD273*BD159+BE273*BE159+BF273*BF159+BG273*BG159+BH273*BH159+BI273*BI159+BJ273*BJ159+BK273*BK159+BL273*BL159+BM273*BM159+BN273*BN159+BO273*BO159+BP273*BP159+BQ273*BQ159+BR273*BR159+BS273*BS159+BT273*BT159+BU273*BU159+BV273*BV159+BW273*BW159+BX273*BX159+BY273*BY159+BZ273*BZ159+CA273*CA159+CB273*CB159+CC273*CC159+CD273*CD159+CE273*CE159+CF273*CF159+CG273*CG159+CH273*CH159+CI273*CI159+CJ273*CJ159+CK273*CK159+CL273*CL159+CM273*CM159+CN273*CN159+CO273*CO159+CP273*CP159+CQ273*CQ159+CR273*CR159+CS273*CS159</f>
        <v>0</v>
      </c>
      <c r="DD159" s="2504">
        <f>E274*E159+F274*F159+G274*G159+H274*H159+I274*I159+J274*J159+K274*K159+L274*L159+M274*M159+N274*N159+O274*O159+P274*P159+Q274*Q159+R274*R159+S274*S159+T274*T159+U274*U159+V274*V159+W274*W159+X274*X159+Y274*Y159+Z274*Z159+AA274*AA159+AB274*AB159+AC274*AC159+AD274*AD159+AE274*AE159+AF274*AF159+AG274*AG159+AH274*AH159+AI274*AI159+AJ274*AJ159+AK274*AK159+AL274*AL159+AM274*AM159+AN274*AN159+AO274*AO159+AP274*AP159+AQ274*AQ159+AR274*AR159+AS274*AS159+AT274*AT159+AU274*AU159+AV274*AV159+AW274*AW159+AX274*AX159+AY274*AY159+AZ274*AZ159+BA274*BA159+BB274*BB159+BC274*BC159+BD274*BD159+BE274*BE159+BF274*BF159+BG274*BG159+BH274*BH159+BI274*BI159+BJ274*BJ159+BK274*BK159+BL274*BL159+BM274*BM159+BN274*BN159+BO274*BO159+BP274*BP159+BQ274*BQ159+BR274*BR159+BS274*BS159+BT274*BT159+BU274*BU159+BV274*BV159+BW274*BW159+BX274*BX159+BY274*BY159+BZ274*BZ159+CA274*CA159+CB274*CB159+CC274*CC159+CD274*CD159+CE274*CE159+CF274*CF159+CG274*CG159+CH274*CH159+CI274*CI159+CJ274*CJ159+CK274*CK159+CL274*CL159+CM274*CM159+CN274*CN159+CO274*CO159+CP274*CP159+CQ274*CQ159+CR274*CR159+CS274*CS159</f>
        <v>0</v>
      </c>
      <c r="DE159" s="2504">
        <f>E275*E159+F275*F159+G275*G159+H275*H159+I275*I159+J275*J159+K275*K159+L275*L159+M275*M159+N275*N159+O275*O159+P275*P159+Q275*Q159+R275*R159+S275*S159+T275*T159+U275*U159+V275*V159+W275*W159+X275*X159+Y275*Y159+Z275*Z159+AA275*AA159+AB275*AB159+AC275*AC159+AD275*AD159+AE275*AE159+AF275*AF159+AG275*AG159+AH275*AH159+AI275*AI159+AJ275*AJ159+AK275*AK159+AL275*AL159+AM275*AM159+AN275*AN159+AO275*AO159+AP275*AP159+AQ275*AQ159+AR275*AR159+AS275*AS159+AT275*AT159+AU275*AU159+AV275*AV159+AW275*AW159+AX275*AX159+AY275*AY159+AZ275*AZ159+BA275*BA159+BB275*BB159+BC275*BC159+BD275*BD159+BE275*BE159+BF275*BF159+BG275*BG159+BH275*BH159+BI275*BI159+BJ275*BJ159+BK275*BK159+BL275*BL159+BM275*BM159+BN275*BN159+BO275*BO159+BP275*BP159+BQ275*BQ159+BR275*BR159+BS275*BS159+BT275*BT159+BU275*BU159+BV275*BV159+BW275*BW159+BX275*BX159+BY275*BY159+BZ275*BZ159+CA275*CA159+CB275*CB159+CC275*CC159+CD275*CD159+CE275*CE159+CF275*CF159+CG275*CG159+CH275*CH159+CI275*CI159+CJ275*CJ159+CK275*CK159+CL275*CL159+CM275*CM159+CN275*CN159+CO275*CO159+CP275*CP159+CQ275*CQ159+CR275*CR159+CS275*CS159</f>
        <v>0</v>
      </c>
      <c r="DF159" s="2504">
        <f>E276*E159+F276*F159+G276*G159+H276*H159+I276*I159+J276*J159+K276*K159+L276*L159+M276*M159+N276*N159+O276*O159+P276*P159+Q276*Q159+R276*R159+S276*S159+T276*T159+U276*U159+V276*V159+W276*W159+X276*X159+Y276*Y159+Z276*Z159+AA276*AA159+AB276*AB159+AC276*AC159+AD276*AD159+AE276*AE159+AF276*AF159+AG276*AG159+AH276*AH159+AI276*AI159+AJ276*AJ159+AK276*AK159+AL276*AL159+AM276*AM159+AN276*AN159+AO276*AO159+AP276*AP159+AQ276*AQ159+AR276*AR159+AS276*AS159+AT276*AT159+AU276*AU159+AV276*AV159+AW276*AW159+AX276*AX159+AY276*AY159+AZ276*AZ159+BA276*BA159+BB276*BB159+BC276*BC159+BD276*BD159+BE276*BE159+BF276*BF159+BG276*BG159+BH276*BH159+BI276*BI159+BJ276*BJ159+BK276*BK159+BL276*BL159+BM276*BM159+BN276*BN159+BO276*BO159+BP276*BP159+BQ276*BQ159+BR276*BR159+BS276*BS159+BT276*BT159+BU276*BU159+BV276*BV159+BW276*BW159+BX276*BX159+BY276*BY159+BZ276*BZ159+CA276*CA159+CB276*CB159+CC276*CC159+CD276*CD159+CE276*CE159+CF276*CF159+CG276*CG159+CH276*CH159+CI276*CI159+CJ276*CJ159+CK276*CK159+CL276*CL159+CM276*CM159+CN276*CN159+CO276*CO159+CP276*CP159+CQ276*CQ159+CR276*CR159+CS276*CS159</f>
        <v>0</v>
      </c>
    </row>
    <row r="160" spans="2:110" x14ac:dyDescent="0.25">
      <c r="B160" s="1563">
        <v>18</v>
      </c>
      <c r="C160" s="526" t="s">
        <v>241</v>
      </c>
      <c r="D160" s="527" t="s">
        <v>290</v>
      </c>
      <c r="E160" s="499">
        <f>0</f>
        <v>0</v>
      </c>
      <c r="F160" s="499">
        <f>0</f>
        <v>0</v>
      </c>
      <c r="G160" s="499">
        <f>0</f>
        <v>0</v>
      </c>
      <c r="H160" s="499">
        <f>0</f>
        <v>0</v>
      </c>
      <c r="I160" s="499">
        <f>0</f>
        <v>0</v>
      </c>
      <c r="J160" s="499">
        <f>1-f_E</f>
        <v>0.92</v>
      </c>
      <c r="K160" s="499">
        <f>0</f>
        <v>0</v>
      </c>
      <c r="L160" s="499">
        <f>0</f>
        <v>0</v>
      </c>
      <c r="M160" s="499">
        <f>0</f>
        <v>0</v>
      </c>
      <c r="N160" s="499">
        <f>0</f>
        <v>0</v>
      </c>
      <c r="O160" s="499">
        <f>0</f>
        <v>0</v>
      </c>
      <c r="P160" s="499">
        <f>f_E</f>
        <v>0.08</v>
      </c>
      <c r="Q160" s="499">
        <f>0</f>
        <v>0</v>
      </c>
      <c r="R160" s="499">
        <f>0</f>
        <v>0</v>
      </c>
      <c r="S160" s="499">
        <f>0</f>
        <v>0</v>
      </c>
      <c r="T160" s="499">
        <f>-1</f>
        <v>-1</v>
      </c>
      <c r="U160" s="499">
        <f>0</f>
        <v>0</v>
      </c>
      <c r="V160" s="499">
        <f>0</f>
        <v>0</v>
      </c>
      <c r="W160" s="499">
        <f>0</f>
        <v>0</v>
      </c>
      <c r="X160" s="499">
        <f>0</f>
        <v>0</v>
      </c>
      <c r="Y160" s="499">
        <f>0</f>
        <v>0</v>
      </c>
      <c r="Z160" s="499">
        <f>0</f>
        <v>0</v>
      </c>
      <c r="AA160" s="499">
        <f>-f_E*(i_N_XE-i_N_BIO)</f>
        <v>8.0000000000000069E-4</v>
      </c>
      <c r="AB160" s="499">
        <f>0</f>
        <v>0</v>
      </c>
      <c r="AC160" s="499">
        <f>0</f>
        <v>0</v>
      </c>
      <c r="AD160" s="499">
        <f>0</f>
        <v>0</v>
      </c>
      <c r="AE160" s="499">
        <f>0</f>
        <v>0</v>
      </c>
      <c r="AF160" s="499">
        <f>0</f>
        <v>0</v>
      </c>
      <c r="AG160" s="499">
        <f>0</f>
        <v>0</v>
      </c>
      <c r="AH160" s="499">
        <f>0</f>
        <v>0</v>
      </c>
      <c r="AI160" s="499">
        <f>0</f>
        <v>0</v>
      </c>
      <c r="AJ160" s="499">
        <f>0</f>
        <v>0</v>
      </c>
      <c r="AK160" s="499">
        <f>(1-f_E)*i_N_BIO</f>
        <v>6.4400000000000013E-2</v>
      </c>
      <c r="AL160" s="499">
        <f>0</f>
        <v>0</v>
      </c>
      <c r="AM160" s="499">
        <f>0</f>
        <v>0</v>
      </c>
      <c r="AN160" s="499">
        <f>0</f>
        <v>0</v>
      </c>
      <c r="AO160" s="499">
        <f>0</f>
        <v>0</v>
      </c>
      <c r="AP160" s="499">
        <f>0</f>
        <v>0</v>
      </c>
      <c r="AQ160" s="499">
        <f>(1-f_E)*i_P_BIO</f>
        <v>1.84E-2</v>
      </c>
      <c r="AR160" s="499">
        <f>0</f>
        <v>0</v>
      </c>
      <c r="AS160" s="499">
        <f>0</f>
        <v>0</v>
      </c>
      <c r="AT160" s="499">
        <f>0</f>
        <v>0</v>
      </c>
      <c r="AU160" s="499">
        <f>0</f>
        <v>0</v>
      </c>
      <c r="AV160" s="499">
        <f>(1-f_E)*(i_CIT_BIO-i_CIT_XBe)</f>
        <v>6.0720000000000003E-2</v>
      </c>
      <c r="AW160" s="499">
        <f>0</f>
        <v>0</v>
      </c>
      <c r="AX160" s="528">
        <f>0</f>
        <v>0</v>
      </c>
      <c r="AY160" s="528">
        <f>0</f>
        <v>0</v>
      </c>
      <c r="AZ160" s="528">
        <f>0</f>
        <v>0</v>
      </c>
      <c r="BA160" s="528">
        <f>0</f>
        <v>0</v>
      </c>
      <c r="BB160" s="528">
        <f>0</f>
        <v>0</v>
      </c>
      <c r="BC160" s="528">
        <f>0</f>
        <v>0</v>
      </c>
      <c r="BD160" s="528">
        <f>0</f>
        <v>0</v>
      </c>
      <c r="BE160" s="528">
        <f>0</f>
        <v>0</v>
      </c>
      <c r="BF160" s="528">
        <f>0</f>
        <v>0</v>
      </c>
      <c r="BG160" s="528">
        <f>0</f>
        <v>0</v>
      </c>
      <c r="BH160" s="528">
        <f>0</f>
        <v>0</v>
      </c>
      <c r="BI160" s="528">
        <f>0</f>
        <v>0</v>
      </c>
      <c r="BJ160" s="528">
        <f>0</f>
        <v>0</v>
      </c>
      <c r="BK160" s="528">
        <f>0</f>
        <v>0</v>
      </c>
      <c r="BL160" s="528">
        <f>0</f>
        <v>0</v>
      </c>
      <c r="BM160" s="528">
        <f>0</f>
        <v>0</v>
      </c>
      <c r="BN160" s="528">
        <f>0</f>
        <v>0</v>
      </c>
      <c r="BO160" s="528">
        <f>0</f>
        <v>0</v>
      </c>
      <c r="BP160" s="528">
        <f>0</f>
        <v>0</v>
      </c>
      <c r="BQ160" s="528">
        <f>0</f>
        <v>0</v>
      </c>
      <c r="BR160" s="528">
        <f>0</f>
        <v>0</v>
      </c>
      <c r="BS160" s="528">
        <f>0</f>
        <v>0</v>
      </c>
      <c r="BT160" s="528">
        <f>0</f>
        <v>0</v>
      </c>
      <c r="BU160" s="528">
        <f>0</f>
        <v>0</v>
      </c>
      <c r="BV160" s="528">
        <f>0</f>
        <v>0</v>
      </c>
      <c r="BW160" s="2354">
        <f>0</f>
        <v>0</v>
      </c>
      <c r="BX160" s="2354">
        <f>0</f>
        <v>0</v>
      </c>
      <c r="BY160" s="2354">
        <f>0</f>
        <v>0</v>
      </c>
      <c r="BZ160" s="2354">
        <f>0</f>
        <v>0</v>
      </c>
      <c r="CA160" s="528">
        <f>0</f>
        <v>0</v>
      </c>
      <c r="CB160" s="528">
        <f>0</f>
        <v>0</v>
      </c>
      <c r="CC160" s="528">
        <f>0</f>
        <v>0</v>
      </c>
      <c r="CD160" s="528">
        <f>0</f>
        <v>0</v>
      </c>
      <c r="CE160" s="528">
        <f>0</f>
        <v>0</v>
      </c>
      <c r="CF160" s="528">
        <f>0</f>
        <v>0</v>
      </c>
      <c r="CG160" s="528">
        <f>0</f>
        <v>0</v>
      </c>
      <c r="CH160" s="528">
        <f>0</f>
        <v>0</v>
      </c>
      <c r="CI160" s="528">
        <f>0</f>
        <v>0</v>
      </c>
      <c r="CJ160" s="528">
        <f>0</f>
        <v>0</v>
      </c>
      <c r="CK160" s="528">
        <f>0</f>
        <v>0</v>
      </c>
      <c r="CL160" s="528">
        <f>0</f>
        <v>0</v>
      </c>
      <c r="CM160" s="528">
        <f>0</f>
        <v>0</v>
      </c>
      <c r="CN160" s="528">
        <f>0</f>
        <v>0</v>
      </c>
      <c r="CO160" s="528">
        <f>0</f>
        <v>0</v>
      </c>
      <c r="CP160" s="528">
        <f>0</f>
        <v>0</v>
      </c>
      <c r="CQ160" s="528">
        <f>0</f>
        <v>0</v>
      </c>
      <c r="CR160" s="528">
        <f>0</f>
        <v>0</v>
      </c>
      <c r="CS160" s="528">
        <f>0</f>
        <v>0</v>
      </c>
      <c r="CT160" s="2481">
        <f>b_MEOLO_T*X_MEOLO*(M_satSO2_KiO2_MEOLO+η_b_anox*M_satSNO2_KNO2_MEOLO*M_inhSO2_KiO2_MEOLO+m_tox_anox*M_satSNO3_KNO3_MEOLO*M_inhSNO2_KNO2_MEOLO*M_inhSO2_KiO2_MEOLO)</f>
        <v>5.0294816066972559E-2</v>
      </c>
      <c r="CV160" s="2502">
        <f>E266*E160+F266*F160+G266*G160+H266*H160+I266*I160+J266*J160+K266*K160+L266*L160+M266*M160+N266*N160+O266*O160+P266*P160+Q266*Q160+R266*R160+S266*S160+T266*T160+U266*U160+V266*V160+W266*W160+X266*X160+Y266*Y160+Z266*Z160+AA266*AA160+AB266*AB160+AC266*AC160+AD266*AD160+AE266*AE160+AF266*AF160+AG266*AG160+AH266*AH160+AI266*AI160+AJ266*AJ160+AK266*AK160+AL266*AL160+AM266*AM160+AN266*AN160+AO266*AO160+AP266*AP160+AQ266*AQ160+AR266*AR160+AS266*AS160+AT266*AT160+AU266*AU160+AV266*AV160+AW266*AW160+AX266*AX160+AY266*AY160+AZ266*AZ160+BA266*BA160+BB266*BB160+BC266*BC160+BD266*BD160+BE266*BE160+BF266*BF160+BG266*BG160+BH266*BH160+BI266*BI160+BJ266*BJ160+BK266*BK160+BL266*BL160+BM266*BM160+BN266*BN160+BO266*BO160+BP266*BP160+BQ266*BQ160+BR266*BR160+BS266*BS160+BT266*BT160+BU266*BU160+BV266*BV160+BW266*BW160+BX266*BX160+BY266*BY160+BZ266*BZ160+CA266*CA160+CB266*CB160+CC266*CC160+CD266*CD160+CE266*CE160+CF266*CF160+CG266*CG160+CH266*CH160+CI266*CI160+CJ266*CJ160+CK266*CK160+CL266*CL160+CM266*CM160+CN266*CN160+CO266*CO160+CP266*CP160+CQ266*CQ160+CR266*CR160+CS266*CS160</f>
        <v>0</v>
      </c>
      <c r="CW160" s="2502">
        <f>E267*E160+F267*F160+G267*G160+H267*H160+I267*I160+J267*J160+K267*K160+L267*L160+M267*M160+N267*N160+O267*O160+P267*P160+Q267*Q160+R267*R160+S267*S160+T267*T160+U267*U160+V267*V160+W267*W160+X267*X160+Y267*Y160+Z267*Z160+AA267*AA160+AB267*AB160+AC267*AC160+AD267*AD160+AE267*AE160+AF267*AF160+AG267*AG160+AH267*AH160+AI267*AI160+AJ267*AJ160+AK267*AK160+AL267*AL160+AM267*AM160+AN267*AN160+AO267*AO160+AP267*AP160+AQ267*AQ160+AR267*AR160+AS267*AS160+AT267*AT160+AU267*AU160+AV267*AV160+AW267*AW160+AX267*AX160+AY267*AY160+AZ267*AZ160+BA267*BA160+BB267*BB160+BC267*BC160+BD267*BD160+BE267*BE160+BF267*BF160+BG267*BG160+BH267*BH160+BI267*BI160+BJ267*BJ160+BK267*BK160+BL267*BL160+BM267*BM160+BN267*BN160+BO267*BO160+BP267*BP160+BQ267*BQ160+BR267*BR160+BS267*BS160+BT267*BT160+BU267*BU160+BV267*BV160+BW267*BW160+BX267*BX160+BY267*BY160+BZ267*BZ160+CA267*CA160+CB267*CB160+CC267*CC160+CD267*CD160+CE267*CE160+CF267*CF160+CG267*CG160+CH267*CH160+CI267*CI160+CJ267*CJ160+CK267*CK160+CL267*CL160+CM267*CM160+CN267*CN160+CO267*CO160+CP267*CP160+CQ267*CQ160+CR267*CR160+CS267*CS160</f>
        <v>6.9388939039072284E-18</v>
      </c>
      <c r="CX160" s="2503">
        <f>E268*E160+F268*F160+G268*G160+H268*H160+I268*I160+J268*J160+K268*K160+L268*L160+M268*M160+N268*N160+O268*O160+P268*P160+Q268*Q160+R268*R160+S268*S160+T268*T160+U268*U160+V268*V160+W268*W160+X268*X160+Y268*Y160+Z268*Z160+AA268*AA160+AB268*AB160+AC268*AC160+AD268*AD160+AE268*AE160+AF268*AF160+AG268*AG160+AH268*AH160+AI268*AI160+AJ268*AJ160+AK268*AK160+AL268*AL160+AM268*AM160+AN268*AN160+AO268*AO160+AP268*AP160+AQ268*AQ160+AR268*AR160+AS268*AS160+AT268*AT160+AU268*AU160+AV268*AV160+AW268*AW160+AX268*AX160+AY268*AY160+AZ268*AZ160+BA268*BA160+BB268*BB160+BC268*BC160+BD268*BD160+BE268*BE160+BF268*BF160+BG268*BG160+BH268*BH160+BI268*BI160+BJ268*BJ160+BK268*BK160+BL268*BL160+BM268*BM160+BN268*BN160+BO268*BO160+BP268*BP160+BQ268*BQ160+BR268*BR160+BS268*BS160+BT268*BT160+BU268*BU160+BV268*BV160+BW268*BW160+BX268*BX160+BY268*BY160+BZ268*BZ160+CA268*CA160+CB268*CB160+CC268*CC160+CD268*CD160+CE268*CE160+CF268*CF160+CG268*CG160+CH268*CH160+CI268*CI160+CJ268*CJ160+CK268*CK160+CL268*CL160+CM268*CM160+CN268*CN160+CO268*CO160+CP268*CP160+CQ268*CQ160+CR268*CR160+CS268*CS160</f>
        <v>0</v>
      </c>
      <c r="CY160" s="2504">
        <f>E269*E160+F269*F160+G269*G160+H269*H160+I269*I160+J269*J160+K269*K160+L269*L160+M269*M160+N269*N160+O269*O160+P269*P160+Q269*Q160+R269*R160+S269*S160+T269*T160+U269*U160+V269*V160+W269*W160+X269*X160+Y269*Y160+Z269*Z160+AA269*AA160+AB269*AB160+AC269*AC160+AD269*AD160+AE269*AE160+AF269*AF160+AG269*AG160+AH269*AH160+AI269*AI160+AJ269*AJ160+AK269*AK160+AL269*AL160+AM269*AM160+AN269*AN160+AO269*AO160+AP269*AP160+AQ269*AQ160+AR269*AR160+AS269*AS160+AT269*AT160+AU269*AU160+AV269*AV160+AW269*AW160+AX269*AX160+AY269*AY160+AZ269*AZ160+BA269*BA160+BB269*BB160+BC269*BC160+BD269*BD160+BE269*BE160+BF269*BF160+BG269*BG160+BH269*BH160+BI269*BI160+BJ269*BJ160+BK269*BK160+BL269*BL160+BM269*BM160+BN269*BN160+BO269*BO160+BP269*BP160+BQ269*BQ160+BR269*BR160+BS269*BS160+BT269*BT160+BU269*BU160+BV269*BV160+BW269*BW160+BX269*BX160+BY269*BY160+BZ269*BZ160+CA269*CA160+CB269*CB160+CC269*CC160+CD269*CD160+CE269*CE160+CF269*CF160+CG269*CG160+CH269*CH160+CI269*CI160+CJ269*CJ160+CK269*CK160+CL269*CL160+CM269*CM160+CN269*CN160+CO269*CO160+CP269*CP160+CQ269*CQ160+CR269*CR160+CS269*CS160</f>
        <v>0</v>
      </c>
      <c r="CZ160" s="2504">
        <f>E270*E160+F270*F160+G270*G160+H270*H160+I270*I160+J270*J160+K270*K160+L270*L160+M270*M160+N270*N160+O270*O160+P270*P160+Q270*Q160+R270*R160+S270*S160+T270*T160+U270*U160+V270*V160+W270*W160+X270*X160+Y270*Y160+Z270*Z160+AA270*AA160+AB270*AB160+AC270*AC160+AD270*AD160+AE270*AE160+AF270*AF160+AG270*AG160+AH270*AH160+AI270*AI160+AJ270*AJ160+AK270*AK160+AL270*AL160+AM270*AM160+AN270*AN160+AO270*AO160+AP270*AP160+AQ270*AQ160+AR270*AR160+AS270*AS160+AT270*AT160+AU270*AU160+AV270*AV160+AW270*AW160+AX270*AX160+AY270*AY160+AZ270*AZ160+BA270*BA160+BB270*BB160+BC270*BC160+BD270*BD160+BE270*BE160+BF270*BF160+BG270*BG160+BH270*BH160+BI270*BI160+BJ270*BJ160+BK270*BK160+BL270*BL160+BM270*BM160+BN270*BN160+BO270*BO160+BP270*BP160+BQ270*BQ160+BR270*BR160+BS270*BS160+BT270*BT160+BU270*BU160+BV270*BV160+BW270*BW160+BX270*BX160+BY270*BY160+BZ270*BZ160+CA270*CA160+CB270*CB160+CC270*CC160+CD270*CD160+CE270*CE160+CF270*CF160+CG270*CG160+CH270*CH160+CI270*CI160+CJ270*CJ160+CK270*CK160+CL270*CL160+CM270*CM160+CN270*CN160+CO270*CO160+CP270*CP160+CQ270*CQ160+CR270*CR160+CS270*CS160</f>
        <v>0</v>
      </c>
      <c r="DA160" s="2504">
        <f>E271*E160+F271*F160+G271*G160+H271*H160+I271*I160+J271*J160+K271*K160+L271*L160+M271*M160+N271*N160+O271*O160+P271*P160+Q271*Q160+R271*R160+S271*S160+T271*T160+U271*U160+V271*V160+W271*W160+X271*X160+Y271*Y160+Z271*Z160+AA271*AA160+AB271*AB160+AC271*AC160+AD271*AD160+AE271*AE160+AF271*AF160+AG271*AG160+AH271*AH160+AI271*AI160+AJ271*AJ160+AK271*AK160+AL271*AL160+AM271*AM160+AN271*AN160+AO271*AO160+AP271*AP160+AQ271*AQ160+AR271*AR160+AS271*AS160+AT271*AT160+AU271*AU160+AV271*AV160+AW271*AW160+AX271*AX160+AY271*AY160+AZ271*AZ160+BA271*BA160+BB271*BB160+BC271*BC160+BD271*BD160+BE271*BE160+BF271*BF160+BG271*BG160+BH271*BH160+BI271*BI160+BJ271*BJ160+BK271*BK160+BL271*BL160+BM271*BM160+BN271*BN160+BO271*BO160+BP271*BP160+BQ271*BQ160+BR271*BR160+BS271*BS160+BT271*BT160+BU271*BU160+BV271*BV160+BW271*BW160+BX271*BX160+BY271*BY160+BZ271*BZ160+CA271*CA160+CB271*CB160+CC271*CC160+CD271*CD160+CE271*CE160+CF271*CF160+CG271*CG160+CH271*CH160+CI271*CI160+CJ271*CJ160+CK271*CK160+CL271*CL160+CM271*CM160+CN271*CN160+CO271*CO160+CP271*CP160+CQ271*CQ160+CR271*CR160+CS271*CS160</f>
        <v>0</v>
      </c>
      <c r="DB160" s="2504">
        <f>E272*E160+F272*F160+G272*G160+H272*H160+I272*I160+J272*J160+K272*K160+L272*L160+M272*M160+N272*N160+O272*O160+P272*P160+Q272*Q160+R272*R160+S272*S160+T272*T160+U272*U160+V272*V160+W272*W160+X272*X160+Y272*Y160+Z272*Z160+AA272*AA160+AB272*AB160+AC272*AC160+AD272*AD160+AE272*AE160+AF272*AF160+AG272*AG160+AH272*AH160+AI272*AI160+AJ272*AJ160+AK272*AK160+AL272*AL160+AM272*AM160+AN272*AN160+AO272*AO160+AP272*AP160+AQ272*AQ160+AR272*AR160+AS272*AS160+AT272*AT160+AU272*AU160+AV272*AV160+AW272*AW160+AX272*AX160+AY272*AY160+AZ272*AZ160+BA272*BA160+BB272*BB160+BC272*BC160+BD272*BD160+BE272*BE160+BF272*BF160+BG272*BG160+BH272*BH160+BI272*BI160+BJ272*BJ160+BK272*BK160+BL272*BL160+BM272*BM160+BN272*BN160+BO272*BO160+BP272*BP160+BQ272*BQ160+BR272*BR160+BS272*BS160+BT272*BT160+BU272*BU160+BV272*BV160+BW272*BW160+BX272*BX160+BY272*BY160+BZ272*BZ160+CA272*CA160+CB272*CB160+CC272*CC160+CD272*CD160+CE272*CE160+CF272*CF160+CG272*CG160+CH272*CH160+CI272*CI160+CJ272*CJ160+CK272*CK160+CL272*CL160+CM272*CM160+CN272*CN160+CO272*CO160+CP272*CP160+CQ272*CQ160+CR272*CR160+CS272*CS160</f>
        <v>0</v>
      </c>
      <c r="DC160" s="2504">
        <f>E273*E160+F273*F160+G273*G160+H273*H160+I273*I160+J273*J160+K273*K160+L273*L160+M273*M160+N273*N160+O273*O160+P273*P160+Q273*Q160+R273*R160+S273*S160+T273*T160+U273*U160+V273*V160+W273*W160+X273*X160+Y273*Y160+Z273*Z160+AA273*AA160+AB273*AB160+AC273*AC160+AD273*AD160+AE273*AE160+AF273*AF160+AG273*AG160+AH273*AH160+AI273*AI160+AJ273*AJ160+AK273*AK160+AL273*AL160+AM273*AM160+AN273*AN160+AO273*AO160+AP273*AP160+AQ273*AQ160+AR273*AR160+AS273*AS160+AT273*AT160+AU273*AU160+AV273*AV160+AW273*AW160+AX273*AX160+AY273*AY160+AZ273*AZ160+BA273*BA160+BB273*BB160+BC273*BC160+BD273*BD160+BE273*BE160+BF273*BF160+BG273*BG160+BH273*BH160+BI273*BI160+BJ273*BJ160+BK273*BK160+BL273*BL160+BM273*BM160+BN273*BN160+BO273*BO160+BP273*BP160+BQ273*BQ160+BR273*BR160+BS273*BS160+BT273*BT160+BU273*BU160+BV273*BV160+BW273*BW160+BX273*BX160+BY273*BY160+BZ273*BZ160+CA273*CA160+CB273*CB160+CC273*CC160+CD273*CD160+CE273*CE160+CF273*CF160+CG273*CG160+CH273*CH160+CI273*CI160+CJ273*CJ160+CK273*CK160+CL273*CL160+CM273*CM160+CN273*CN160+CO273*CO160+CP273*CP160+CQ273*CQ160+CR273*CR160+CS273*CS160</f>
        <v>0</v>
      </c>
      <c r="DD160" s="2504">
        <f>E274*E160+F274*F160+G274*G160+H274*H160+I274*I160+J274*J160+K274*K160+L274*L160+M274*M160+N274*N160+O274*O160+P274*P160+Q274*Q160+R274*R160+S274*S160+T274*T160+U274*U160+V274*V160+W274*W160+X274*X160+Y274*Y160+Z274*Z160+AA274*AA160+AB274*AB160+AC274*AC160+AD274*AD160+AE274*AE160+AF274*AF160+AG274*AG160+AH274*AH160+AI274*AI160+AJ274*AJ160+AK274*AK160+AL274*AL160+AM274*AM160+AN274*AN160+AO274*AO160+AP274*AP160+AQ274*AQ160+AR274*AR160+AS274*AS160+AT274*AT160+AU274*AU160+AV274*AV160+AW274*AW160+AX274*AX160+AY274*AY160+AZ274*AZ160+BA274*BA160+BB274*BB160+BC274*BC160+BD274*BD160+BE274*BE160+BF274*BF160+BG274*BG160+BH274*BH160+BI274*BI160+BJ274*BJ160+BK274*BK160+BL274*BL160+BM274*BM160+BN274*BN160+BO274*BO160+BP274*BP160+BQ274*BQ160+BR274*BR160+BS274*BS160+BT274*BT160+BU274*BU160+BV274*BV160+BW274*BW160+BX274*BX160+BY274*BY160+BZ274*BZ160+CA274*CA160+CB274*CB160+CC274*CC160+CD274*CD160+CE274*CE160+CF274*CF160+CG274*CG160+CH274*CH160+CI274*CI160+CJ274*CJ160+CK274*CK160+CL274*CL160+CM274*CM160+CN274*CN160+CO274*CO160+CP274*CP160+CQ274*CQ160+CR274*CR160+CS274*CS160</f>
        <v>0</v>
      </c>
      <c r="DE160" s="2504">
        <f>E275*E160+F275*F160+G275*G160+H275*H160+I275*I160+J275*J160+K275*K160+L275*L160+M275*M160+N275*N160+O275*O160+P275*P160+Q275*Q160+R275*R160+S275*S160+T275*T160+U275*U160+V275*V160+W275*W160+X275*X160+Y275*Y160+Z275*Z160+AA275*AA160+AB275*AB160+AC275*AC160+AD275*AD160+AE275*AE160+AF275*AF160+AG275*AG160+AH275*AH160+AI275*AI160+AJ275*AJ160+AK275*AK160+AL275*AL160+AM275*AM160+AN275*AN160+AO275*AO160+AP275*AP160+AQ275*AQ160+AR275*AR160+AS275*AS160+AT275*AT160+AU275*AU160+AV275*AV160+AW275*AW160+AX275*AX160+AY275*AY160+AZ275*AZ160+BA275*BA160+BB275*BB160+BC275*BC160+BD275*BD160+BE275*BE160+BF275*BF160+BG275*BG160+BH275*BH160+BI275*BI160+BJ275*BJ160+BK275*BK160+BL275*BL160+BM275*BM160+BN275*BN160+BO275*BO160+BP275*BP160+BQ275*BQ160+BR275*BR160+BS275*BS160+BT275*BT160+BU275*BU160+BV275*BV160+BW275*BW160+BX275*BX160+BY275*BY160+BZ275*BZ160+CA275*CA160+CB275*CB160+CC275*CC160+CD275*CD160+CE275*CE160+CF275*CF160+CG275*CG160+CH275*CH160+CI275*CI160+CJ275*CJ160+CK275*CK160+CL275*CL160+CM275*CM160+CN275*CN160+CO275*CO160+CP275*CP160+CQ275*CQ160+CR275*CR160+CS275*CS160</f>
        <v>0</v>
      </c>
      <c r="DF160" s="2504">
        <f>E276*E160+F276*F160+G276*G160+H276*H160+I276*I160+J276*J160+K276*K160+L276*L160+M276*M160+N276*N160+O276*O160+P276*P160+Q276*Q160+R276*R160+S276*S160+T276*T160+U276*U160+V276*V160+W276*W160+X276*X160+Y276*Y160+Z276*Z160+AA276*AA160+AB276*AB160+AC276*AC160+AD276*AD160+AE276*AE160+AF276*AF160+AG276*AG160+AH276*AH160+AI276*AI160+AJ276*AJ160+AK276*AK160+AL276*AL160+AM276*AM160+AN276*AN160+AO276*AO160+AP276*AP160+AQ276*AQ160+AR276*AR160+AS276*AS160+AT276*AT160+AU276*AU160+AV276*AV160+AW276*AW160+AX276*AX160+AY276*AY160+AZ276*AZ160+BA276*BA160+BB276*BB160+BC276*BC160+BD276*BD160+BE276*BE160+BF276*BF160+BG276*BG160+BH276*BH160+BI276*BI160+BJ276*BJ160+BK276*BK160+BL276*BL160+BM276*BM160+BN276*BN160+BO276*BO160+BP276*BP160+BQ276*BQ160+BR276*BR160+BS276*BS160+BT276*BT160+BU276*BU160+BV276*BV160+BW276*BW160+BX276*BX160+BY276*BY160+BZ276*BZ160+CA276*CA160+CB276*CB160+CC276*CC160+CD276*CD160+CE276*CE160+CF276*CF160+CG276*CG160+CH276*CH160+CI276*CI160+CJ276*CJ160+CK276*CK160+CL276*CL160+CM276*CM160+CN276*CN160+CO276*CO160+CP276*CP160+CQ276*CQ160+CR276*CR160+CS276*CS160</f>
        <v>0</v>
      </c>
    </row>
    <row r="161" spans="2:110" x14ac:dyDescent="0.25">
      <c r="B161" s="1563">
        <v>19</v>
      </c>
      <c r="C161" s="526" t="s">
        <v>242</v>
      </c>
      <c r="D161" s="527" t="s">
        <v>2952</v>
      </c>
      <c r="E161" s="499">
        <f>0</f>
        <v>0</v>
      </c>
      <c r="F161" s="499">
        <f>0</f>
        <v>0</v>
      </c>
      <c r="G161" s="499">
        <f>0</f>
        <v>0</v>
      </c>
      <c r="H161" s="499">
        <f>0</f>
        <v>0</v>
      </c>
      <c r="I161" s="499">
        <f>0</f>
        <v>0</v>
      </c>
      <c r="J161" s="499">
        <f>1-f_E</f>
        <v>0.92</v>
      </c>
      <c r="K161" s="499">
        <f>0</f>
        <v>0</v>
      </c>
      <c r="L161" s="499">
        <f>0</f>
        <v>0</v>
      </c>
      <c r="M161" s="499">
        <f>0</f>
        <v>0</v>
      </c>
      <c r="N161" s="499">
        <f>0</f>
        <v>0</v>
      </c>
      <c r="O161" s="499">
        <f>0</f>
        <v>0</v>
      </c>
      <c r="P161" s="499">
        <f>0</f>
        <v>0</v>
      </c>
      <c r="Q161" s="499">
        <f>f_E</f>
        <v>0.08</v>
      </c>
      <c r="R161" s="499">
        <f>0</f>
        <v>0</v>
      </c>
      <c r="S161" s="499">
        <f>0</f>
        <v>0</v>
      </c>
      <c r="T161" s="499">
        <f>-1</f>
        <v>-1</v>
      </c>
      <c r="U161" s="499">
        <f>0</f>
        <v>0</v>
      </c>
      <c r="V161" s="499">
        <f>0</f>
        <v>0</v>
      </c>
      <c r="W161" s="499">
        <f>0</f>
        <v>0</v>
      </c>
      <c r="X161" s="499">
        <f>0</f>
        <v>0</v>
      </c>
      <c r="Y161" s="499">
        <f>0</f>
        <v>0</v>
      </c>
      <c r="Z161" s="499">
        <f>0</f>
        <v>0</v>
      </c>
      <c r="AA161" s="499">
        <f>-f_E*(i_N_XE-i_N_BIO)</f>
        <v>8.0000000000000069E-4</v>
      </c>
      <c r="AB161" s="499">
        <f>0</f>
        <v>0</v>
      </c>
      <c r="AC161" s="499">
        <f>0</f>
        <v>0</v>
      </c>
      <c r="AD161" s="499">
        <f>0</f>
        <v>0</v>
      </c>
      <c r="AE161" s="499">
        <f>0</f>
        <v>0</v>
      </c>
      <c r="AF161" s="499">
        <f>0</f>
        <v>0</v>
      </c>
      <c r="AG161" s="499">
        <f>0</f>
        <v>0</v>
      </c>
      <c r="AH161" s="499">
        <f>0</f>
        <v>0</v>
      </c>
      <c r="AI161" s="499">
        <f>0</f>
        <v>0</v>
      </c>
      <c r="AJ161" s="499">
        <f>0</f>
        <v>0</v>
      </c>
      <c r="AK161" s="499">
        <f>(1-f_E)*i_N_BIO</f>
        <v>6.4400000000000013E-2</v>
      </c>
      <c r="AL161" s="499">
        <f>0</f>
        <v>0</v>
      </c>
      <c r="AM161" s="499">
        <f>0</f>
        <v>0</v>
      </c>
      <c r="AN161" s="499">
        <f>0</f>
        <v>0</v>
      </c>
      <c r="AO161" s="499">
        <f>0</f>
        <v>0</v>
      </c>
      <c r="AP161" s="499">
        <f>0</f>
        <v>0</v>
      </c>
      <c r="AQ161" s="499">
        <f>(1-f_E)*i_P_BIO</f>
        <v>1.84E-2</v>
      </c>
      <c r="AR161" s="499">
        <f>0</f>
        <v>0</v>
      </c>
      <c r="AS161" s="499">
        <f>0</f>
        <v>0</v>
      </c>
      <c r="AT161" s="499">
        <f>0</f>
        <v>0</v>
      </c>
      <c r="AU161" s="499">
        <f>0</f>
        <v>0</v>
      </c>
      <c r="AV161" s="499">
        <f>(1-f_E)*(i_CIT_BIO-i_CIT_XBe)</f>
        <v>6.0720000000000003E-2</v>
      </c>
      <c r="AW161" s="499">
        <f>0</f>
        <v>0</v>
      </c>
      <c r="AX161" s="528">
        <f>0</f>
        <v>0</v>
      </c>
      <c r="AY161" s="528">
        <f>0</f>
        <v>0</v>
      </c>
      <c r="AZ161" s="528">
        <f>0</f>
        <v>0</v>
      </c>
      <c r="BA161" s="528">
        <f>0</f>
        <v>0</v>
      </c>
      <c r="BB161" s="528">
        <f>0</f>
        <v>0</v>
      </c>
      <c r="BC161" s="528">
        <f>0</f>
        <v>0</v>
      </c>
      <c r="BD161" s="528">
        <f>0</f>
        <v>0</v>
      </c>
      <c r="BE161" s="528">
        <f>0</f>
        <v>0</v>
      </c>
      <c r="BF161" s="528">
        <f>0</f>
        <v>0</v>
      </c>
      <c r="BG161" s="528">
        <f>0</f>
        <v>0</v>
      </c>
      <c r="BH161" s="528">
        <f>0</f>
        <v>0</v>
      </c>
      <c r="BI161" s="528">
        <f>0</f>
        <v>0</v>
      </c>
      <c r="BJ161" s="528">
        <f>0</f>
        <v>0</v>
      </c>
      <c r="BK161" s="528">
        <f>0</f>
        <v>0</v>
      </c>
      <c r="BL161" s="528">
        <f>0</f>
        <v>0</v>
      </c>
      <c r="BM161" s="528">
        <f>0</f>
        <v>0</v>
      </c>
      <c r="BN161" s="528">
        <f>0</f>
        <v>0</v>
      </c>
      <c r="BO161" s="528">
        <f>0</f>
        <v>0</v>
      </c>
      <c r="BP161" s="528">
        <f>0</f>
        <v>0</v>
      </c>
      <c r="BQ161" s="528">
        <f>0</f>
        <v>0</v>
      </c>
      <c r="BR161" s="528">
        <f>0</f>
        <v>0</v>
      </c>
      <c r="BS161" s="528">
        <f>0</f>
        <v>0</v>
      </c>
      <c r="BT161" s="528">
        <f>0</f>
        <v>0</v>
      </c>
      <c r="BU161" s="528">
        <f>0</f>
        <v>0</v>
      </c>
      <c r="BV161" s="528">
        <f>0</f>
        <v>0</v>
      </c>
      <c r="BW161" s="2354">
        <f>0</f>
        <v>0</v>
      </c>
      <c r="BX161" s="2354">
        <f>0</f>
        <v>0</v>
      </c>
      <c r="BY161" s="2354">
        <f>0</f>
        <v>0</v>
      </c>
      <c r="BZ161" s="2354">
        <f>0</f>
        <v>0</v>
      </c>
      <c r="CA161" s="528">
        <f>0</f>
        <v>0</v>
      </c>
      <c r="CB161" s="528">
        <f>0</f>
        <v>0</v>
      </c>
      <c r="CC161" s="528">
        <f>0</f>
        <v>0</v>
      </c>
      <c r="CD161" s="528">
        <f>0</f>
        <v>0</v>
      </c>
      <c r="CE161" s="528">
        <f>0</f>
        <v>0</v>
      </c>
      <c r="CF161" s="528">
        <f>0</f>
        <v>0</v>
      </c>
      <c r="CG161" s="528">
        <f>0</f>
        <v>0</v>
      </c>
      <c r="CH161" s="528">
        <f>0</f>
        <v>0</v>
      </c>
      <c r="CI161" s="528">
        <f>0</f>
        <v>0</v>
      </c>
      <c r="CJ161" s="528">
        <f>0</f>
        <v>0</v>
      </c>
      <c r="CK161" s="528">
        <f>0</f>
        <v>0</v>
      </c>
      <c r="CL161" s="528">
        <f>0</f>
        <v>0</v>
      </c>
      <c r="CM161" s="528">
        <f>0</f>
        <v>0</v>
      </c>
      <c r="CN161" s="528">
        <f>0</f>
        <v>0</v>
      </c>
      <c r="CO161" s="528">
        <f>0</f>
        <v>0</v>
      </c>
      <c r="CP161" s="528">
        <f>0</f>
        <v>0</v>
      </c>
      <c r="CQ161" s="528">
        <f>0</f>
        <v>0</v>
      </c>
      <c r="CR161" s="528">
        <f>0</f>
        <v>0</v>
      </c>
      <c r="CS161" s="528">
        <f>0</f>
        <v>0</v>
      </c>
      <c r="CT161" s="2481">
        <f>b_MEOLO_T*X_MEOLO*(η_b_ana*M_inhSNO2_KNO2_MEOLO*M_inhSNO3_KNO3_MEOLO*M_inhSO2_KiO2_MEOLO+m_tox_ana)</f>
        <v>5.0309909039684476E-7</v>
      </c>
      <c r="CV161" s="2502">
        <f>E266*E161+F266*F161+G266*G161+H266*H161+I266*I161+J266*J161+K266*K161+L266*L161+M266*M161+N266*N161+O266*O161+P266*P161+Q266*Q161+R266*R161+S266*S161+T266*T161+U266*U161+V266*V161+W266*W161+X266*X161+Y266*Y161+Z266*Z161+AA266*AA161+AB266*AB161+AC266*AC161+AD266*AD161+AE266*AE161+AF266*AF161+AG266*AG161+AH266*AH161+AI266*AI161+AJ266*AJ161+AK266*AK161+AL266*AL161+AM266*AM161+AN266*AN161+AO266*AO161+AP266*AP161+AQ266*AQ161+AR266*AR161+AS266*AS161+AT266*AT161+AU266*AU161+AV266*AV161+AW266*AW161+AX266*AX161+AY266*AY161+AZ266*AZ161+BA266*BA161+BB266*BB161+BC266*BC161+BD266*BD161+BE266*BE161+BF266*BF161+BG266*BG161+BH266*BH161+BI266*BI161+BJ266*BJ161+BK266*BK161+BL266*BL161+BM266*BM161+BN266*BN161+BO266*BO161+BP266*BP161+BQ266*BQ161+BR266*BR161+BS266*BS161+BT266*BT161+BU266*BU161+BV266*BV161+BW266*BW161+BX266*BX161+BY266*BY161+BZ266*BZ161+CA266*CA161+CB266*CB161+CC266*CC161+CD266*CD161+CE266*CE161+CF266*CF161+CG266*CG161+CH266*CH161+CI266*CI161+CJ266*CJ161+CK266*CK161+CL266*CL161+CM266*CM161+CN266*CN161+CO266*CO161+CP266*CP161+CQ266*CQ161+CR266*CR161+CS266*CS161</f>
        <v>0</v>
      </c>
      <c r="CW161" s="2502">
        <f>E267*E161+F267*F161+G267*G161+H267*H161+I267*I161+J267*J161+K267*K161+L267*L161+M267*M161+N267*N161+O267*O161+P267*P161+Q267*Q161+R267*R161+S267*S161+T267*T161+U267*U161+V267*V161+W267*W161+X267*X161+Y267*Y161+Z267*Z161+AA267*AA161+AB267*AB161+AC267*AC161+AD267*AD161+AE267*AE161+AF267*AF161+AG267*AG161+AH267*AH161+AI267*AI161+AJ267*AJ161+AK267*AK161+AL267*AL161+AM267*AM161+AN267*AN161+AO267*AO161+AP267*AP161+AQ267*AQ161+AR267*AR161+AS267*AS161+AT267*AT161+AU267*AU161+AV267*AV161+AW267*AW161+AX267*AX161+AY267*AY161+AZ267*AZ161+BA267*BA161+BB267*BB161+BC267*BC161+BD267*BD161+BE267*BE161+BF267*BF161+BG267*BG161+BH267*BH161+BI267*BI161+BJ267*BJ161+BK267*BK161+BL267*BL161+BM267*BM161+BN267*BN161+BO267*BO161+BP267*BP161+BQ267*BQ161+BR267*BR161+BS267*BS161+BT267*BT161+BU267*BU161+BV267*BV161+BW267*BW161+BX267*BX161+BY267*BY161+BZ267*BZ161+CA267*CA161+CB267*CB161+CC267*CC161+CD267*CD161+CE267*CE161+CF267*CF161+CG267*CG161+CH267*CH161+CI267*CI161+CJ267*CJ161+CK267*CK161+CL267*CL161+CM267*CM161+CN267*CN161+CO267*CO161+CP267*CP161+CQ267*CQ161+CR267*CR161+CS267*CS161</f>
        <v>6.9388939039072284E-18</v>
      </c>
      <c r="CX161" s="2503">
        <f>E268*E161+F268*F161+G268*G161+H268*H161+I268*I161+J268*J161+K268*K161+L268*L161+M268*M161+N268*N161+O268*O161+P268*P161+Q268*Q161+R268*R161+S268*S161+T268*T161+U268*U161+V268*V161+W268*W161+X268*X161+Y268*Y161+Z268*Z161+AA268*AA161+AB268*AB161+AC268*AC161+AD268*AD161+AE268*AE161+AF268*AF161+AG268*AG161+AH268*AH161+AI268*AI161+AJ268*AJ161+AK268*AK161+AL268*AL161+AM268*AM161+AN268*AN161+AO268*AO161+AP268*AP161+AQ268*AQ161+AR268*AR161+AS268*AS161+AT268*AT161+AU268*AU161+AV268*AV161+AW268*AW161+AX268*AX161+AY268*AY161+AZ268*AZ161+BA268*BA161+BB268*BB161+BC268*BC161+BD268*BD161+BE268*BE161+BF268*BF161+BG268*BG161+BH268*BH161+BI268*BI161+BJ268*BJ161+BK268*BK161+BL268*BL161+BM268*BM161+BN268*BN161+BO268*BO161+BP268*BP161+BQ268*BQ161+BR268*BR161+BS268*BS161+BT268*BT161+BU268*BU161+BV268*BV161+BW268*BW161+BX268*BX161+BY268*BY161+BZ268*BZ161+CA268*CA161+CB268*CB161+CC268*CC161+CD268*CD161+CE268*CE161+CF268*CF161+CG268*CG161+CH268*CH161+CI268*CI161+CJ268*CJ161+CK268*CK161+CL268*CL161+CM268*CM161+CN268*CN161+CO268*CO161+CP268*CP161+CQ268*CQ161+CR268*CR161+CS268*CS161</f>
        <v>0</v>
      </c>
      <c r="CY161" s="2504">
        <f>E269*E161+F269*F161+G269*G161+H269*H161+I269*I161+J269*J161+K269*K161+L269*L161+M269*M161+N269*N161+O269*O161+P269*P161+Q269*Q161+R269*R161+S269*S161+T269*T161+U269*U161+V269*V161+W269*W161+X269*X161+Y269*Y161+Z269*Z161+AA269*AA161+AB269*AB161+AC269*AC161+AD269*AD161+AE269*AE161+AF269*AF161+AG269*AG161+AH269*AH161+AI269*AI161+AJ269*AJ161+AK269*AK161+AL269*AL161+AM269*AM161+AN269*AN161+AO269*AO161+AP269*AP161+AQ269*AQ161+AR269*AR161+AS269*AS161+AT269*AT161+AU269*AU161+AV269*AV161+AW269*AW161+AX269*AX161+AY269*AY161+AZ269*AZ161+BA269*BA161+BB269*BB161+BC269*BC161+BD269*BD161+BE269*BE161+BF269*BF161+BG269*BG161+BH269*BH161+BI269*BI161+BJ269*BJ161+BK269*BK161+BL269*BL161+BM269*BM161+BN269*BN161+BO269*BO161+BP269*BP161+BQ269*BQ161+BR269*BR161+BS269*BS161+BT269*BT161+BU269*BU161+BV269*BV161+BW269*BW161+BX269*BX161+BY269*BY161+BZ269*BZ161+CA269*CA161+CB269*CB161+CC269*CC161+CD269*CD161+CE269*CE161+CF269*CF161+CG269*CG161+CH269*CH161+CI269*CI161+CJ269*CJ161+CK269*CK161+CL269*CL161+CM269*CM161+CN269*CN161+CO269*CO161+CP269*CP161+CQ269*CQ161+CR269*CR161+CS269*CS161</f>
        <v>0</v>
      </c>
      <c r="CZ161" s="2504">
        <f>E270*E161+F270*F161+G270*G161+H270*H161+I270*I161+J270*J161+K270*K161+L270*L161+M270*M161+N270*N161+O270*O161+P270*P161+Q270*Q161+R270*R161+S270*S161+T270*T161+U270*U161+V270*V161+W270*W161+X270*X161+Y270*Y161+Z270*Z161+AA270*AA161+AB270*AB161+AC270*AC161+AD270*AD161+AE270*AE161+AF270*AF161+AG270*AG161+AH270*AH161+AI270*AI161+AJ270*AJ161+AK270*AK161+AL270*AL161+AM270*AM161+AN270*AN161+AO270*AO161+AP270*AP161+AQ270*AQ161+AR270*AR161+AS270*AS161+AT270*AT161+AU270*AU161+AV270*AV161+AW270*AW161+AX270*AX161+AY270*AY161+AZ270*AZ161+BA270*BA161+BB270*BB161+BC270*BC161+BD270*BD161+BE270*BE161+BF270*BF161+BG270*BG161+BH270*BH161+BI270*BI161+BJ270*BJ161+BK270*BK161+BL270*BL161+BM270*BM161+BN270*BN161+BO270*BO161+BP270*BP161+BQ270*BQ161+BR270*BR161+BS270*BS161+BT270*BT161+BU270*BU161+BV270*BV161+BW270*BW161+BX270*BX161+BY270*BY161+BZ270*BZ161+CA270*CA161+CB270*CB161+CC270*CC161+CD270*CD161+CE270*CE161+CF270*CF161+CG270*CG161+CH270*CH161+CI270*CI161+CJ270*CJ161+CK270*CK161+CL270*CL161+CM270*CM161+CN270*CN161+CO270*CO161+CP270*CP161+CQ270*CQ161+CR270*CR161+CS270*CS161</f>
        <v>0</v>
      </c>
      <c r="DA161" s="2504">
        <f>E271*E161+F271*F161+G271*G161+H271*H161+I271*I161+J271*J161+K271*K161+L271*L161+M271*M161+N271*N161+O271*O161+P271*P161+Q271*Q161+R271*R161+S271*S161+T271*T161+U271*U161+V271*V161+W271*W161+X271*X161+Y271*Y161+Z271*Z161+AA271*AA161+AB271*AB161+AC271*AC161+AD271*AD161+AE271*AE161+AF271*AF161+AG271*AG161+AH271*AH161+AI271*AI161+AJ271*AJ161+AK271*AK161+AL271*AL161+AM271*AM161+AN271*AN161+AO271*AO161+AP271*AP161+AQ271*AQ161+AR271*AR161+AS271*AS161+AT271*AT161+AU271*AU161+AV271*AV161+AW271*AW161+AX271*AX161+AY271*AY161+AZ271*AZ161+BA271*BA161+BB271*BB161+BC271*BC161+BD271*BD161+BE271*BE161+BF271*BF161+BG271*BG161+BH271*BH161+BI271*BI161+BJ271*BJ161+BK271*BK161+BL271*BL161+BM271*BM161+BN271*BN161+BO271*BO161+BP271*BP161+BQ271*BQ161+BR271*BR161+BS271*BS161+BT271*BT161+BU271*BU161+BV271*BV161+BW271*BW161+BX271*BX161+BY271*BY161+BZ271*BZ161+CA271*CA161+CB271*CB161+CC271*CC161+CD271*CD161+CE271*CE161+CF271*CF161+CG271*CG161+CH271*CH161+CI271*CI161+CJ271*CJ161+CK271*CK161+CL271*CL161+CM271*CM161+CN271*CN161+CO271*CO161+CP271*CP161+CQ271*CQ161+CR271*CR161+CS271*CS161</f>
        <v>0</v>
      </c>
      <c r="DB161" s="2504">
        <f>E272*E161+F272*F161+G272*G161+H272*H161+I272*I161+J272*J161+K272*K161+L272*L161+M272*M161+N272*N161+O272*O161+P272*P161+Q272*Q161+R272*R161+S272*S161+T272*T161+U272*U161+V272*V161+W272*W161+X272*X161+Y272*Y161+Z272*Z161+AA272*AA161+AB272*AB161+AC272*AC161+AD272*AD161+AE272*AE161+AF272*AF161+AG272*AG161+AH272*AH161+AI272*AI161+AJ272*AJ161+AK272*AK161+AL272*AL161+AM272*AM161+AN272*AN161+AO272*AO161+AP272*AP161+AQ272*AQ161+AR272*AR161+AS272*AS161+AT272*AT161+AU272*AU161+AV272*AV161+AW272*AW161+AX272*AX161+AY272*AY161+AZ272*AZ161+BA272*BA161+BB272*BB161+BC272*BC161+BD272*BD161+BE272*BE161+BF272*BF161+BG272*BG161+BH272*BH161+BI272*BI161+BJ272*BJ161+BK272*BK161+BL272*BL161+BM272*BM161+BN272*BN161+BO272*BO161+BP272*BP161+BQ272*BQ161+BR272*BR161+BS272*BS161+BT272*BT161+BU272*BU161+BV272*BV161+BW272*BW161+BX272*BX161+BY272*BY161+BZ272*BZ161+CA272*CA161+CB272*CB161+CC272*CC161+CD272*CD161+CE272*CE161+CF272*CF161+CG272*CG161+CH272*CH161+CI272*CI161+CJ272*CJ161+CK272*CK161+CL272*CL161+CM272*CM161+CN272*CN161+CO272*CO161+CP272*CP161+CQ272*CQ161+CR272*CR161+CS272*CS161</f>
        <v>0</v>
      </c>
      <c r="DC161" s="2504">
        <f>E273*E161+F273*F161+G273*G161+H273*H161+I273*I161+J273*J161+K273*K161+L273*L161+M273*M161+N273*N161+O273*O161+P273*P161+Q273*Q161+R273*R161+S273*S161+T273*T161+U273*U161+V273*V161+W273*W161+X273*X161+Y273*Y161+Z273*Z161+AA273*AA161+AB273*AB161+AC273*AC161+AD273*AD161+AE273*AE161+AF273*AF161+AG273*AG161+AH273*AH161+AI273*AI161+AJ273*AJ161+AK273*AK161+AL273*AL161+AM273*AM161+AN273*AN161+AO273*AO161+AP273*AP161+AQ273*AQ161+AR273*AR161+AS273*AS161+AT273*AT161+AU273*AU161+AV273*AV161+AW273*AW161+AX273*AX161+AY273*AY161+AZ273*AZ161+BA273*BA161+BB273*BB161+BC273*BC161+BD273*BD161+BE273*BE161+BF273*BF161+BG273*BG161+BH273*BH161+BI273*BI161+BJ273*BJ161+BK273*BK161+BL273*BL161+BM273*BM161+BN273*BN161+BO273*BO161+BP273*BP161+BQ273*BQ161+BR273*BR161+BS273*BS161+BT273*BT161+BU273*BU161+BV273*BV161+BW273*BW161+BX273*BX161+BY273*BY161+BZ273*BZ161+CA273*CA161+CB273*CB161+CC273*CC161+CD273*CD161+CE273*CE161+CF273*CF161+CG273*CG161+CH273*CH161+CI273*CI161+CJ273*CJ161+CK273*CK161+CL273*CL161+CM273*CM161+CN273*CN161+CO273*CO161+CP273*CP161+CQ273*CQ161+CR273*CR161+CS273*CS161</f>
        <v>0</v>
      </c>
      <c r="DD161" s="2504">
        <f>E274*E161+F274*F161+G274*G161+H274*H161+I274*I161+J274*J161+K274*K161+L274*L161+M274*M161+N274*N161+O274*O161+P274*P161+Q274*Q161+R274*R161+S274*S161+T274*T161+U274*U161+V274*V161+W274*W161+X274*X161+Y274*Y161+Z274*Z161+AA274*AA161+AB274*AB161+AC274*AC161+AD274*AD161+AE274*AE161+AF274*AF161+AG274*AG161+AH274*AH161+AI274*AI161+AJ274*AJ161+AK274*AK161+AL274*AL161+AM274*AM161+AN274*AN161+AO274*AO161+AP274*AP161+AQ274*AQ161+AR274*AR161+AS274*AS161+AT274*AT161+AU274*AU161+AV274*AV161+AW274*AW161+AX274*AX161+AY274*AY161+AZ274*AZ161+BA274*BA161+BB274*BB161+BC274*BC161+BD274*BD161+BE274*BE161+BF274*BF161+BG274*BG161+BH274*BH161+BI274*BI161+BJ274*BJ161+BK274*BK161+BL274*BL161+BM274*BM161+BN274*BN161+BO274*BO161+BP274*BP161+BQ274*BQ161+BR274*BR161+BS274*BS161+BT274*BT161+BU274*BU161+BV274*BV161+BW274*BW161+BX274*BX161+BY274*BY161+BZ274*BZ161+CA274*CA161+CB274*CB161+CC274*CC161+CD274*CD161+CE274*CE161+CF274*CF161+CG274*CG161+CH274*CH161+CI274*CI161+CJ274*CJ161+CK274*CK161+CL274*CL161+CM274*CM161+CN274*CN161+CO274*CO161+CP274*CP161+CQ274*CQ161+CR274*CR161+CS274*CS161</f>
        <v>0</v>
      </c>
      <c r="DE161" s="2504">
        <f>E275*E161+F275*F161+G275*G161+H275*H161+I275*I161+J275*J161+K275*K161+L275*L161+M275*M161+N275*N161+O275*O161+P275*P161+Q275*Q161+R275*R161+S275*S161+T275*T161+U275*U161+V275*V161+W275*W161+X275*X161+Y275*Y161+Z275*Z161+AA275*AA161+AB275*AB161+AC275*AC161+AD275*AD161+AE275*AE161+AF275*AF161+AG275*AG161+AH275*AH161+AI275*AI161+AJ275*AJ161+AK275*AK161+AL275*AL161+AM275*AM161+AN275*AN161+AO275*AO161+AP275*AP161+AQ275*AQ161+AR275*AR161+AS275*AS161+AT275*AT161+AU275*AU161+AV275*AV161+AW275*AW161+AX275*AX161+AY275*AY161+AZ275*AZ161+BA275*BA161+BB275*BB161+BC275*BC161+BD275*BD161+BE275*BE161+BF275*BF161+BG275*BG161+BH275*BH161+BI275*BI161+BJ275*BJ161+BK275*BK161+BL275*BL161+BM275*BM161+BN275*BN161+BO275*BO161+BP275*BP161+BQ275*BQ161+BR275*BR161+BS275*BS161+BT275*BT161+BU275*BU161+BV275*BV161+BW275*BW161+BX275*BX161+BY275*BY161+BZ275*BZ161+CA275*CA161+CB275*CB161+CC275*CC161+CD275*CD161+CE275*CE161+CF275*CF161+CG275*CG161+CH275*CH161+CI275*CI161+CJ275*CJ161+CK275*CK161+CL275*CL161+CM275*CM161+CN275*CN161+CO275*CO161+CP275*CP161+CQ275*CQ161+CR275*CR161+CS275*CS161</f>
        <v>0</v>
      </c>
      <c r="DF161" s="2504">
        <f>E276*E161+F276*F161+G276*G161+H276*H161+I276*I161+J276*J161+K276*K161+L276*L161+M276*M161+N276*N161+O276*O161+P276*P161+Q276*Q161+R276*R161+S276*S161+T276*T161+U276*U161+V276*V161+W276*W161+X276*X161+Y276*Y161+Z276*Z161+AA276*AA161+AB276*AB161+AC276*AC161+AD276*AD161+AE276*AE161+AF276*AF161+AG276*AG161+AH276*AH161+AI276*AI161+AJ276*AJ161+AK276*AK161+AL276*AL161+AM276*AM161+AN276*AN161+AO276*AO161+AP276*AP161+AQ276*AQ161+AR276*AR161+AS276*AS161+AT276*AT161+AU276*AU161+AV276*AV161+AW276*AW161+AX276*AX161+AY276*AY161+AZ276*AZ161+BA276*BA161+BB276*BB161+BC276*BC161+BD276*BD161+BE276*BE161+BF276*BF161+BG276*BG161+BH276*BH161+BI276*BI161+BJ276*BJ161+BK276*BK161+BL276*BL161+BM276*BM161+BN276*BN161+BO276*BO161+BP276*BP161+BQ276*BQ161+BR276*BR161+BS276*BS161+BT276*BT161+BU276*BU161+BV276*BV161+BW276*BW161+BX276*BX161+BY276*BY161+BZ276*BZ161+CA276*CA161+CB276*CB161+CC276*CC161+CD276*CD161+CE276*CE161+CF276*CF161+CG276*CG161+CH276*CH161+CI276*CI161+CJ276*CJ161+CK276*CK161+CL276*CL161+CM276*CM161+CN276*CN161+CO276*CO161+CP276*CP161+CQ276*CQ161+CR276*CR161+CS276*CS161</f>
        <v>0</v>
      </c>
    </row>
    <row r="162" spans="2:110" ht="18" x14ac:dyDescent="0.25">
      <c r="B162" s="1565">
        <v>20</v>
      </c>
      <c r="C162" s="1566" t="s">
        <v>243</v>
      </c>
      <c r="D162" s="2449" t="s">
        <v>5503</v>
      </c>
      <c r="E162" s="1471">
        <f>0</f>
        <v>0</v>
      </c>
      <c r="F162" s="1471">
        <f>0</f>
        <v>0</v>
      </c>
      <c r="G162" s="1471">
        <f>0</f>
        <v>0</v>
      </c>
      <c r="H162" s="1471">
        <f>0</f>
        <v>0</v>
      </c>
      <c r="I162" s="1471">
        <f>0</f>
        <v>0</v>
      </c>
      <c r="J162" s="1471">
        <f>0</f>
        <v>0</v>
      </c>
      <c r="K162" s="1471">
        <f>0</f>
        <v>0</v>
      </c>
      <c r="L162" s="1471">
        <f>0</f>
        <v>0</v>
      </c>
      <c r="M162" s="1471">
        <f>0</f>
        <v>0</v>
      </c>
      <c r="N162" s="2355">
        <f>-(X_PHA_PAO/X_STC)/Y_CASTO_STC_ox</f>
        <v>-1.371742112482853</v>
      </c>
      <c r="O162" s="2355">
        <f>-(X_PHA_GAO/X_STC)/Y_CASTO_STC_ox</f>
        <v>-0.20576131687242796</v>
      </c>
      <c r="P162" s="1471">
        <f>0</f>
        <v>0</v>
      </c>
      <c r="Q162" s="1471">
        <f>0</f>
        <v>0</v>
      </c>
      <c r="R162" s="1471">
        <f>0</f>
        <v>0</v>
      </c>
      <c r="S162" s="1471">
        <f>1</f>
        <v>1</v>
      </c>
      <c r="T162" s="1471">
        <f>0</f>
        <v>0</v>
      </c>
      <c r="U162" s="1471">
        <f>0</f>
        <v>0</v>
      </c>
      <c r="V162" s="1471">
        <f>0</f>
        <v>0</v>
      </c>
      <c r="W162" s="1471">
        <f>0</f>
        <v>0</v>
      </c>
      <c r="X162" s="1471">
        <f>0</f>
        <v>0</v>
      </c>
      <c r="Y162" s="1471">
        <f>0</f>
        <v>0</v>
      </c>
      <c r="Z162" s="1471">
        <f>0</f>
        <v>0</v>
      </c>
      <c r="AA162" s="1471">
        <f>-i_N_BIO</f>
        <v>-7.0000000000000007E-2</v>
      </c>
      <c r="AB162" s="1471">
        <f>0</f>
        <v>0</v>
      </c>
      <c r="AC162" s="1471">
        <f>0</f>
        <v>0</v>
      </c>
      <c r="AD162" s="1471">
        <f>0</f>
        <v>0</v>
      </c>
      <c r="AE162" s="1471">
        <f>0</f>
        <v>0</v>
      </c>
      <c r="AF162" s="1471">
        <f>0</f>
        <v>0</v>
      </c>
      <c r="AG162" s="1471">
        <f>0</f>
        <v>0</v>
      </c>
      <c r="AH162" s="1471">
        <f>0</f>
        <v>0</v>
      </c>
      <c r="AI162" s="1471">
        <f>0</f>
        <v>0</v>
      </c>
      <c r="AJ162" s="1471">
        <f>0</f>
        <v>0</v>
      </c>
      <c r="AK162" s="1471">
        <f>0</f>
        <v>0</v>
      </c>
      <c r="AL162" s="1471">
        <f>0</f>
        <v>0</v>
      </c>
      <c r="AM162" s="1470">
        <f>-i_P_BIO</f>
        <v>-0.02</v>
      </c>
      <c r="AN162" s="1471">
        <f>0</f>
        <v>0</v>
      </c>
      <c r="AO162" s="1471">
        <f>0</f>
        <v>0</v>
      </c>
      <c r="AP162" s="1471">
        <f>0</f>
        <v>0</v>
      </c>
      <c r="AQ162" s="1471">
        <f>0</f>
        <v>0</v>
      </c>
      <c r="AR162" s="1471">
        <f>0</f>
        <v>0</v>
      </c>
      <c r="AS162" s="1470">
        <f>-(1-Y_CASTO_STC_ox)/Y_CASTO_STC_ox</f>
        <v>-0.57750342935528098</v>
      </c>
      <c r="AT162" s="1470">
        <f>0</f>
        <v>0</v>
      </c>
      <c r="AU162" s="1470">
        <f>0</f>
        <v>0</v>
      </c>
      <c r="AV162" s="1470">
        <f>(i_CIT_STC/Y_CASTO_STC_ox)-i_CIT_BIO</f>
        <v>0.1733086419753086</v>
      </c>
      <c r="AW162" s="1470">
        <f>i_INORG</f>
        <v>0.11</v>
      </c>
      <c r="AX162" s="1470">
        <f>-i_INORG*(1-i_Ca_INORG*(A_MCa+2*A_MCl)/A_MCa-i_Mg_INORG*(A_MMg+2*A_MCl)/A_MMg)*f_Na</f>
        <v>-2.8804303582798466E-2</v>
      </c>
      <c r="AY162" s="1470">
        <f>-i_INORG*(i_Ca_INORG*(2*A_MCl)/A_MCa+i_Mg_INORG*(2*A_MCl)/A_MMg)-i_INORG*(1-i_Ca_INORG*(A_MCa+2*A_MCl)/A_MCa-i_Mg_INORG*(A_MMg+2*A_MCl)/A_MMg)*(1-f_Na)</f>
        <v>-7.0195696417201539E-2</v>
      </c>
      <c r="AZ162" s="1470">
        <f>-i_INORG*i_Ca_INORG</f>
        <v>-5.5000000000000005E-3</v>
      </c>
      <c r="BA162" s="1470">
        <f>-i_INORG*i_Mg_INORG</f>
        <v>-5.5000000000000005E-3</v>
      </c>
      <c r="BB162" s="1470">
        <f>0</f>
        <v>0</v>
      </c>
      <c r="BC162" s="1470">
        <f>0</f>
        <v>0</v>
      </c>
      <c r="BD162" s="1470">
        <f>0</f>
        <v>0</v>
      </c>
      <c r="BE162" s="1470">
        <f>0</f>
        <v>0</v>
      </c>
      <c r="BF162" s="1470">
        <f>0</f>
        <v>0</v>
      </c>
      <c r="BG162" s="1470">
        <f>0</f>
        <v>0</v>
      </c>
      <c r="BH162" s="1470">
        <f>0</f>
        <v>0</v>
      </c>
      <c r="BI162" s="1470">
        <f>0</f>
        <v>0</v>
      </c>
      <c r="BJ162" s="1470">
        <f>0</f>
        <v>0</v>
      </c>
      <c r="BK162" s="1470">
        <f>0</f>
        <v>0</v>
      </c>
      <c r="BL162" s="1470">
        <f>0</f>
        <v>0</v>
      </c>
      <c r="BM162" s="1470">
        <f>0</f>
        <v>0</v>
      </c>
      <c r="BN162" s="1470">
        <f>0</f>
        <v>0</v>
      </c>
      <c r="BO162" s="1470">
        <f>0</f>
        <v>0</v>
      </c>
      <c r="BP162" s="1470">
        <f>0</f>
        <v>0</v>
      </c>
      <c r="BQ162" s="1470">
        <f>0</f>
        <v>0</v>
      </c>
      <c r="BR162" s="1470">
        <f>0</f>
        <v>0</v>
      </c>
      <c r="BS162" s="1470">
        <f>0</f>
        <v>0</v>
      </c>
      <c r="BT162" s="1470">
        <f>0</f>
        <v>0</v>
      </c>
      <c r="BU162" s="1470">
        <f>0</f>
        <v>0</v>
      </c>
      <c r="BV162" s="1470">
        <f>0</f>
        <v>0</v>
      </c>
      <c r="BW162" s="2355">
        <f>0</f>
        <v>0</v>
      </c>
      <c r="BX162" s="2355">
        <f>0</f>
        <v>0</v>
      </c>
      <c r="BY162" s="2355">
        <f>0</f>
        <v>0</v>
      </c>
      <c r="BZ162" s="2355">
        <f>0</f>
        <v>0</v>
      </c>
      <c r="CA162" s="1470">
        <f>0</f>
        <v>0</v>
      </c>
      <c r="CB162" s="1470">
        <f>0</f>
        <v>0</v>
      </c>
      <c r="CC162" s="1470">
        <f>0</f>
        <v>0</v>
      </c>
      <c r="CD162" s="1470">
        <f>0</f>
        <v>0</v>
      </c>
      <c r="CE162" s="1470">
        <f>0</f>
        <v>0</v>
      </c>
      <c r="CF162" s="1470">
        <f>0</f>
        <v>0</v>
      </c>
      <c r="CG162" s="1470">
        <f>0</f>
        <v>0</v>
      </c>
      <c r="CH162" s="1470">
        <f>0</f>
        <v>0</v>
      </c>
      <c r="CI162" s="1470">
        <f>0</f>
        <v>0</v>
      </c>
      <c r="CJ162" s="1470">
        <f>0</f>
        <v>0</v>
      </c>
      <c r="CK162" s="1470">
        <f>0</f>
        <v>0</v>
      </c>
      <c r="CL162" s="1470">
        <f>0</f>
        <v>0</v>
      </c>
      <c r="CM162" s="1470">
        <f>0</f>
        <v>0</v>
      </c>
      <c r="CN162" s="1470">
        <f>0</f>
        <v>0</v>
      </c>
      <c r="CO162" s="1470">
        <f>0</f>
        <v>0</v>
      </c>
      <c r="CP162" s="1470">
        <f>0</f>
        <v>0</v>
      </c>
      <c r="CQ162" s="1470">
        <f>0</f>
        <v>0</v>
      </c>
      <c r="CR162" s="1470">
        <f>0</f>
        <v>0</v>
      </c>
      <c r="CS162" s="1470">
        <f>0</f>
        <v>0</v>
      </c>
      <c r="CT162" s="2482">
        <f>µ_CASTO_T*X_CASTO*M_RsatXSTC_XCASTO_KSTC*M_satSO2_KO2_CASTO*M_satSNHx_KNHx_BIO*M_satSPO4_KPO4_BIO*M_satSCAT_KCAT*M_satSAN_KAN*M_satSCa_KCa_PAO*M_satSMg_KMg_PAO*B_ellinhpH</f>
        <v>151.76849076728641</v>
      </c>
      <c r="CV162" s="2502">
        <f>E266*E162+F266*F162+G266*G162+H266*H162+I266*I162+J266*J162+K266*K162+L266*L162+M266*M162+N266*N162+O266*O162+P266*P162+Q266*Q162+R266*R162+S266*S162+T266*T162+U266*U162+V266*V162+W266*W162+X266*X162+Y266*Y162+Z266*Z162+AA266*AA162+AB266*AB162+AC266*AC162+AD266*AD162+AE266*AE162+AF266*AF162+AG266*AG162+AH266*AH162+AI266*AI162+AJ266*AJ162+AK266*AK162+AL266*AL162+AM266*AM162+AN266*AN162+AO266*AO162+AP266*AP162+AQ266*AQ162+AR266*AR162+AS266*AS162+AT266*AT162+AU266*AU162+AV266*AV162+AW266*AW162+AX266*AX162+AY266*AY162+AZ266*AZ162+BA266*BA162+BB266*BB162+BC266*BC162+BD266*BD162+BE266*BE162+BF266*BF162+BG266*BG162+BH266*BH162+BI266*BI162+BJ266*BJ162+BK266*BK162+BL266*BL162+BM266*BM162+BN266*BN162+BO266*BO162+BP266*BP162+BQ266*BQ162+BR266*BR162+BS266*BS162+BT266*BT162+BU266*BU162+BV266*BV162+BW266*BW162+BX266*BX162+BY266*BY162+BZ266*BZ162+CA266*CA162+CB266*CB162+CC266*CC162+CD266*CD162+CE266*CE162+CF266*CF162+CG266*CG162+CH266*CH162+CI266*CI162+CJ266*CJ162+CK266*CK162+CL266*CL162+CM266*CM162+CN266*CN162+CO266*CO162+CP266*CP162+CQ266*CQ162+CR266*CR162+CS266*CS162</f>
        <v>0</v>
      </c>
      <c r="CW162" s="2502">
        <f>E267*E162+F267*F162+G267*G162+H267*H162+I267*I162+J267*J162+K267*K162+L267*L162+M267*M162+N267*N162+O267*O162+P267*P162+Q267*Q162+R267*R162+S267*S162+T267*T162+U267*U162+V267*V162+W267*W162+X267*X162+Y267*Y162+Z267*Z162+AA267*AA162+AB267*AB162+AC267*AC162+AD267*AD162+AE267*AE162+AF267*AF162+AG267*AG162+AH267*AH162+AI267*AI162+AJ267*AJ162+AK267*AK162+AL267*AL162+AM267*AM162+AN267*AN162+AO267*AO162+AP267*AP162+AQ267*AQ162+AR267*AR162+AS267*AS162+AT267*AT162+AU267*AU162+AV267*AV162+AW267*AW162+AX267*AX162+AY267*AY162+AZ267*AZ162+BA267*BA162+BB267*BB162+BC267*BC162+BD267*BD162+BE267*BE162+BF267*BF162+BG267*BG162+BH267*BH162+BI267*BI162+BJ267*BJ162+BK267*BK162+BL267*BL162+BM267*BM162+BN267*BN162+BO267*BO162+BP267*BP162+BQ267*BQ162+BR267*BR162+BS267*BS162+BT267*BT162+BU267*BU162+BV267*BV162+BW267*BW162+BX267*BX162+BY267*BY162+BZ267*BZ162+CA267*CA162+CB267*CB162+CC267*CC162+CD267*CD162+CE267*CE162+CF267*CF162+CG267*CG162+CH267*CH162+CI267*CI162+CJ267*CJ162+CK267*CK162+CL267*CL162+CM267*CM162+CN267*CN162+CO267*CO162+CP267*CP162+CQ267*CQ162+CR267*CR162+CS267*CS162</f>
        <v>0</v>
      </c>
      <c r="CX162" s="2503">
        <f>E268*E162+F268*F162+G268*G162+H268*H162+I268*I162+J268*J162+K268*K162+L268*L162+M268*M162+N268*N162+O268*O162+P268*P162+Q268*Q162+R268*R162+S268*S162+T268*T162+U268*U162+V268*V162+W268*W162+X268*X162+Y268*Y162+Z268*Z162+AA268*AA162+AB268*AB162+AC268*AC162+AD268*AD162+AE268*AE162+AF268*AF162+AG268*AG162+AH268*AH162+AI268*AI162+AJ268*AJ162+AK268*AK162+AL268*AL162+AM268*AM162+AN268*AN162+AO268*AO162+AP268*AP162+AQ268*AQ162+AR268*AR162+AS268*AS162+AT268*AT162+AU268*AU162+AV268*AV162+AW268*AW162+AX268*AX162+AY268*AY162+AZ268*AZ162+BA268*BA162+BB268*BB162+BC268*BC162+BD268*BD162+BE268*BE162+BF268*BF162+BG268*BG162+BH268*BH162+BI268*BI162+BJ268*BJ162+BK268*BK162+BL268*BL162+BM268*BM162+BN268*BN162+BO268*BO162+BP268*BP162+BQ268*BQ162+BR268*BR162+BS268*BS162+BT268*BT162+BU268*BU162+BV268*BV162+BW268*BW162+BX268*BX162+BY268*BY162+BZ268*BZ162+CA268*CA162+CB268*CB162+CC268*CC162+CD268*CD162+CE268*CE162+CF268*CF162+CG268*CG162+CH268*CH162+CI268*CI162+CJ268*CJ162+CK268*CK162+CL268*CL162+CM268*CM162+CN268*CN162+CO268*CO162+CP268*CP162+CQ268*CQ162+CR268*CR162+CS268*CS162</f>
        <v>0</v>
      </c>
      <c r="CY162" s="2504">
        <f>E269*E162+F269*F162+G269*G162+H269*H162+I269*I162+J269*J162+K269*K162+L269*L162+M269*M162+N269*N162+O269*O162+P269*P162+Q269*Q162+R269*R162+S269*S162+T269*T162+U269*U162+V269*V162+W269*W162+X269*X162+Y269*Y162+Z269*Z162+AA269*AA162+AB269*AB162+AC269*AC162+AD269*AD162+AE269*AE162+AF269*AF162+AG269*AG162+AH269*AH162+AI269*AI162+AJ269*AJ162+AK269*AK162+AL269*AL162+AM269*AM162+AN269*AN162+AO269*AO162+AP269*AP162+AQ269*AQ162+AR269*AR162+AS269*AS162+AT269*AT162+AU269*AU162+AV269*AV162+AW269*AW162+AX269*AX162+AY269*AY162+AZ269*AZ162+BA269*BA162+BB269*BB162+BC269*BC162+BD269*BD162+BE269*BE162+BF269*BF162+BG269*BG162+BH269*BH162+BI269*BI162+BJ269*BJ162+BK269*BK162+BL269*BL162+BM269*BM162+BN269*BN162+BO269*BO162+BP269*BP162+BQ269*BQ162+BR269*BR162+BS269*BS162+BT269*BT162+BU269*BU162+BV269*BV162+BW269*BW162+BX269*BX162+BY269*BY162+BZ269*BZ162+CA269*CA162+CB269*CB162+CC269*CC162+CD269*CD162+CE269*CE162+CF269*CF162+CG269*CG162+CH269*CH162+CI269*CI162+CJ269*CJ162+CK269*CK162+CL269*CL162+CM269*CM162+CN269*CN162+CO269*CO162+CP269*CP162+CQ269*CQ162+CR269*CR162+CS269*CS162</f>
        <v>0</v>
      </c>
      <c r="CZ162" s="2504">
        <f>E270*E162+F270*F162+G270*G162+H270*H162+I270*I162+J270*J162+K270*K162+L270*L162+M270*M162+N270*N162+O270*O162+P270*P162+Q270*Q162+R270*R162+S270*S162+T270*T162+U270*U162+V270*V162+W270*W162+X270*X162+Y270*Y162+Z270*Z162+AA270*AA162+AB270*AB162+AC270*AC162+AD270*AD162+AE270*AE162+AF270*AF162+AG270*AG162+AH270*AH162+AI270*AI162+AJ270*AJ162+AK270*AK162+AL270*AL162+AM270*AM162+AN270*AN162+AO270*AO162+AP270*AP162+AQ270*AQ162+AR270*AR162+AS270*AS162+AT270*AT162+AU270*AU162+AV270*AV162+AW270*AW162+AX270*AX162+AY270*AY162+AZ270*AZ162+BA270*BA162+BB270*BB162+BC270*BC162+BD270*BD162+BE270*BE162+BF270*BF162+BG270*BG162+BH270*BH162+BI270*BI162+BJ270*BJ162+BK270*BK162+BL270*BL162+BM270*BM162+BN270*BN162+BO270*BO162+BP270*BP162+BQ270*BQ162+BR270*BR162+BS270*BS162+BT270*BT162+BU270*BU162+BV270*BV162+BW270*BW162+BX270*BX162+BY270*BY162+BZ270*BZ162+CA270*CA162+CB270*CB162+CC270*CC162+CD270*CD162+CE270*CE162+CF270*CF162+CG270*CG162+CH270*CH162+CI270*CI162+CJ270*CJ162+CK270*CK162+CL270*CL162+CM270*CM162+CN270*CN162+CO270*CO162+CP270*CP162+CQ270*CQ162+CR270*CR162+CS270*CS162</f>
        <v>0</v>
      </c>
      <c r="DA162" s="2504">
        <f>E271*E162+F271*F162+G271*G162+H271*H162+I271*I162+J271*J162+K271*K162+L271*L162+M271*M162+N271*N162+O271*O162+P271*P162+Q271*Q162+R271*R162+S271*S162+T271*T162+U271*U162+V271*V162+W271*W162+X271*X162+Y271*Y162+Z271*Z162+AA271*AA162+AB271*AB162+AC271*AC162+AD271*AD162+AE271*AE162+AF271*AF162+AG271*AG162+AH271*AH162+AI271*AI162+AJ271*AJ162+AK271*AK162+AL271*AL162+AM271*AM162+AN271*AN162+AO271*AO162+AP271*AP162+AQ271*AQ162+AR271*AR162+AS271*AS162+AT271*AT162+AU271*AU162+AV271*AV162+AW271*AW162+AX271*AX162+AY271*AY162+AZ271*AZ162+BA271*BA162+BB271*BB162+BC271*BC162+BD271*BD162+BE271*BE162+BF271*BF162+BG271*BG162+BH271*BH162+BI271*BI162+BJ271*BJ162+BK271*BK162+BL271*BL162+BM271*BM162+BN271*BN162+BO271*BO162+BP271*BP162+BQ271*BQ162+BR271*BR162+BS271*BS162+BT271*BT162+BU271*BU162+BV271*BV162+BW271*BW162+BX271*BX162+BY271*BY162+BZ271*BZ162+CA271*CA162+CB271*CB162+CC271*CC162+CD271*CD162+CE271*CE162+CF271*CF162+CG271*CG162+CH271*CH162+CI271*CI162+CJ271*CJ162+CK271*CK162+CL271*CL162+CM271*CM162+CN271*CN162+CO271*CO162+CP271*CP162+CQ271*CQ162+CR271*CR162+CS271*CS162</f>
        <v>0</v>
      </c>
      <c r="DB162" s="2504">
        <f>E272*E162+F272*F162+G272*G162+H272*H162+I272*I162+J272*J162+K272*K162+L272*L162+M272*M162+N272*N162+O272*O162+P272*P162+Q272*Q162+R272*R162+S272*S162+T272*T162+U272*U162+V272*V162+W272*W162+X272*X162+Y272*Y162+Z272*Z162+AA272*AA162+AB272*AB162+AC272*AC162+AD272*AD162+AE272*AE162+AF272*AF162+AG272*AG162+AH272*AH162+AI272*AI162+AJ272*AJ162+AK272*AK162+AL272*AL162+AM272*AM162+AN272*AN162+AO272*AO162+AP272*AP162+AQ272*AQ162+AR272*AR162+AS272*AS162+AT272*AT162+AU272*AU162+AV272*AV162+AW272*AW162+AX272*AX162+AY272*AY162+AZ272*AZ162+BA272*BA162+BB272*BB162+BC272*BC162+BD272*BD162+BE272*BE162+BF272*BF162+BG272*BG162+BH272*BH162+BI272*BI162+BJ272*BJ162+BK272*BK162+BL272*BL162+BM272*BM162+BN272*BN162+BO272*BO162+BP272*BP162+BQ272*BQ162+BR272*BR162+BS272*BS162+BT272*BT162+BU272*BU162+BV272*BV162+BW272*BW162+BX272*BX162+BY272*BY162+BZ272*BZ162+CA272*CA162+CB272*CB162+CC272*CC162+CD272*CD162+CE272*CE162+CF272*CF162+CG272*CG162+CH272*CH162+CI272*CI162+CJ272*CJ162+CK272*CK162+CL272*CL162+CM272*CM162+CN272*CN162+CO272*CO162+CP272*CP162+CQ272*CQ162+CR272*CR162+CS272*CS162</f>
        <v>0</v>
      </c>
      <c r="DC162" s="2504">
        <f>E273*E162+F273*F162+G273*G162+H273*H162+I273*I162+J273*J162+K273*K162+L273*L162+M273*M162+N273*N162+O273*O162+P273*P162+Q273*Q162+R273*R162+S273*S162+T273*T162+U273*U162+V273*V162+W273*W162+X273*X162+Y273*Y162+Z273*Z162+AA273*AA162+AB273*AB162+AC273*AC162+AD273*AD162+AE273*AE162+AF273*AF162+AG273*AG162+AH273*AH162+AI273*AI162+AJ273*AJ162+AK273*AK162+AL273*AL162+AM273*AM162+AN273*AN162+AO273*AO162+AP273*AP162+AQ273*AQ162+AR273*AR162+AS273*AS162+AT273*AT162+AU273*AU162+AV273*AV162+AW273*AW162+AX273*AX162+AY273*AY162+AZ273*AZ162+BA273*BA162+BB273*BB162+BC273*BC162+BD273*BD162+BE273*BE162+BF273*BF162+BG273*BG162+BH273*BH162+BI273*BI162+BJ273*BJ162+BK273*BK162+BL273*BL162+BM273*BM162+BN273*BN162+BO273*BO162+BP273*BP162+BQ273*BQ162+BR273*BR162+BS273*BS162+BT273*BT162+BU273*BU162+BV273*BV162+BW273*BW162+BX273*BX162+BY273*BY162+BZ273*BZ162+CA273*CA162+CB273*CB162+CC273*CC162+CD273*CD162+CE273*CE162+CF273*CF162+CG273*CG162+CH273*CH162+CI273*CI162+CJ273*CJ162+CK273*CK162+CL273*CL162+CM273*CM162+CN273*CN162+CO273*CO162+CP273*CP162+CQ273*CQ162+CR273*CR162+CS273*CS162</f>
        <v>0</v>
      </c>
      <c r="DD162" s="2504">
        <f>E274*E162+F274*F162+G274*G162+H274*H162+I274*I162+J274*J162+K274*K162+L274*L162+M274*M162+N274*N162+O274*O162+P274*P162+Q274*Q162+R274*R162+S274*S162+T274*T162+U274*U162+V274*V162+W274*W162+X274*X162+Y274*Y162+Z274*Z162+AA274*AA162+AB274*AB162+AC274*AC162+AD274*AD162+AE274*AE162+AF274*AF162+AG274*AG162+AH274*AH162+AI274*AI162+AJ274*AJ162+AK274*AK162+AL274*AL162+AM274*AM162+AN274*AN162+AO274*AO162+AP274*AP162+AQ274*AQ162+AR274*AR162+AS274*AS162+AT274*AT162+AU274*AU162+AV274*AV162+AW274*AW162+AX274*AX162+AY274*AY162+AZ274*AZ162+BA274*BA162+BB274*BB162+BC274*BC162+BD274*BD162+BE274*BE162+BF274*BF162+BG274*BG162+BH274*BH162+BI274*BI162+BJ274*BJ162+BK274*BK162+BL274*BL162+BM274*BM162+BN274*BN162+BO274*BO162+BP274*BP162+BQ274*BQ162+BR274*BR162+BS274*BS162+BT274*BT162+BU274*BU162+BV274*BV162+BW274*BW162+BX274*BX162+BY274*BY162+BZ274*BZ162+CA274*CA162+CB274*CB162+CC274*CC162+CD274*CD162+CE274*CE162+CF274*CF162+CG274*CG162+CH274*CH162+CI274*CI162+CJ274*CJ162+CK274*CK162+CL274*CL162+CM274*CM162+CN274*CN162+CO274*CO162+CP274*CP162+CQ274*CQ162+CR274*CR162+CS274*CS162</f>
        <v>0</v>
      </c>
      <c r="DE162" s="2504">
        <f>E275*E162+F275*F162+G275*G162+H275*H162+I275*I162+J275*J162+K275*K162+L275*L162+M275*M162+N275*N162+O275*O162+P275*P162+Q275*Q162+R275*R162+S275*S162+T275*T162+U275*U162+V275*V162+W275*W162+X275*X162+Y275*Y162+Z275*Z162+AA275*AA162+AB275*AB162+AC275*AC162+AD275*AD162+AE275*AE162+AF275*AF162+AG275*AG162+AH275*AH162+AI275*AI162+AJ275*AJ162+AK275*AK162+AL275*AL162+AM275*AM162+AN275*AN162+AO275*AO162+AP275*AP162+AQ275*AQ162+AR275*AR162+AS275*AS162+AT275*AT162+AU275*AU162+AV275*AV162+AW275*AW162+AX275*AX162+AY275*AY162+AZ275*AZ162+BA275*BA162+BB275*BB162+BC275*BC162+BD275*BD162+BE275*BE162+BF275*BF162+BG275*BG162+BH275*BH162+BI275*BI162+BJ275*BJ162+BK275*BK162+BL275*BL162+BM275*BM162+BN275*BN162+BO275*BO162+BP275*BP162+BQ275*BQ162+BR275*BR162+BS275*BS162+BT275*BT162+BU275*BU162+BV275*BV162+BW275*BW162+BX275*BX162+BY275*BY162+BZ275*BZ162+CA275*CA162+CB275*CB162+CC275*CC162+CD275*CD162+CE275*CE162+CF275*CF162+CG275*CG162+CH275*CH162+CI275*CI162+CJ275*CJ162+CK275*CK162+CL275*CL162+CM275*CM162+CN275*CN162+CO275*CO162+CP275*CP162+CQ275*CQ162+CR275*CR162+CS275*CS162</f>
        <v>0</v>
      </c>
      <c r="DF162" s="2504">
        <f>E276*E162+F276*F162+G276*G162+H276*H162+I276*I162+J276*J162+K276*K162+L276*L162+M276*M162+N276*N162+O276*O162+P276*P162+Q276*Q162+R276*R162+S276*S162+T276*T162+U276*U162+V276*V162+W276*W162+X276*X162+Y276*Y162+Z276*Z162+AA276*AA162+AB276*AB162+AC276*AC162+AD276*AD162+AE276*AE162+AF276*AF162+AG276*AG162+AH276*AH162+AI276*AI162+AJ276*AJ162+AK276*AK162+AL276*AL162+AM276*AM162+AN276*AN162+AO276*AO162+AP276*AP162+AQ276*AQ162+AR276*AR162+AS276*AS162+AT276*AT162+AU276*AU162+AV276*AV162+AW276*AW162+AX276*AX162+AY276*AY162+AZ276*AZ162+BA276*BA162+BB276*BB162+BC276*BC162+BD276*BD162+BE276*BE162+BF276*BF162+BG276*BG162+BH276*BH162+BI276*BI162+BJ276*BJ162+BK276*BK162+BL276*BL162+BM276*BM162+BN276*BN162+BO276*BO162+BP276*BP162+BQ276*BQ162+BR276*BR162+BS276*BS162+BT276*BT162+BU276*BU162+BV276*BV162+BW276*BW162+BX276*BX162+BY276*BY162+BZ276*BZ162+CA276*CA162+CB276*CB162+CC276*CC162+CD276*CD162+CE276*CE162+CF276*CF162+CG276*CG162+CH276*CH162+CI276*CI162+CJ276*CJ162+CK276*CK162+CL276*CL162+CM276*CM162+CN276*CN162+CO276*CO162+CP276*CP162+CQ276*CQ162+CR276*CR162+CS276*CS162</f>
        <v>0</v>
      </c>
    </row>
    <row r="163" spans="2:110" ht="18" x14ac:dyDescent="0.25">
      <c r="B163" s="1565">
        <v>21</v>
      </c>
      <c r="C163" s="1566" t="s">
        <v>244</v>
      </c>
      <c r="D163" s="2449" t="s">
        <v>5504</v>
      </c>
      <c r="E163" s="1471">
        <f>0</f>
        <v>0</v>
      </c>
      <c r="F163" s="1471">
        <f>0</f>
        <v>0</v>
      </c>
      <c r="G163" s="1471">
        <f>0</f>
        <v>0</v>
      </c>
      <c r="H163" s="1471">
        <f>0</f>
        <v>0</v>
      </c>
      <c r="I163" s="1471">
        <f>0</f>
        <v>0</v>
      </c>
      <c r="J163" s="1471">
        <f>0</f>
        <v>0</v>
      </c>
      <c r="K163" s="1471">
        <f>0</f>
        <v>0</v>
      </c>
      <c r="L163" s="1471">
        <f>0</f>
        <v>0</v>
      </c>
      <c r="M163" s="1471">
        <f>0</f>
        <v>0</v>
      </c>
      <c r="N163" s="2355">
        <f>-(X_PHA_PAO/X_STC)/Y_CASTO_STC_anox</f>
        <v>-1.680672268907563</v>
      </c>
      <c r="O163" s="2355">
        <f>-(X_PHA_GAO/X_STC)/Y_CASTO_STC_anox</f>
        <v>-0.25210084033613445</v>
      </c>
      <c r="P163" s="1471">
        <f>0</f>
        <v>0</v>
      </c>
      <c r="Q163" s="1471">
        <f>0</f>
        <v>0</v>
      </c>
      <c r="R163" s="1471">
        <f>0</f>
        <v>0</v>
      </c>
      <c r="S163" s="1471">
        <f>1</f>
        <v>1</v>
      </c>
      <c r="T163" s="1471">
        <f>0</f>
        <v>0</v>
      </c>
      <c r="U163" s="1471">
        <f>0</f>
        <v>0</v>
      </c>
      <c r="V163" s="1471">
        <f>0</f>
        <v>0</v>
      </c>
      <c r="W163" s="1471">
        <f>0</f>
        <v>0</v>
      </c>
      <c r="X163" s="1471">
        <f>0</f>
        <v>0</v>
      </c>
      <c r="Y163" s="1471">
        <f>0</f>
        <v>0</v>
      </c>
      <c r="Z163" s="1471">
        <f>0</f>
        <v>0</v>
      </c>
      <c r="AA163" s="1471">
        <f>-i_N_BIO</f>
        <v>-7.0000000000000007E-2</v>
      </c>
      <c r="AB163" s="1470">
        <f>0</f>
        <v>0</v>
      </c>
      <c r="AC163" s="1470">
        <f>0</f>
        <v>0</v>
      </c>
      <c r="AD163" s="1470">
        <f>-(1-Y_CASTO_STC_anox)/(E_EQN2_NO2*Y_CASTO_STC_anox)</f>
        <v>-0.54439846116078094</v>
      </c>
      <c r="AE163" s="1471">
        <f>0</f>
        <v>0</v>
      </c>
      <c r="AF163" s="1471">
        <f>0</f>
        <v>0</v>
      </c>
      <c r="AG163" s="1471">
        <f>0</f>
        <v>0</v>
      </c>
      <c r="AH163" s="1470">
        <f>(1-Y_CASTO_STC_anox)/(E_EQN2_NO2*Y_CASTO_STC_anox)</f>
        <v>0.54439846116078094</v>
      </c>
      <c r="AI163" s="1470">
        <f>0</f>
        <v>0</v>
      </c>
      <c r="AJ163" s="1470">
        <f>0</f>
        <v>0</v>
      </c>
      <c r="AK163" s="1470">
        <f>0</f>
        <v>0</v>
      </c>
      <c r="AL163" s="1470">
        <f>0</f>
        <v>0</v>
      </c>
      <c r="AM163" s="1470">
        <f>-i_P_BIO</f>
        <v>-0.02</v>
      </c>
      <c r="AN163" s="1471">
        <f>0</f>
        <v>0</v>
      </c>
      <c r="AO163" s="1471">
        <f>0</f>
        <v>0</v>
      </c>
      <c r="AP163" s="1471">
        <f>0</f>
        <v>0</v>
      </c>
      <c r="AQ163" s="1471">
        <f>0</f>
        <v>0</v>
      </c>
      <c r="AR163" s="1471">
        <f>0</f>
        <v>0</v>
      </c>
      <c r="AS163" s="1470">
        <f>0</f>
        <v>0</v>
      </c>
      <c r="AT163" s="1470">
        <f>0</f>
        <v>0</v>
      </c>
      <c r="AU163" s="1470">
        <f>0</f>
        <v>0</v>
      </c>
      <c r="AV163" s="1470">
        <f>(i_CIT_STC/Y_CASTO_STC_anox)-i_CIT_BIO</f>
        <v>0.29161344537815126</v>
      </c>
      <c r="AW163" s="1470">
        <f>i_INORG</f>
        <v>0.11</v>
      </c>
      <c r="AX163" s="1470">
        <f>-i_INORG*(1-i_Ca_INORG*(A_MCa+2*A_MCl)/A_MCa-i_Mg_INORG*(A_MMg+2*A_MCl)/A_MMg)*f_Na</f>
        <v>-2.8804303582798466E-2</v>
      </c>
      <c r="AY163" s="1470">
        <f>-i_INORG*(i_Ca_INORG*(2*A_MCl)/A_MCa+i_Mg_INORG*(2*A_MCl)/A_MMg)-i_INORG*(1-i_Ca_INORG*(A_MCa+2*A_MCl)/A_MCa-i_Mg_INORG*(A_MMg+2*A_MCl)/A_MMg)*(1-f_Na)</f>
        <v>-7.0195696417201539E-2</v>
      </c>
      <c r="AZ163" s="1470">
        <f>-i_INORG*i_Ca_INORG</f>
        <v>-5.5000000000000005E-3</v>
      </c>
      <c r="BA163" s="1470">
        <f>-i_INORG*i_Mg_INORG</f>
        <v>-5.5000000000000005E-3</v>
      </c>
      <c r="BB163" s="1470">
        <f>0</f>
        <v>0</v>
      </c>
      <c r="BC163" s="1470">
        <f>0</f>
        <v>0</v>
      </c>
      <c r="BD163" s="1470">
        <f>0</f>
        <v>0</v>
      </c>
      <c r="BE163" s="1470">
        <f>0</f>
        <v>0</v>
      </c>
      <c r="BF163" s="1470">
        <f>0</f>
        <v>0</v>
      </c>
      <c r="BG163" s="1470">
        <f>0</f>
        <v>0</v>
      </c>
      <c r="BH163" s="1470">
        <f>0</f>
        <v>0</v>
      </c>
      <c r="BI163" s="1470">
        <f>0</f>
        <v>0</v>
      </c>
      <c r="BJ163" s="1470">
        <f>0</f>
        <v>0</v>
      </c>
      <c r="BK163" s="1470">
        <f>0</f>
        <v>0</v>
      </c>
      <c r="BL163" s="1470">
        <f>0</f>
        <v>0</v>
      </c>
      <c r="BM163" s="1470">
        <f>0</f>
        <v>0</v>
      </c>
      <c r="BN163" s="1470">
        <f>0</f>
        <v>0</v>
      </c>
      <c r="BO163" s="1470">
        <f>0</f>
        <v>0</v>
      </c>
      <c r="BP163" s="1470">
        <f>0</f>
        <v>0</v>
      </c>
      <c r="BQ163" s="1470">
        <f>0</f>
        <v>0</v>
      </c>
      <c r="BR163" s="1470">
        <f>0</f>
        <v>0</v>
      </c>
      <c r="BS163" s="1470">
        <f>0</f>
        <v>0</v>
      </c>
      <c r="BT163" s="1470">
        <f>0</f>
        <v>0</v>
      </c>
      <c r="BU163" s="1470">
        <f>0</f>
        <v>0</v>
      </c>
      <c r="BV163" s="1470">
        <f>0</f>
        <v>0</v>
      </c>
      <c r="BW163" s="2355">
        <f>0</f>
        <v>0</v>
      </c>
      <c r="BX163" s="2355">
        <f>0</f>
        <v>0</v>
      </c>
      <c r="BY163" s="2355">
        <f>0</f>
        <v>0</v>
      </c>
      <c r="BZ163" s="2355">
        <f>0</f>
        <v>0</v>
      </c>
      <c r="CA163" s="1470">
        <f>0</f>
        <v>0</v>
      </c>
      <c r="CB163" s="1470">
        <f>0</f>
        <v>0</v>
      </c>
      <c r="CC163" s="1470">
        <f>0</f>
        <v>0</v>
      </c>
      <c r="CD163" s="1470">
        <f>0</f>
        <v>0</v>
      </c>
      <c r="CE163" s="1470">
        <f>0</f>
        <v>0</v>
      </c>
      <c r="CF163" s="1470">
        <f>0</f>
        <v>0</v>
      </c>
      <c r="CG163" s="1470">
        <f>0</f>
        <v>0</v>
      </c>
      <c r="CH163" s="1470">
        <f>0</f>
        <v>0</v>
      </c>
      <c r="CI163" s="1470">
        <f>0</f>
        <v>0</v>
      </c>
      <c r="CJ163" s="1470">
        <f>0</f>
        <v>0</v>
      </c>
      <c r="CK163" s="1470">
        <f>0</f>
        <v>0</v>
      </c>
      <c r="CL163" s="1470">
        <f>0</f>
        <v>0</v>
      </c>
      <c r="CM163" s="1470">
        <f>0</f>
        <v>0</v>
      </c>
      <c r="CN163" s="1470">
        <f>0</f>
        <v>0</v>
      </c>
      <c r="CO163" s="1470">
        <f>0</f>
        <v>0</v>
      </c>
      <c r="CP163" s="1470">
        <f>0</f>
        <v>0</v>
      </c>
      <c r="CQ163" s="1470">
        <f>0</f>
        <v>0</v>
      </c>
      <c r="CR163" s="1470">
        <f>0</f>
        <v>0</v>
      </c>
      <c r="CS163" s="1470">
        <f>0</f>
        <v>0</v>
      </c>
      <c r="CT163" s="2482">
        <f>µ_CASTO_T*X_CASTO*η_CASTO_anox*M_RsatXSTC_XCASTO_KSTC*M_satSNO2_KNO2_CASTO*M_inhSO2_KO2_CASTO*M_satSNHx_KNHx_BIO*M_satSPO4_KPO4_BIO*M_satSCAT_KCAT*M_satSAN_KAN*M_satSCa_KCa_PAO*M_satSMg_KMg_PAO*B_ellinhpH</f>
        <v>1.6694533984401503</v>
      </c>
      <c r="CV163" s="2502">
        <f>E266*E163+F266*F163+G266*G163+H266*H163+I266*I163+J266*J163+K266*K163+L266*L163+M266*M163+N266*N163+O266*O163+P266*P163+Q266*Q163+R266*R163+S266*S163+T266*T163+U266*U163+V266*V163+W266*W163+X266*X163+Y266*Y163+Z266*Z163+AA266*AA163+AB266*AB163+AC266*AC163+AD266*AD163+AE266*AE163+AF266*AF163+AG266*AG163+AH266*AH163+AI266*AI163+AJ266*AJ163+AK266*AK163+AL266*AL163+AM266*AM163+AN266*AN163+AO266*AO163+AP266*AP163+AQ266*AQ163+AR266*AR163+AS266*AS163+AT266*AT163+AU266*AU163+AV266*AV163+AW266*AW163+AX266*AX163+AY266*AY163+AZ266*AZ163+BA266*BA163+BB266*BB163+BC266*BC163+BD266*BD163+BE266*BE163+BF266*BF163+BG266*BG163+BH266*BH163+BI266*BI163+BJ266*BJ163+BK266*BK163+BL266*BL163+BM266*BM163+BN266*BN163+BO266*BO163+BP266*BP163+BQ266*BQ163+BR266*BR163+BS266*BS163+BT266*BT163+BU266*BU163+BV266*BV163+BW266*BW163+BX266*BX163+BY266*BY163+BZ266*BZ163+CA266*CA163+CB266*CB163+CC266*CC163+CD266*CD163+CE266*CE163+CF266*CF163+CG266*CG163+CH266*CH163+CI266*CI163+CJ266*CJ163+CK266*CK163+CL266*CL163+CM266*CM163+CN266*CN163+CO266*CO163+CP266*CP163+CQ266*CQ163+CR266*CR163+CS266*CS163</f>
        <v>-1.1102230246251565E-16</v>
      </c>
      <c r="CW163" s="2502">
        <f>E267*E163+F267*F163+G267*G163+H267*H163+I267*I163+J267*J163+K267*K163+L267*L163+M267*M163+N267*N163+O267*O163+P267*P163+Q267*Q163+R267*R163+S267*S163+T267*T163+U267*U163+V267*V163+W267*W163+X267*X163+Y267*Y163+Z267*Z163+AA267*AA163+AB267*AB163+AC267*AC163+AD267*AD163+AE267*AE163+AF267*AF163+AG267*AG163+AH267*AH163+AI267*AI163+AJ267*AJ163+AK267*AK163+AL267*AL163+AM267*AM163+AN267*AN163+AO267*AO163+AP267*AP163+AQ267*AQ163+AR267*AR163+AS267*AS163+AT267*AT163+AU267*AU163+AV267*AV163+AW267*AW163+AX267*AX163+AY267*AY163+AZ267*AZ163+BA267*BA163+BB267*BB163+BC267*BC163+BD267*BD163+BE267*BE163+BF267*BF163+BG267*BG163+BH267*BH163+BI267*BI163+BJ267*BJ163+BK267*BK163+BL267*BL163+BM267*BM163+BN267*BN163+BO267*BO163+BP267*BP163+BQ267*BQ163+BR267*BR163+BS267*BS163+BT267*BT163+BU267*BU163+BV267*BV163+BW267*BW163+BX267*BX163+BY267*BY163+BZ267*BZ163+CA267*CA163+CB267*CB163+CC267*CC163+CD267*CD163+CE267*CE163+CF267*CF163+CG267*CG163+CH267*CH163+CI267*CI163+CJ267*CJ163+CK267*CK163+CL267*CL163+CM267*CM163+CN267*CN163+CO267*CO163+CP267*CP163+CQ267*CQ163+CR267*CR163+CS267*CS163</f>
        <v>0</v>
      </c>
      <c r="CX163" s="2503">
        <f>E268*E163+F268*F163+G268*G163+H268*H163+I268*I163+J268*J163+K268*K163+L268*L163+M268*M163+N268*N163+O268*O163+P268*P163+Q268*Q163+R268*R163+S268*S163+T268*T163+U268*U163+V268*V163+W268*W163+X268*X163+Y268*Y163+Z268*Z163+AA268*AA163+AB268*AB163+AC268*AC163+AD268*AD163+AE268*AE163+AF268*AF163+AG268*AG163+AH268*AH163+AI268*AI163+AJ268*AJ163+AK268*AK163+AL268*AL163+AM268*AM163+AN268*AN163+AO268*AO163+AP268*AP163+AQ268*AQ163+AR268*AR163+AS268*AS163+AT268*AT163+AU268*AU163+AV268*AV163+AW268*AW163+AX268*AX163+AY268*AY163+AZ268*AZ163+BA268*BA163+BB268*BB163+BC268*BC163+BD268*BD163+BE268*BE163+BF268*BF163+BG268*BG163+BH268*BH163+BI268*BI163+BJ268*BJ163+BK268*BK163+BL268*BL163+BM268*BM163+BN268*BN163+BO268*BO163+BP268*BP163+BQ268*BQ163+BR268*BR163+BS268*BS163+BT268*BT163+BU268*BU163+BV268*BV163+BW268*BW163+BX268*BX163+BY268*BY163+BZ268*BZ163+CA268*CA163+CB268*CB163+CC268*CC163+CD268*CD163+CE268*CE163+CF268*CF163+CG268*CG163+CH268*CH163+CI268*CI163+CJ268*CJ163+CK268*CK163+CL268*CL163+CM268*CM163+CN268*CN163+CO268*CO163+CP268*CP163+CQ268*CQ163+CR268*CR163+CS268*CS163</f>
        <v>0</v>
      </c>
      <c r="CY163" s="2504">
        <f>E269*E163+F269*F163+G269*G163+H269*H163+I269*I163+J269*J163+K269*K163+L269*L163+M269*M163+N269*N163+O269*O163+P269*P163+Q269*Q163+R269*R163+S269*S163+T269*T163+U269*U163+V269*V163+W269*W163+X269*X163+Y269*Y163+Z269*Z163+AA269*AA163+AB269*AB163+AC269*AC163+AD269*AD163+AE269*AE163+AF269*AF163+AG269*AG163+AH269*AH163+AI269*AI163+AJ269*AJ163+AK269*AK163+AL269*AL163+AM269*AM163+AN269*AN163+AO269*AO163+AP269*AP163+AQ269*AQ163+AR269*AR163+AS269*AS163+AT269*AT163+AU269*AU163+AV269*AV163+AW269*AW163+AX269*AX163+AY269*AY163+AZ269*AZ163+BA269*BA163+BB269*BB163+BC269*BC163+BD269*BD163+BE269*BE163+BF269*BF163+BG269*BG163+BH269*BH163+BI269*BI163+BJ269*BJ163+BK269*BK163+BL269*BL163+BM269*BM163+BN269*BN163+BO269*BO163+BP269*BP163+BQ269*BQ163+BR269*BR163+BS269*BS163+BT269*BT163+BU269*BU163+BV269*BV163+BW269*BW163+BX269*BX163+BY269*BY163+BZ269*BZ163+CA269*CA163+CB269*CB163+CC269*CC163+CD269*CD163+CE269*CE163+CF269*CF163+CG269*CG163+CH269*CH163+CI269*CI163+CJ269*CJ163+CK269*CK163+CL269*CL163+CM269*CM163+CN269*CN163+CO269*CO163+CP269*CP163+CQ269*CQ163+CR269*CR163+CS269*CS163</f>
        <v>0</v>
      </c>
      <c r="CZ163" s="2504">
        <f>E270*E163+F270*F163+G270*G163+H270*H163+I270*I163+J270*J163+K270*K163+L270*L163+M270*M163+N270*N163+O270*O163+P270*P163+Q270*Q163+R270*R163+S270*S163+T270*T163+U270*U163+V270*V163+W270*W163+X270*X163+Y270*Y163+Z270*Z163+AA270*AA163+AB270*AB163+AC270*AC163+AD270*AD163+AE270*AE163+AF270*AF163+AG270*AG163+AH270*AH163+AI270*AI163+AJ270*AJ163+AK270*AK163+AL270*AL163+AM270*AM163+AN270*AN163+AO270*AO163+AP270*AP163+AQ270*AQ163+AR270*AR163+AS270*AS163+AT270*AT163+AU270*AU163+AV270*AV163+AW270*AW163+AX270*AX163+AY270*AY163+AZ270*AZ163+BA270*BA163+BB270*BB163+BC270*BC163+BD270*BD163+BE270*BE163+BF270*BF163+BG270*BG163+BH270*BH163+BI270*BI163+BJ270*BJ163+BK270*BK163+BL270*BL163+BM270*BM163+BN270*BN163+BO270*BO163+BP270*BP163+BQ270*BQ163+BR270*BR163+BS270*BS163+BT270*BT163+BU270*BU163+BV270*BV163+BW270*BW163+BX270*BX163+BY270*BY163+BZ270*BZ163+CA270*CA163+CB270*CB163+CC270*CC163+CD270*CD163+CE270*CE163+CF270*CF163+CG270*CG163+CH270*CH163+CI270*CI163+CJ270*CJ163+CK270*CK163+CL270*CL163+CM270*CM163+CN270*CN163+CO270*CO163+CP270*CP163+CQ270*CQ163+CR270*CR163+CS270*CS163</f>
        <v>0</v>
      </c>
      <c r="DA163" s="2504">
        <f>E271*E163+F271*F163+G271*G163+H271*H163+I271*I163+J271*J163+K271*K163+L271*L163+M271*M163+N271*N163+O271*O163+P271*P163+Q271*Q163+R271*R163+S271*S163+T271*T163+U271*U163+V271*V163+W271*W163+X271*X163+Y271*Y163+Z271*Z163+AA271*AA163+AB271*AB163+AC271*AC163+AD271*AD163+AE271*AE163+AF271*AF163+AG271*AG163+AH271*AH163+AI271*AI163+AJ271*AJ163+AK271*AK163+AL271*AL163+AM271*AM163+AN271*AN163+AO271*AO163+AP271*AP163+AQ271*AQ163+AR271*AR163+AS271*AS163+AT271*AT163+AU271*AU163+AV271*AV163+AW271*AW163+AX271*AX163+AY271*AY163+AZ271*AZ163+BA271*BA163+BB271*BB163+BC271*BC163+BD271*BD163+BE271*BE163+BF271*BF163+BG271*BG163+BH271*BH163+BI271*BI163+BJ271*BJ163+BK271*BK163+BL271*BL163+BM271*BM163+BN271*BN163+BO271*BO163+BP271*BP163+BQ271*BQ163+BR271*BR163+BS271*BS163+BT271*BT163+BU271*BU163+BV271*BV163+BW271*BW163+BX271*BX163+BY271*BY163+BZ271*BZ163+CA271*CA163+CB271*CB163+CC271*CC163+CD271*CD163+CE271*CE163+CF271*CF163+CG271*CG163+CH271*CH163+CI271*CI163+CJ271*CJ163+CK271*CK163+CL271*CL163+CM271*CM163+CN271*CN163+CO271*CO163+CP271*CP163+CQ271*CQ163+CR271*CR163+CS271*CS163</f>
        <v>0</v>
      </c>
      <c r="DB163" s="2504">
        <f>E272*E163+F272*F163+G272*G163+H272*H163+I272*I163+J272*J163+K272*K163+L272*L163+M272*M163+N272*N163+O272*O163+P272*P163+Q272*Q163+R272*R163+S272*S163+T272*T163+U272*U163+V272*V163+W272*W163+X272*X163+Y272*Y163+Z272*Z163+AA272*AA163+AB272*AB163+AC272*AC163+AD272*AD163+AE272*AE163+AF272*AF163+AG272*AG163+AH272*AH163+AI272*AI163+AJ272*AJ163+AK272*AK163+AL272*AL163+AM272*AM163+AN272*AN163+AO272*AO163+AP272*AP163+AQ272*AQ163+AR272*AR163+AS272*AS163+AT272*AT163+AU272*AU163+AV272*AV163+AW272*AW163+AX272*AX163+AY272*AY163+AZ272*AZ163+BA272*BA163+BB272*BB163+BC272*BC163+BD272*BD163+BE272*BE163+BF272*BF163+BG272*BG163+BH272*BH163+BI272*BI163+BJ272*BJ163+BK272*BK163+BL272*BL163+BM272*BM163+BN272*BN163+BO272*BO163+BP272*BP163+BQ272*BQ163+BR272*BR163+BS272*BS163+BT272*BT163+BU272*BU163+BV272*BV163+BW272*BW163+BX272*BX163+BY272*BY163+BZ272*BZ163+CA272*CA163+CB272*CB163+CC272*CC163+CD272*CD163+CE272*CE163+CF272*CF163+CG272*CG163+CH272*CH163+CI272*CI163+CJ272*CJ163+CK272*CK163+CL272*CL163+CM272*CM163+CN272*CN163+CO272*CO163+CP272*CP163+CQ272*CQ163+CR272*CR163+CS272*CS163</f>
        <v>0</v>
      </c>
      <c r="DC163" s="2504">
        <f>E273*E163+F273*F163+G273*G163+H273*H163+I273*I163+J273*J163+K273*K163+L273*L163+M273*M163+N273*N163+O273*O163+P273*P163+Q273*Q163+R273*R163+S273*S163+T273*T163+U273*U163+V273*V163+W273*W163+X273*X163+Y273*Y163+Z273*Z163+AA273*AA163+AB273*AB163+AC273*AC163+AD273*AD163+AE273*AE163+AF273*AF163+AG273*AG163+AH273*AH163+AI273*AI163+AJ273*AJ163+AK273*AK163+AL273*AL163+AM273*AM163+AN273*AN163+AO273*AO163+AP273*AP163+AQ273*AQ163+AR273*AR163+AS273*AS163+AT273*AT163+AU273*AU163+AV273*AV163+AW273*AW163+AX273*AX163+AY273*AY163+AZ273*AZ163+BA273*BA163+BB273*BB163+BC273*BC163+BD273*BD163+BE273*BE163+BF273*BF163+BG273*BG163+BH273*BH163+BI273*BI163+BJ273*BJ163+BK273*BK163+BL273*BL163+BM273*BM163+BN273*BN163+BO273*BO163+BP273*BP163+BQ273*BQ163+BR273*BR163+BS273*BS163+BT273*BT163+BU273*BU163+BV273*BV163+BW273*BW163+BX273*BX163+BY273*BY163+BZ273*BZ163+CA273*CA163+CB273*CB163+CC273*CC163+CD273*CD163+CE273*CE163+CF273*CF163+CG273*CG163+CH273*CH163+CI273*CI163+CJ273*CJ163+CK273*CK163+CL273*CL163+CM273*CM163+CN273*CN163+CO273*CO163+CP273*CP163+CQ273*CQ163+CR273*CR163+CS273*CS163</f>
        <v>0</v>
      </c>
      <c r="DD163" s="2504">
        <f>E274*E163+F274*F163+G274*G163+H274*H163+I274*I163+J274*J163+K274*K163+L274*L163+M274*M163+N274*N163+O274*O163+P274*P163+Q274*Q163+R274*R163+S274*S163+T274*T163+U274*U163+V274*V163+W274*W163+X274*X163+Y274*Y163+Z274*Z163+AA274*AA163+AB274*AB163+AC274*AC163+AD274*AD163+AE274*AE163+AF274*AF163+AG274*AG163+AH274*AH163+AI274*AI163+AJ274*AJ163+AK274*AK163+AL274*AL163+AM274*AM163+AN274*AN163+AO274*AO163+AP274*AP163+AQ274*AQ163+AR274*AR163+AS274*AS163+AT274*AT163+AU274*AU163+AV274*AV163+AW274*AW163+AX274*AX163+AY274*AY163+AZ274*AZ163+BA274*BA163+BB274*BB163+BC274*BC163+BD274*BD163+BE274*BE163+BF274*BF163+BG274*BG163+BH274*BH163+BI274*BI163+BJ274*BJ163+BK274*BK163+BL274*BL163+BM274*BM163+BN274*BN163+BO274*BO163+BP274*BP163+BQ274*BQ163+BR274*BR163+BS274*BS163+BT274*BT163+BU274*BU163+BV274*BV163+BW274*BW163+BX274*BX163+BY274*BY163+BZ274*BZ163+CA274*CA163+CB274*CB163+CC274*CC163+CD274*CD163+CE274*CE163+CF274*CF163+CG274*CG163+CH274*CH163+CI274*CI163+CJ274*CJ163+CK274*CK163+CL274*CL163+CM274*CM163+CN274*CN163+CO274*CO163+CP274*CP163+CQ274*CQ163+CR274*CR163+CS274*CS163</f>
        <v>0</v>
      </c>
      <c r="DE163" s="2504">
        <f>E275*E163+F275*F163+G275*G163+H275*H163+I275*I163+J275*J163+K275*K163+L275*L163+M275*M163+N275*N163+O275*O163+P275*P163+Q275*Q163+R275*R163+S275*S163+T275*T163+U275*U163+V275*V163+W275*W163+X275*X163+Y275*Y163+Z275*Z163+AA275*AA163+AB275*AB163+AC275*AC163+AD275*AD163+AE275*AE163+AF275*AF163+AG275*AG163+AH275*AH163+AI275*AI163+AJ275*AJ163+AK275*AK163+AL275*AL163+AM275*AM163+AN275*AN163+AO275*AO163+AP275*AP163+AQ275*AQ163+AR275*AR163+AS275*AS163+AT275*AT163+AU275*AU163+AV275*AV163+AW275*AW163+AX275*AX163+AY275*AY163+AZ275*AZ163+BA275*BA163+BB275*BB163+BC275*BC163+BD275*BD163+BE275*BE163+BF275*BF163+BG275*BG163+BH275*BH163+BI275*BI163+BJ275*BJ163+BK275*BK163+BL275*BL163+BM275*BM163+BN275*BN163+BO275*BO163+BP275*BP163+BQ275*BQ163+BR275*BR163+BS275*BS163+BT275*BT163+BU275*BU163+BV275*BV163+BW275*BW163+BX275*BX163+BY275*BY163+BZ275*BZ163+CA275*CA163+CB275*CB163+CC275*CC163+CD275*CD163+CE275*CE163+CF275*CF163+CG275*CG163+CH275*CH163+CI275*CI163+CJ275*CJ163+CK275*CK163+CL275*CL163+CM275*CM163+CN275*CN163+CO275*CO163+CP275*CP163+CQ275*CQ163+CR275*CR163+CS275*CS163</f>
        <v>0</v>
      </c>
      <c r="DF163" s="2504">
        <f>E276*E163+F276*F163+G276*G163+H276*H163+I276*I163+J276*J163+K276*K163+L276*L163+M276*M163+N276*N163+O276*O163+P276*P163+Q276*Q163+R276*R163+S276*S163+T276*T163+U276*U163+V276*V163+W276*W163+X276*X163+Y276*Y163+Z276*Z163+AA276*AA163+AB276*AB163+AC276*AC163+AD276*AD163+AE276*AE163+AF276*AF163+AG276*AG163+AH276*AH163+AI276*AI163+AJ276*AJ163+AK276*AK163+AL276*AL163+AM276*AM163+AN276*AN163+AO276*AO163+AP276*AP163+AQ276*AQ163+AR276*AR163+AS276*AS163+AT276*AT163+AU276*AU163+AV276*AV163+AW276*AW163+AX276*AX163+AY276*AY163+AZ276*AZ163+BA276*BA163+BB276*BB163+BC276*BC163+BD276*BD163+BE276*BE163+BF276*BF163+BG276*BG163+BH276*BH163+BI276*BI163+BJ276*BJ163+BK276*BK163+BL276*BL163+BM276*BM163+BN276*BN163+BO276*BO163+BP276*BP163+BQ276*BQ163+BR276*BR163+BS276*BS163+BT276*BT163+BU276*BU163+BV276*BV163+BW276*BW163+BX276*BX163+BY276*BY163+BZ276*BZ163+CA276*CA163+CB276*CB163+CC276*CC163+CD276*CD163+CE276*CE163+CF276*CF163+CG276*CG163+CH276*CH163+CI276*CI163+CJ276*CJ163+CK276*CK163+CL276*CL163+CM276*CM163+CN276*CN163+CO276*CO163+CP276*CP163+CQ276*CQ163+CR276*CR163+CS276*CS163</f>
        <v>0</v>
      </c>
    </row>
    <row r="164" spans="2:110" ht="18" x14ac:dyDescent="0.25">
      <c r="B164" s="1565">
        <v>22</v>
      </c>
      <c r="C164" s="1566" t="s">
        <v>245</v>
      </c>
      <c r="D164" s="2449" t="s">
        <v>5505</v>
      </c>
      <c r="E164" s="1471">
        <f>0</f>
        <v>0</v>
      </c>
      <c r="F164" s="1471">
        <f>0</f>
        <v>0</v>
      </c>
      <c r="G164" s="1471">
        <f>0</f>
        <v>0</v>
      </c>
      <c r="H164" s="1471">
        <f>0</f>
        <v>0</v>
      </c>
      <c r="I164" s="1471">
        <f>0</f>
        <v>0</v>
      </c>
      <c r="J164" s="1471">
        <f>0</f>
        <v>0</v>
      </c>
      <c r="K164" s="1471">
        <f>0</f>
        <v>0</v>
      </c>
      <c r="L164" s="1471">
        <f>0</f>
        <v>0</v>
      </c>
      <c r="M164" s="1471">
        <f>0</f>
        <v>0</v>
      </c>
      <c r="N164" s="2355">
        <f>-(X_PHA_PAO/X_STC)/Y_CASTO_STC_anox</f>
        <v>-1.680672268907563</v>
      </c>
      <c r="O164" s="2355">
        <f>-(X_PHA_GAO/X_STC)/Y_CASTO_STC_anox</f>
        <v>-0.25210084033613445</v>
      </c>
      <c r="P164" s="1471">
        <f>0</f>
        <v>0</v>
      </c>
      <c r="Q164" s="1471">
        <f>0</f>
        <v>0</v>
      </c>
      <c r="R164" s="1471">
        <f>0</f>
        <v>0</v>
      </c>
      <c r="S164" s="1471">
        <f>1</f>
        <v>1</v>
      </c>
      <c r="T164" s="1471">
        <f>0</f>
        <v>0</v>
      </c>
      <c r="U164" s="1471">
        <f>0</f>
        <v>0</v>
      </c>
      <c r="V164" s="1471">
        <f>0</f>
        <v>0</v>
      </c>
      <c r="W164" s="1471">
        <f>0</f>
        <v>0</v>
      </c>
      <c r="X164" s="1471">
        <f>0</f>
        <v>0</v>
      </c>
      <c r="Y164" s="1471">
        <f>0</f>
        <v>0</v>
      </c>
      <c r="Z164" s="1471">
        <f>0</f>
        <v>0</v>
      </c>
      <c r="AA164" s="1471">
        <f>-i_N_BIO</f>
        <v>-7.0000000000000007E-2</v>
      </c>
      <c r="AB164" s="1470">
        <f>0</f>
        <v>0</v>
      </c>
      <c r="AC164" s="1470">
        <f>-(1-Y_CASTO_STC_anox)/(E_EQNO2_NO3*Y_CASTO_STC_anox)</f>
        <v>-0.81659769174117147</v>
      </c>
      <c r="AD164" s="1470">
        <f>(1-Y_CASTO_STC_anox)/(E_EQNO2_NO3*Y_CASTO_STC_anox)</f>
        <v>0.81659769174117147</v>
      </c>
      <c r="AE164" s="1471">
        <f>0</f>
        <v>0</v>
      </c>
      <c r="AF164" s="1471">
        <f>0</f>
        <v>0</v>
      </c>
      <c r="AG164" s="1471">
        <f>0</f>
        <v>0</v>
      </c>
      <c r="AH164" s="1470">
        <f>0</f>
        <v>0</v>
      </c>
      <c r="AI164" s="1470">
        <f>0</f>
        <v>0</v>
      </c>
      <c r="AJ164" s="1470">
        <f>0</f>
        <v>0</v>
      </c>
      <c r="AK164" s="1470">
        <f>0</f>
        <v>0</v>
      </c>
      <c r="AL164" s="1470">
        <f>0</f>
        <v>0</v>
      </c>
      <c r="AM164" s="1470">
        <f>-i_P_BIO</f>
        <v>-0.02</v>
      </c>
      <c r="AN164" s="1471">
        <f>0</f>
        <v>0</v>
      </c>
      <c r="AO164" s="1471">
        <f>0</f>
        <v>0</v>
      </c>
      <c r="AP164" s="1471">
        <f>0</f>
        <v>0</v>
      </c>
      <c r="AQ164" s="1471">
        <f>0</f>
        <v>0</v>
      </c>
      <c r="AR164" s="1471">
        <f>0</f>
        <v>0</v>
      </c>
      <c r="AS164" s="1471">
        <f>0</f>
        <v>0</v>
      </c>
      <c r="AT164" s="1471">
        <f>0</f>
        <v>0</v>
      </c>
      <c r="AU164" s="1471">
        <f>0</f>
        <v>0</v>
      </c>
      <c r="AV164" s="1470">
        <f>(i_CIT_STC/Y_CASTO_STC_anox)-i_CIT_BIO</f>
        <v>0.29161344537815126</v>
      </c>
      <c r="AW164" s="1470">
        <f>i_INORG</f>
        <v>0.11</v>
      </c>
      <c r="AX164" s="1470">
        <f>-i_INORG*(1-i_Ca_INORG*(A_MCa+2*A_MCl)/A_MCa-i_Mg_INORG*(A_MMg+2*A_MCl)/A_MMg)*f_Na</f>
        <v>-2.8804303582798466E-2</v>
      </c>
      <c r="AY164" s="1470">
        <f>-i_INORG*(i_Ca_INORG*(2*A_MCl)/A_MCa+i_Mg_INORG*(2*A_MCl)/A_MMg)-i_INORG*(1-i_Ca_INORG*(A_MCa+2*A_MCl)/A_MCa-i_Mg_INORG*(A_MMg+2*A_MCl)/A_MMg)*(1-f_Na)</f>
        <v>-7.0195696417201539E-2</v>
      </c>
      <c r="AZ164" s="1470">
        <f>-i_INORG*i_Ca_INORG</f>
        <v>-5.5000000000000005E-3</v>
      </c>
      <c r="BA164" s="1470">
        <f>-i_INORG*i_Mg_INORG</f>
        <v>-5.5000000000000005E-3</v>
      </c>
      <c r="BB164" s="1470">
        <f>0</f>
        <v>0</v>
      </c>
      <c r="BC164" s="1470">
        <f>0</f>
        <v>0</v>
      </c>
      <c r="BD164" s="1470">
        <f>0</f>
        <v>0</v>
      </c>
      <c r="BE164" s="1470">
        <f>0</f>
        <v>0</v>
      </c>
      <c r="BF164" s="1470">
        <f>0</f>
        <v>0</v>
      </c>
      <c r="BG164" s="1470">
        <f>0</f>
        <v>0</v>
      </c>
      <c r="BH164" s="1470">
        <f>0</f>
        <v>0</v>
      </c>
      <c r="BI164" s="1470">
        <f>0</f>
        <v>0</v>
      </c>
      <c r="BJ164" s="1470">
        <f>0</f>
        <v>0</v>
      </c>
      <c r="BK164" s="1470">
        <f>0</f>
        <v>0</v>
      </c>
      <c r="BL164" s="1470">
        <f>0</f>
        <v>0</v>
      </c>
      <c r="BM164" s="1470">
        <f>0</f>
        <v>0</v>
      </c>
      <c r="BN164" s="1470">
        <f>0</f>
        <v>0</v>
      </c>
      <c r="BO164" s="1470">
        <f>0</f>
        <v>0</v>
      </c>
      <c r="BP164" s="1470">
        <f>0</f>
        <v>0</v>
      </c>
      <c r="BQ164" s="1470">
        <f>0</f>
        <v>0</v>
      </c>
      <c r="BR164" s="1470">
        <f>0</f>
        <v>0</v>
      </c>
      <c r="BS164" s="1470">
        <f>0</f>
        <v>0</v>
      </c>
      <c r="BT164" s="1470">
        <f>0</f>
        <v>0</v>
      </c>
      <c r="BU164" s="1470">
        <f>0</f>
        <v>0</v>
      </c>
      <c r="BV164" s="1470">
        <f>0</f>
        <v>0</v>
      </c>
      <c r="BW164" s="2355">
        <f>0</f>
        <v>0</v>
      </c>
      <c r="BX164" s="2355">
        <f>0</f>
        <v>0</v>
      </c>
      <c r="BY164" s="2355">
        <f>0</f>
        <v>0</v>
      </c>
      <c r="BZ164" s="2355">
        <f>0</f>
        <v>0</v>
      </c>
      <c r="CA164" s="1470">
        <f>0</f>
        <v>0</v>
      </c>
      <c r="CB164" s="1470">
        <f>0</f>
        <v>0</v>
      </c>
      <c r="CC164" s="1470">
        <f>0</f>
        <v>0</v>
      </c>
      <c r="CD164" s="1470">
        <f>0</f>
        <v>0</v>
      </c>
      <c r="CE164" s="1470">
        <f>0</f>
        <v>0</v>
      </c>
      <c r="CF164" s="1470">
        <f>0</f>
        <v>0</v>
      </c>
      <c r="CG164" s="1470">
        <f>0</f>
        <v>0</v>
      </c>
      <c r="CH164" s="1470">
        <f>0</f>
        <v>0</v>
      </c>
      <c r="CI164" s="1470">
        <f>0</f>
        <v>0</v>
      </c>
      <c r="CJ164" s="1470">
        <f>0</f>
        <v>0</v>
      </c>
      <c r="CK164" s="1470">
        <f>0</f>
        <v>0</v>
      </c>
      <c r="CL164" s="1470">
        <f>0</f>
        <v>0</v>
      </c>
      <c r="CM164" s="1470">
        <f>0</f>
        <v>0</v>
      </c>
      <c r="CN164" s="1470">
        <f>0</f>
        <v>0</v>
      </c>
      <c r="CO164" s="1470">
        <f>0</f>
        <v>0</v>
      </c>
      <c r="CP164" s="1470">
        <f>0</f>
        <v>0</v>
      </c>
      <c r="CQ164" s="1470">
        <f>0</f>
        <v>0</v>
      </c>
      <c r="CR164" s="1470">
        <f>0</f>
        <v>0</v>
      </c>
      <c r="CS164" s="1470">
        <f>0</f>
        <v>0</v>
      </c>
      <c r="CT164" s="2482">
        <f>µ_CASTO_T*X_CASTO*η_CASTO_anox*M_RsatXSTC_XCASTO_KSTC*M_satSNO3_KNO3_CASTO*M_inhSO2_KO2_CASTO*M_inhSNO2_KNO2_CASTO*M_satSNHx_KNHx_BIO*M_satSPO4_KPO4_BIO*M_satSCAT_KCAT*M_satSAN_KAN*M_satSCa_KCa_PAO*M_satSMg_KMg_PAO*B_ellinhpH</f>
        <v>0.81835950903928945</v>
      </c>
      <c r="CV164" s="2502">
        <f>E266*E164+F266*F164+G266*G164+H266*H164+I266*I164+J266*J164+K266*K164+L266*L164+M266*M164+N266*N164+O266*O164+P266*P164+Q266*Q164+R266*R164+S266*S164+T266*T164+U266*U164+V266*V164+W266*W164+X266*X164+Y266*Y164+Z266*Z164+AA266*AA164+AB266*AB164+AC266*AC164+AD266*AD164+AE266*AE164+AF266*AF164+AG266*AG164+AH266*AH164+AI266*AI164+AJ266*AJ164+AK266*AK164+AL266*AL164+AM266*AM164+AN266*AN164+AO266*AO164+AP266*AP164+AQ266*AQ164+AR266*AR164+AS266*AS164+AT266*AT164+AU266*AU164+AV266*AV164+AW266*AW164+AX266*AX164+AY266*AY164+AZ266*AZ164+BA266*BA164+BB266*BB164+BC266*BC164+BD266*BD164+BE266*BE164+BF266*BF164+BG266*BG164+BH266*BH164+BI266*BI164+BJ266*BJ164+BK266*BK164+BL266*BL164+BM266*BM164+BN266*BN164+BO266*BO164+BP266*BP164+BQ266*BQ164+BR266*BR164+BS266*BS164+BT266*BT164+BU266*BU164+BV266*BV164+BW266*BW164+BX266*BX164+BY266*BY164+BZ266*BZ164+CA266*CA164+CB266*CB164+CC266*CC164+CD266*CD164+CE266*CE164+CF266*CF164+CG266*CG164+CH266*CH164+CI266*CI164+CJ266*CJ164+CK266*CK164+CL266*CL164+CM266*CM164+CN266*CN164+CO266*CO164+CP266*CP164+CQ266*CQ164+CR266*CR164+CS266*CS164</f>
        <v>0</v>
      </c>
      <c r="CW164" s="2502">
        <f>E267*E164+F267*F164+G267*G164+H267*H164+I267*I164+J267*J164+K267*K164+L267*L164+M267*M164+N267*N164+O267*O164+P267*P164+Q267*Q164+R267*R164+S267*S164+T267*T164+U267*U164+V267*V164+W267*W164+X267*X164+Y267*Y164+Z267*Z164+AA267*AA164+AB267*AB164+AC267*AC164+AD267*AD164+AE267*AE164+AF267*AF164+AG267*AG164+AH267*AH164+AI267*AI164+AJ267*AJ164+AK267*AK164+AL267*AL164+AM267*AM164+AN267*AN164+AO267*AO164+AP267*AP164+AQ267*AQ164+AR267*AR164+AS267*AS164+AT267*AT164+AU267*AU164+AV267*AV164+AW267*AW164+AX267*AX164+AY267*AY164+AZ267*AZ164+BA267*BA164+BB267*BB164+BC267*BC164+BD267*BD164+BE267*BE164+BF267*BF164+BG267*BG164+BH267*BH164+BI267*BI164+BJ267*BJ164+BK267*BK164+BL267*BL164+BM267*BM164+BN267*BN164+BO267*BO164+BP267*BP164+BQ267*BQ164+BR267*BR164+BS267*BS164+BT267*BT164+BU267*BU164+BV267*BV164+BW267*BW164+BX267*BX164+BY267*BY164+BZ267*BZ164+CA267*CA164+CB267*CB164+CC267*CC164+CD267*CD164+CE267*CE164+CF267*CF164+CG267*CG164+CH267*CH164+CI267*CI164+CJ267*CJ164+CK267*CK164+CL267*CL164+CM267*CM164+CN267*CN164+CO267*CO164+CP267*CP164+CQ267*CQ164+CR267*CR164+CS267*CS164</f>
        <v>0</v>
      </c>
      <c r="CX164" s="2503">
        <f>E268*E164+F268*F164+G268*G164+H268*H164+I268*I164+J268*J164+K268*K164+L268*L164+M268*M164+N268*N164+O268*O164+P268*P164+Q268*Q164+R268*R164+S268*S164+T268*T164+U268*U164+V268*V164+W268*W164+X268*X164+Y268*Y164+Z268*Z164+AA268*AA164+AB268*AB164+AC268*AC164+AD268*AD164+AE268*AE164+AF268*AF164+AG268*AG164+AH268*AH164+AI268*AI164+AJ268*AJ164+AK268*AK164+AL268*AL164+AM268*AM164+AN268*AN164+AO268*AO164+AP268*AP164+AQ268*AQ164+AR268*AR164+AS268*AS164+AT268*AT164+AU268*AU164+AV268*AV164+AW268*AW164+AX268*AX164+AY268*AY164+AZ268*AZ164+BA268*BA164+BB268*BB164+BC268*BC164+BD268*BD164+BE268*BE164+BF268*BF164+BG268*BG164+BH268*BH164+BI268*BI164+BJ268*BJ164+BK268*BK164+BL268*BL164+BM268*BM164+BN268*BN164+BO268*BO164+BP268*BP164+BQ268*BQ164+BR268*BR164+BS268*BS164+BT268*BT164+BU268*BU164+BV268*BV164+BW268*BW164+BX268*BX164+BY268*BY164+BZ268*BZ164+CA268*CA164+CB268*CB164+CC268*CC164+CD268*CD164+CE268*CE164+CF268*CF164+CG268*CG164+CH268*CH164+CI268*CI164+CJ268*CJ164+CK268*CK164+CL268*CL164+CM268*CM164+CN268*CN164+CO268*CO164+CP268*CP164+CQ268*CQ164+CR268*CR164+CS268*CS164</f>
        <v>0</v>
      </c>
      <c r="CY164" s="2504">
        <f>E269*E164+F269*F164+G269*G164+H269*H164+I269*I164+J269*J164+K269*K164+L269*L164+M269*M164+N269*N164+O269*O164+P269*P164+Q269*Q164+R269*R164+S269*S164+T269*T164+U269*U164+V269*V164+W269*W164+X269*X164+Y269*Y164+Z269*Z164+AA269*AA164+AB269*AB164+AC269*AC164+AD269*AD164+AE269*AE164+AF269*AF164+AG269*AG164+AH269*AH164+AI269*AI164+AJ269*AJ164+AK269*AK164+AL269*AL164+AM269*AM164+AN269*AN164+AO269*AO164+AP269*AP164+AQ269*AQ164+AR269*AR164+AS269*AS164+AT269*AT164+AU269*AU164+AV269*AV164+AW269*AW164+AX269*AX164+AY269*AY164+AZ269*AZ164+BA269*BA164+BB269*BB164+BC269*BC164+BD269*BD164+BE269*BE164+BF269*BF164+BG269*BG164+BH269*BH164+BI269*BI164+BJ269*BJ164+BK269*BK164+BL269*BL164+BM269*BM164+BN269*BN164+BO269*BO164+BP269*BP164+BQ269*BQ164+BR269*BR164+BS269*BS164+BT269*BT164+BU269*BU164+BV269*BV164+BW269*BW164+BX269*BX164+BY269*BY164+BZ269*BZ164+CA269*CA164+CB269*CB164+CC269*CC164+CD269*CD164+CE269*CE164+CF269*CF164+CG269*CG164+CH269*CH164+CI269*CI164+CJ269*CJ164+CK269*CK164+CL269*CL164+CM269*CM164+CN269*CN164+CO269*CO164+CP269*CP164+CQ269*CQ164+CR269*CR164+CS269*CS164</f>
        <v>0</v>
      </c>
      <c r="CZ164" s="2504">
        <f>E270*E164+F270*F164+G270*G164+H270*H164+I270*I164+J270*J164+K270*K164+L270*L164+M270*M164+N270*N164+O270*O164+P270*P164+Q270*Q164+R270*R164+S270*S164+T270*T164+U270*U164+V270*V164+W270*W164+X270*X164+Y270*Y164+Z270*Z164+AA270*AA164+AB270*AB164+AC270*AC164+AD270*AD164+AE270*AE164+AF270*AF164+AG270*AG164+AH270*AH164+AI270*AI164+AJ270*AJ164+AK270*AK164+AL270*AL164+AM270*AM164+AN270*AN164+AO270*AO164+AP270*AP164+AQ270*AQ164+AR270*AR164+AS270*AS164+AT270*AT164+AU270*AU164+AV270*AV164+AW270*AW164+AX270*AX164+AY270*AY164+AZ270*AZ164+BA270*BA164+BB270*BB164+BC270*BC164+BD270*BD164+BE270*BE164+BF270*BF164+BG270*BG164+BH270*BH164+BI270*BI164+BJ270*BJ164+BK270*BK164+BL270*BL164+BM270*BM164+BN270*BN164+BO270*BO164+BP270*BP164+BQ270*BQ164+BR270*BR164+BS270*BS164+BT270*BT164+BU270*BU164+BV270*BV164+BW270*BW164+BX270*BX164+BY270*BY164+BZ270*BZ164+CA270*CA164+CB270*CB164+CC270*CC164+CD270*CD164+CE270*CE164+CF270*CF164+CG270*CG164+CH270*CH164+CI270*CI164+CJ270*CJ164+CK270*CK164+CL270*CL164+CM270*CM164+CN270*CN164+CO270*CO164+CP270*CP164+CQ270*CQ164+CR270*CR164+CS270*CS164</f>
        <v>0</v>
      </c>
      <c r="DA164" s="2504">
        <f>E271*E164+F271*F164+G271*G164+H271*H164+I271*I164+J271*J164+K271*K164+L271*L164+M271*M164+N271*N164+O271*O164+P271*P164+Q271*Q164+R271*R164+S271*S164+T271*T164+U271*U164+V271*V164+W271*W164+X271*X164+Y271*Y164+Z271*Z164+AA271*AA164+AB271*AB164+AC271*AC164+AD271*AD164+AE271*AE164+AF271*AF164+AG271*AG164+AH271*AH164+AI271*AI164+AJ271*AJ164+AK271*AK164+AL271*AL164+AM271*AM164+AN271*AN164+AO271*AO164+AP271*AP164+AQ271*AQ164+AR271*AR164+AS271*AS164+AT271*AT164+AU271*AU164+AV271*AV164+AW271*AW164+AX271*AX164+AY271*AY164+AZ271*AZ164+BA271*BA164+BB271*BB164+BC271*BC164+BD271*BD164+BE271*BE164+BF271*BF164+BG271*BG164+BH271*BH164+BI271*BI164+BJ271*BJ164+BK271*BK164+BL271*BL164+BM271*BM164+BN271*BN164+BO271*BO164+BP271*BP164+BQ271*BQ164+BR271*BR164+BS271*BS164+BT271*BT164+BU271*BU164+BV271*BV164+BW271*BW164+BX271*BX164+BY271*BY164+BZ271*BZ164+CA271*CA164+CB271*CB164+CC271*CC164+CD271*CD164+CE271*CE164+CF271*CF164+CG271*CG164+CH271*CH164+CI271*CI164+CJ271*CJ164+CK271*CK164+CL271*CL164+CM271*CM164+CN271*CN164+CO271*CO164+CP271*CP164+CQ271*CQ164+CR271*CR164+CS271*CS164</f>
        <v>0</v>
      </c>
      <c r="DB164" s="2504">
        <f>E272*E164+F272*F164+G272*G164+H272*H164+I272*I164+J272*J164+K272*K164+L272*L164+M272*M164+N272*N164+O272*O164+P272*P164+Q272*Q164+R272*R164+S272*S164+T272*T164+U272*U164+V272*V164+W272*W164+X272*X164+Y272*Y164+Z272*Z164+AA272*AA164+AB272*AB164+AC272*AC164+AD272*AD164+AE272*AE164+AF272*AF164+AG272*AG164+AH272*AH164+AI272*AI164+AJ272*AJ164+AK272*AK164+AL272*AL164+AM272*AM164+AN272*AN164+AO272*AO164+AP272*AP164+AQ272*AQ164+AR272*AR164+AS272*AS164+AT272*AT164+AU272*AU164+AV272*AV164+AW272*AW164+AX272*AX164+AY272*AY164+AZ272*AZ164+BA272*BA164+BB272*BB164+BC272*BC164+BD272*BD164+BE272*BE164+BF272*BF164+BG272*BG164+BH272*BH164+BI272*BI164+BJ272*BJ164+BK272*BK164+BL272*BL164+BM272*BM164+BN272*BN164+BO272*BO164+BP272*BP164+BQ272*BQ164+BR272*BR164+BS272*BS164+BT272*BT164+BU272*BU164+BV272*BV164+BW272*BW164+BX272*BX164+BY272*BY164+BZ272*BZ164+CA272*CA164+CB272*CB164+CC272*CC164+CD272*CD164+CE272*CE164+CF272*CF164+CG272*CG164+CH272*CH164+CI272*CI164+CJ272*CJ164+CK272*CK164+CL272*CL164+CM272*CM164+CN272*CN164+CO272*CO164+CP272*CP164+CQ272*CQ164+CR272*CR164+CS272*CS164</f>
        <v>0</v>
      </c>
      <c r="DC164" s="2504">
        <f>E273*E164+F273*F164+G273*G164+H273*H164+I273*I164+J273*J164+K273*K164+L273*L164+M273*M164+N273*N164+O273*O164+P273*P164+Q273*Q164+R273*R164+S273*S164+T273*T164+U273*U164+V273*V164+W273*W164+X273*X164+Y273*Y164+Z273*Z164+AA273*AA164+AB273*AB164+AC273*AC164+AD273*AD164+AE273*AE164+AF273*AF164+AG273*AG164+AH273*AH164+AI273*AI164+AJ273*AJ164+AK273*AK164+AL273*AL164+AM273*AM164+AN273*AN164+AO273*AO164+AP273*AP164+AQ273*AQ164+AR273*AR164+AS273*AS164+AT273*AT164+AU273*AU164+AV273*AV164+AW273*AW164+AX273*AX164+AY273*AY164+AZ273*AZ164+BA273*BA164+BB273*BB164+BC273*BC164+BD273*BD164+BE273*BE164+BF273*BF164+BG273*BG164+BH273*BH164+BI273*BI164+BJ273*BJ164+BK273*BK164+BL273*BL164+BM273*BM164+BN273*BN164+BO273*BO164+BP273*BP164+BQ273*BQ164+BR273*BR164+BS273*BS164+BT273*BT164+BU273*BU164+BV273*BV164+BW273*BW164+BX273*BX164+BY273*BY164+BZ273*BZ164+CA273*CA164+CB273*CB164+CC273*CC164+CD273*CD164+CE273*CE164+CF273*CF164+CG273*CG164+CH273*CH164+CI273*CI164+CJ273*CJ164+CK273*CK164+CL273*CL164+CM273*CM164+CN273*CN164+CO273*CO164+CP273*CP164+CQ273*CQ164+CR273*CR164+CS273*CS164</f>
        <v>0</v>
      </c>
      <c r="DD164" s="2504">
        <f>E274*E164+F274*F164+G274*G164+H274*H164+I274*I164+J274*J164+K274*K164+L274*L164+M274*M164+N274*N164+O274*O164+P274*P164+Q274*Q164+R274*R164+S274*S164+T274*T164+U274*U164+V274*V164+W274*W164+X274*X164+Y274*Y164+Z274*Z164+AA274*AA164+AB274*AB164+AC274*AC164+AD274*AD164+AE274*AE164+AF274*AF164+AG274*AG164+AH274*AH164+AI274*AI164+AJ274*AJ164+AK274*AK164+AL274*AL164+AM274*AM164+AN274*AN164+AO274*AO164+AP274*AP164+AQ274*AQ164+AR274*AR164+AS274*AS164+AT274*AT164+AU274*AU164+AV274*AV164+AW274*AW164+AX274*AX164+AY274*AY164+AZ274*AZ164+BA274*BA164+BB274*BB164+BC274*BC164+BD274*BD164+BE274*BE164+BF274*BF164+BG274*BG164+BH274*BH164+BI274*BI164+BJ274*BJ164+BK274*BK164+BL274*BL164+BM274*BM164+BN274*BN164+BO274*BO164+BP274*BP164+BQ274*BQ164+BR274*BR164+BS274*BS164+BT274*BT164+BU274*BU164+BV274*BV164+BW274*BW164+BX274*BX164+BY274*BY164+BZ274*BZ164+CA274*CA164+CB274*CB164+CC274*CC164+CD274*CD164+CE274*CE164+CF274*CF164+CG274*CG164+CH274*CH164+CI274*CI164+CJ274*CJ164+CK274*CK164+CL274*CL164+CM274*CM164+CN274*CN164+CO274*CO164+CP274*CP164+CQ274*CQ164+CR274*CR164+CS274*CS164</f>
        <v>0</v>
      </c>
      <c r="DE164" s="2504">
        <f>E275*E164+F275*F164+G275*G164+H275*H164+I275*I164+J275*J164+K275*K164+L275*L164+M275*M164+N275*N164+O275*O164+P275*P164+Q275*Q164+R275*R164+S275*S164+T275*T164+U275*U164+V275*V164+W275*W164+X275*X164+Y275*Y164+Z275*Z164+AA275*AA164+AB275*AB164+AC275*AC164+AD275*AD164+AE275*AE164+AF275*AF164+AG275*AG164+AH275*AH164+AI275*AI164+AJ275*AJ164+AK275*AK164+AL275*AL164+AM275*AM164+AN275*AN164+AO275*AO164+AP275*AP164+AQ275*AQ164+AR275*AR164+AS275*AS164+AT275*AT164+AU275*AU164+AV275*AV164+AW275*AW164+AX275*AX164+AY275*AY164+AZ275*AZ164+BA275*BA164+BB275*BB164+BC275*BC164+BD275*BD164+BE275*BE164+BF275*BF164+BG275*BG164+BH275*BH164+BI275*BI164+BJ275*BJ164+BK275*BK164+BL275*BL164+BM275*BM164+BN275*BN164+BO275*BO164+BP275*BP164+BQ275*BQ164+BR275*BR164+BS275*BS164+BT275*BT164+BU275*BU164+BV275*BV164+BW275*BW164+BX275*BX164+BY275*BY164+BZ275*BZ164+CA275*CA164+CB275*CB164+CC275*CC164+CD275*CD164+CE275*CE164+CF275*CF164+CG275*CG164+CH275*CH164+CI275*CI164+CJ275*CJ164+CK275*CK164+CL275*CL164+CM275*CM164+CN275*CN164+CO275*CO164+CP275*CP164+CQ275*CQ164+CR275*CR164+CS275*CS164</f>
        <v>0</v>
      </c>
      <c r="DF164" s="2504">
        <f>E276*E164+F276*F164+G276*G164+H276*H164+I276*I164+J276*J164+K276*K164+L276*L164+M276*M164+N276*N164+O276*O164+P276*P164+Q276*Q164+R276*R164+S276*S164+T276*T164+U276*U164+V276*V164+W276*W164+X276*X164+Y276*Y164+Z276*Z164+AA276*AA164+AB276*AB164+AC276*AC164+AD276*AD164+AE276*AE164+AF276*AF164+AG276*AG164+AH276*AH164+AI276*AI164+AJ276*AJ164+AK276*AK164+AL276*AL164+AM276*AM164+AN276*AN164+AO276*AO164+AP276*AP164+AQ276*AQ164+AR276*AR164+AS276*AS164+AT276*AT164+AU276*AU164+AV276*AV164+AW276*AW164+AX276*AX164+AY276*AY164+AZ276*AZ164+BA276*BA164+BB276*BB164+BC276*BC164+BD276*BD164+BE276*BE164+BF276*BF164+BG276*BG164+BH276*BH164+BI276*BI164+BJ276*BJ164+BK276*BK164+BL276*BL164+BM276*BM164+BN276*BN164+BO276*BO164+BP276*BP164+BQ276*BQ164+BR276*BR164+BS276*BS164+BT276*BT164+BU276*BU164+BV276*BV164+BW276*BW164+BX276*BX164+BY276*BY164+BZ276*BZ164+CA276*CA164+CB276*CB164+CC276*CC164+CD276*CD164+CE276*CE164+CF276*CF164+CG276*CG164+CH276*CH164+CI276*CI164+CJ276*CJ164+CK276*CK164+CL276*CL164+CM276*CM164+CN276*CN164+CO276*CO164+CP276*CP164+CQ276*CQ164+CR276*CR164+CS276*CS164</f>
        <v>0</v>
      </c>
    </row>
    <row r="165" spans="2:110" ht="18" x14ac:dyDescent="0.25">
      <c r="B165" s="1565">
        <v>23</v>
      </c>
      <c r="C165" s="1566" t="s">
        <v>246</v>
      </c>
      <c r="D165" s="1567" t="s">
        <v>4125</v>
      </c>
      <c r="E165" s="1471">
        <f>0</f>
        <v>0</v>
      </c>
      <c r="F165" s="1471">
        <f>0</f>
        <v>0</v>
      </c>
      <c r="G165" s="1471">
        <f>0</f>
        <v>0</v>
      </c>
      <c r="H165" s="1471">
        <f>0</f>
        <v>0</v>
      </c>
      <c r="I165" s="1471">
        <f>0</f>
        <v>0</v>
      </c>
      <c r="J165" s="1471">
        <f>0</f>
        <v>0</v>
      </c>
      <c r="K165" s="1471">
        <f>0</f>
        <v>0</v>
      </c>
      <c r="L165" s="1471">
        <f>0</f>
        <v>0</v>
      </c>
      <c r="M165" s="1471">
        <f>0</f>
        <v>0</v>
      </c>
      <c r="N165" s="1470">
        <f>0</f>
        <v>0</v>
      </c>
      <c r="O165" s="1470">
        <f>0</f>
        <v>0</v>
      </c>
      <c r="P165" s="1471">
        <f>0</f>
        <v>0</v>
      </c>
      <c r="Q165" s="1471">
        <f>0</f>
        <v>0</v>
      </c>
      <c r="R165" s="1471">
        <f>0</f>
        <v>0</v>
      </c>
      <c r="S165" s="1470">
        <f>-Y_PP_CASTO_ox</f>
        <v>-0.33</v>
      </c>
      <c r="T165" s="1471">
        <f>0</f>
        <v>0</v>
      </c>
      <c r="U165" s="1471">
        <f>0</f>
        <v>0</v>
      </c>
      <c r="V165" s="1471">
        <f>0</f>
        <v>0</v>
      </c>
      <c r="W165" s="1471">
        <f>0</f>
        <v>0</v>
      </c>
      <c r="X165" s="1471">
        <f>0</f>
        <v>0</v>
      </c>
      <c r="Y165" s="1471">
        <f>0</f>
        <v>0</v>
      </c>
      <c r="Z165" s="1471">
        <f>0</f>
        <v>0</v>
      </c>
      <c r="AA165" s="1471">
        <f>i_N_BIO*Y_PP_CASTO_ox</f>
        <v>2.3100000000000002E-2</v>
      </c>
      <c r="AB165" s="1470">
        <f>0</f>
        <v>0</v>
      </c>
      <c r="AC165" s="1470">
        <f>0</f>
        <v>0</v>
      </c>
      <c r="AD165" s="1470">
        <f>0</f>
        <v>0</v>
      </c>
      <c r="AE165" s="1471">
        <f>0</f>
        <v>0</v>
      </c>
      <c r="AF165" s="1471">
        <f>0</f>
        <v>0</v>
      </c>
      <c r="AG165" s="1471">
        <f>0</f>
        <v>0</v>
      </c>
      <c r="AH165" s="1471">
        <f>0</f>
        <v>0</v>
      </c>
      <c r="AI165" s="1471">
        <f>0</f>
        <v>0</v>
      </c>
      <c r="AJ165" s="1471">
        <f>0</f>
        <v>0</v>
      </c>
      <c r="AK165" s="1471">
        <f>0</f>
        <v>0</v>
      </c>
      <c r="AL165" s="1471">
        <f>0</f>
        <v>0</v>
      </c>
      <c r="AM165" s="1470">
        <f>i_P_BIO*Y_PP_CASTO_ox-1</f>
        <v>-0.99339999999999995</v>
      </c>
      <c r="AN165" s="1471">
        <f>1</f>
        <v>1</v>
      </c>
      <c r="AO165" s="1471">
        <f>0</f>
        <v>0</v>
      </c>
      <c r="AP165" s="1471">
        <f>0</f>
        <v>0</v>
      </c>
      <c r="AQ165" s="1471">
        <f>0</f>
        <v>0</v>
      </c>
      <c r="AR165" s="1471">
        <f>0</f>
        <v>0</v>
      </c>
      <c r="AS165" s="1470">
        <f>-Y_PP_CASTO_ox</f>
        <v>-0.33</v>
      </c>
      <c r="AT165" s="1471">
        <f>0</f>
        <v>0</v>
      </c>
      <c r="AU165" s="1471">
        <f>0</f>
        <v>0</v>
      </c>
      <c r="AV165" s="1470">
        <f>i_CIT_BIO*Y_PP_CASTO_ox</f>
        <v>0.11616</v>
      </c>
      <c r="AW165" s="1470">
        <f>-i_INORG*Y_PP_CASTO_ox</f>
        <v>-3.6299999999999999E-2</v>
      </c>
      <c r="AX165" s="1470">
        <f>Y_PP_CASTO_ox*i_INORG*(1-i_Ca_INORG*(A_MCa+2*A_MCl)/A_MCa-i_Mg_INORG*(A_MMg+2*A_MCl)/A_MMg)*f_Na</f>
        <v>9.5054201823234919E-3</v>
      </c>
      <c r="AY165" s="1470">
        <f>Y_PP_CASTO_ox*(i_INORG*(i_Ca_INORG*(2*A_MCl)/A_MCa+i_Mg_INORG*(2*A_MCl)/A_MMg)+i_INORG*(1-i_Ca_INORG*(A_MCa+2*A_MCl)/A_MCa-i_Mg_INORG*(A_MMg+2*A_MCl)/A_MMg)*(1-f_Na))</f>
        <v>2.3164579817676507E-2</v>
      </c>
      <c r="AZ165" s="1470">
        <f>Y_PP_CASTO_ox*i_INORG*i_Ca_INORG-i_Ca_PP*A_MCa/A_MP</f>
        <v>-0.12757838702613272</v>
      </c>
      <c r="BA165" s="1470">
        <f>Y_PP_CASTO_ox*i_INORG*i_Mg_INORG-i_Mg_PP*A_MMg/A_MP</f>
        <v>-0.27282874347136937</v>
      </c>
      <c r="BB165" s="1470">
        <f>-i_K_PP*A_MK/A_MP</f>
        <v>-0.12623038734377579</v>
      </c>
      <c r="BC165" s="1470">
        <f>0</f>
        <v>0</v>
      </c>
      <c r="BD165" s="1470">
        <f>0</f>
        <v>0</v>
      </c>
      <c r="BE165" s="1470">
        <f>0</f>
        <v>0</v>
      </c>
      <c r="BF165" s="1470">
        <f>0</f>
        <v>0</v>
      </c>
      <c r="BG165" s="1470">
        <f>0</f>
        <v>0</v>
      </c>
      <c r="BH165" s="1470">
        <f>0</f>
        <v>0</v>
      </c>
      <c r="BI165" s="1470">
        <f>0</f>
        <v>0</v>
      </c>
      <c r="BJ165" s="1470">
        <f>0</f>
        <v>0</v>
      </c>
      <c r="BK165" s="1470">
        <f>0</f>
        <v>0</v>
      </c>
      <c r="BL165" s="1470">
        <f>0</f>
        <v>0</v>
      </c>
      <c r="BM165" s="1470">
        <f>0</f>
        <v>0</v>
      </c>
      <c r="BN165" s="1470">
        <f>0</f>
        <v>0</v>
      </c>
      <c r="BO165" s="1470">
        <f>0</f>
        <v>0</v>
      </c>
      <c r="BP165" s="1470">
        <f>0</f>
        <v>0</v>
      </c>
      <c r="BQ165" s="1470">
        <f>0</f>
        <v>0</v>
      </c>
      <c r="BR165" s="1470">
        <f>0</f>
        <v>0</v>
      </c>
      <c r="BS165" s="1470">
        <f>0</f>
        <v>0</v>
      </c>
      <c r="BT165" s="1470">
        <f>0</f>
        <v>0</v>
      </c>
      <c r="BU165" s="1470">
        <f>0</f>
        <v>0</v>
      </c>
      <c r="BV165" s="1470">
        <f>0</f>
        <v>0</v>
      </c>
      <c r="BW165" s="2355">
        <f>0</f>
        <v>0</v>
      </c>
      <c r="BX165" s="2355">
        <f>0</f>
        <v>0</v>
      </c>
      <c r="BY165" s="2355">
        <f>0</f>
        <v>0</v>
      </c>
      <c r="BZ165" s="2355">
        <f>0</f>
        <v>0</v>
      </c>
      <c r="CA165" s="1470">
        <f>0</f>
        <v>0</v>
      </c>
      <c r="CB165" s="1470">
        <f>0</f>
        <v>0</v>
      </c>
      <c r="CC165" s="1470">
        <f>0</f>
        <v>0</v>
      </c>
      <c r="CD165" s="1470">
        <f>0</f>
        <v>0</v>
      </c>
      <c r="CE165" s="1470">
        <f>0</f>
        <v>0</v>
      </c>
      <c r="CF165" s="1470">
        <f>0</f>
        <v>0</v>
      </c>
      <c r="CG165" s="1470">
        <f>0</f>
        <v>0</v>
      </c>
      <c r="CH165" s="1470">
        <f>0</f>
        <v>0</v>
      </c>
      <c r="CI165" s="1470">
        <f>0</f>
        <v>0</v>
      </c>
      <c r="CJ165" s="1470">
        <f>0</f>
        <v>0</v>
      </c>
      <c r="CK165" s="1470">
        <f>0</f>
        <v>0</v>
      </c>
      <c r="CL165" s="1470">
        <f>0</f>
        <v>0</v>
      </c>
      <c r="CM165" s="1470">
        <f>0</f>
        <v>0</v>
      </c>
      <c r="CN165" s="1470">
        <f>0</f>
        <v>0</v>
      </c>
      <c r="CO165" s="1470">
        <f>0</f>
        <v>0</v>
      </c>
      <c r="CP165" s="1470">
        <f>0</f>
        <v>0</v>
      </c>
      <c r="CQ165" s="1470">
        <f>0</f>
        <v>0</v>
      </c>
      <c r="CR165" s="1470">
        <f>0</f>
        <v>0</v>
      </c>
      <c r="CS165" s="1470">
        <f>0</f>
        <v>0</v>
      </c>
      <c r="CT165" s="2482">
        <f>q_PAO_PP_T*X_PAO/(X_PP+X_PP_PAO_min)*X_PAO*M_satSO2_KO2_CASTO*L_ogsatSPO4_KPO4_PAO*L_oginhXPP_XPAO_max*M_satSCa_KCa_PAO*M_satSMg_KMg_PAO*M_satSK_KK_PAO*B_ellinhpH</f>
        <v>306.81443366518283</v>
      </c>
      <c r="CV165" s="2502">
        <f>E266*E165+F266*F165+G266*G165+H266*H165+I266*I165+J266*J165+K266*K165+L266*L165+M266*M165+N266*N165+O266*O165+P266*P165+Q266*Q165+R266*R165+S266*S165+T266*T165+U266*U165+V266*V165+W266*W165+X266*X165+Y266*Y165+Z266*Z165+AA266*AA165+AB266*AB165+AC266*AC165+AD266*AD165+AE266*AE165+AF266*AF165+AG266*AG165+AH266*AH165+AI266*AI165+AJ266*AJ165+AK266*AK165+AL266*AL165+AM266*AM165+AN266*AN165+AO266*AO165+AP266*AP165+AQ266*AQ165+AR266*AR165+AS266*AS165+AT266*AT165+AU266*AU165+AV266*AV165+AW266*AW165+AX266*AX165+AY266*AY165+AZ266*AZ165+BA266*BA165+BB266*BB165+BC266*BC165+BD266*BD165+BE266*BE165+BF266*BF165+BG266*BG165+BH266*BH165+BI266*BI165+BJ266*BJ165+BK266*BK165+BL266*BL165+BM266*BM165+BN266*BN165+BO266*BO165+BP266*BP165+BQ266*BQ165+BR266*BR165+BS266*BS165+BT266*BT165+BU266*BU165+BV266*BV165+BW266*BW165+BX266*BX165+BY266*BY165+BZ266*BZ165+CA266*CA165+CB266*CB165+CC266*CC165+CD266*CD165+CE266*CE165+CF266*CF165+CG266*CG165+CH266*CH165+CI266*CI165+CJ266*CJ165+CK266*CK165+CL266*CL165+CM266*CM165+CN266*CN165+CO266*CO165+CP266*CP165+CQ266*CQ165+CR266*CR165+CS266*CS165</f>
        <v>0</v>
      </c>
      <c r="CW165" s="2502">
        <f>E267*E165+F267*F165+G267*G165+H267*H165+I267*I165+J267*J165+K267*K165+L267*L165+M267*M165+N267*N165+O267*O165+P267*P165+Q267*Q165+R267*R165+S267*S165+T267*T165+U267*U165+V267*V165+W267*W165+X267*X165+Y267*Y165+Z267*Z165+AA267*AA165+AB267*AB165+AC267*AC165+AD267*AD165+AE267*AE165+AF267*AF165+AG267*AG165+AH267*AH165+AI267*AI165+AJ267*AJ165+AK267*AK165+AL267*AL165+AM267*AM165+AN267*AN165+AO267*AO165+AP267*AP165+AQ267*AQ165+AR267*AR165+AS267*AS165+AT267*AT165+AU267*AU165+AV267*AV165+AW267*AW165+AX267*AX165+AY267*AY165+AZ267*AZ165+BA267*BA165+BB267*BB165+BC267*BC165+BD267*BD165+BE267*BE165+BF267*BF165+BG267*BG165+BH267*BH165+BI267*BI165+BJ267*BJ165+BK267*BK165+BL267*BL165+BM267*BM165+BN267*BN165+BO267*BO165+BP267*BP165+BQ267*BQ165+BR267*BR165+BS267*BS165+BT267*BT165+BU267*BU165+BV267*BV165+BW267*BW165+BX267*BX165+BY267*BY165+BZ267*BZ165+CA267*CA165+CB267*CB165+CC267*CC165+CD267*CD165+CE267*CE165+CF267*CF165+CG267*CG165+CH267*CH165+CI267*CI165+CJ267*CJ165+CK267*CK165+CL267*CL165+CM267*CM165+CN267*CN165+CO267*CO165+CP267*CP165+CQ267*CQ165+CR267*CR165+CS267*CS165</f>
        <v>0</v>
      </c>
      <c r="CX165" s="2503">
        <f>E268*E165+F268*F165+G268*G165+H268*H165+I268*I165+J268*J165+K268*K165+L268*L165+M268*M165+N268*N165+O268*O165+P268*P165+Q268*Q165+R268*R165+S268*S165+T268*T165+U268*U165+V268*V165+W268*W165+X268*X165+Y268*Y165+Z268*Z165+AA268*AA165+AB268*AB165+AC268*AC165+AD268*AD165+AE268*AE165+AF268*AF165+AG268*AG165+AH268*AH165+AI268*AI165+AJ268*AJ165+AK268*AK165+AL268*AL165+AM268*AM165+AN268*AN165+AO268*AO165+AP268*AP165+AQ268*AQ165+AR268*AR165+AS268*AS165+AT268*AT165+AU268*AU165+AV268*AV165+AW268*AW165+AX268*AX165+AY268*AY165+AZ268*AZ165+BA268*BA165+BB268*BB165+BC268*BC165+BD268*BD165+BE268*BE165+BF268*BF165+BG268*BG165+BH268*BH165+BI268*BI165+BJ268*BJ165+BK268*BK165+BL268*BL165+BM268*BM165+BN268*BN165+BO268*BO165+BP268*BP165+BQ268*BQ165+BR268*BR165+BS268*BS165+BT268*BT165+BU268*BU165+BV268*BV165+BW268*BW165+BX268*BX165+BY268*BY165+BZ268*BZ165+CA268*CA165+CB268*CB165+CC268*CC165+CD268*CD165+CE268*CE165+CF268*CF165+CG268*CG165+CH268*CH165+CI268*CI165+CJ268*CJ165+CK268*CK165+CL268*CL165+CM268*CM165+CN268*CN165+CO268*CO165+CP268*CP165+CQ268*CQ165+CR268*CR165+CS268*CS165</f>
        <v>0</v>
      </c>
      <c r="CY165" s="2504">
        <f>E269*E165+F269*F165+G269*G165+H269*H165+I269*I165+J269*J165+K269*K165+L269*L165+M269*M165+N269*N165+O269*O165+P269*P165+Q269*Q165+R269*R165+S269*S165+T269*T165+U269*U165+V269*V165+W269*W165+X269*X165+Y269*Y165+Z269*Z165+AA269*AA165+AB269*AB165+AC269*AC165+AD269*AD165+AE269*AE165+AF269*AF165+AG269*AG165+AH269*AH165+AI269*AI165+AJ269*AJ165+AK269*AK165+AL269*AL165+AM269*AM165+AN269*AN165+AO269*AO165+AP269*AP165+AQ269*AQ165+AR269*AR165+AS269*AS165+AT269*AT165+AU269*AU165+AV269*AV165+AW269*AW165+AX269*AX165+AY269*AY165+AZ269*AZ165+BA269*BA165+BB269*BB165+BC269*BC165+BD269*BD165+BE269*BE165+BF269*BF165+BG269*BG165+BH269*BH165+BI269*BI165+BJ269*BJ165+BK269*BK165+BL269*BL165+BM269*BM165+BN269*BN165+BO269*BO165+BP269*BP165+BQ269*BQ165+BR269*BR165+BS269*BS165+BT269*BT165+BU269*BU165+BV269*BV165+BW269*BW165+BX269*BX165+BY269*BY165+BZ269*BZ165+CA269*CA165+CB269*CB165+CC269*CC165+CD269*CD165+CE269*CE165+CF269*CF165+CG269*CG165+CH269*CH165+CI269*CI165+CJ269*CJ165+CK269*CK165+CL269*CL165+CM269*CM165+CN269*CN165+CO269*CO165+CP269*CP165+CQ269*CQ165+CR269*CR165+CS269*CS165</f>
        <v>0</v>
      </c>
      <c r="CZ165" s="2504">
        <f>E270*E165+F270*F165+G270*G165+H270*H165+I270*I165+J270*J165+K270*K165+L270*L165+M270*M165+N270*N165+O270*O165+P270*P165+Q270*Q165+R270*R165+S270*S165+T270*T165+U270*U165+V270*V165+W270*W165+X270*X165+Y270*Y165+Z270*Z165+AA270*AA165+AB270*AB165+AC270*AC165+AD270*AD165+AE270*AE165+AF270*AF165+AG270*AG165+AH270*AH165+AI270*AI165+AJ270*AJ165+AK270*AK165+AL270*AL165+AM270*AM165+AN270*AN165+AO270*AO165+AP270*AP165+AQ270*AQ165+AR270*AR165+AS270*AS165+AT270*AT165+AU270*AU165+AV270*AV165+AW270*AW165+AX270*AX165+AY270*AY165+AZ270*AZ165+BA270*BA165+BB270*BB165+BC270*BC165+BD270*BD165+BE270*BE165+BF270*BF165+BG270*BG165+BH270*BH165+BI270*BI165+BJ270*BJ165+BK270*BK165+BL270*BL165+BM270*BM165+BN270*BN165+BO270*BO165+BP270*BP165+BQ270*BQ165+BR270*BR165+BS270*BS165+BT270*BT165+BU270*BU165+BV270*BV165+BW270*BW165+BX270*BX165+BY270*BY165+BZ270*BZ165+CA270*CA165+CB270*CB165+CC270*CC165+CD270*CD165+CE270*CE165+CF270*CF165+CG270*CG165+CH270*CH165+CI270*CI165+CJ270*CJ165+CK270*CK165+CL270*CL165+CM270*CM165+CN270*CN165+CO270*CO165+CP270*CP165+CQ270*CQ165+CR270*CR165+CS270*CS165</f>
        <v>-1.7347234759768071E-18</v>
      </c>
      <c r="DA165" s="2504">
        <f>E271*E165+F271*F165+G271*G165+H271*H165+I271*I165+J271*J165+K271*K165+L271*L165+M271*M165+N271*N165+O271*O165+P271*P165+Q271*Q165+R271*R165+S271*S165+T271*T165+U271*U165+V271*V165+W271*W165+X271*X165+Y271*Y165+Z271*Z165+AA271*AA165+AB271*AB165+AC271*AC165+AD271*AD165+AE271*AE165+AF271*AF165+AG271*AG165+AH271*AH165+AI271*AI165+AJ271*AJ165+AK271*AK165+AL271*AL165+AM271*AM165+AN271*AN165+AO271*AO165+AP271*AP165+AQ271*AQ165+AR271*AR165+AS271*AS165+AT271*AT165+AU271*AU165+AV271*AV165+AW271*AW165+AX271*AX165+AY271*AY165+AZ271*AZ165+BA271*BA165+BB271*BB165+BC271*BC165+BD271*BD165+BE271*BE165+BF271*BF165+BG271*BG165+BH271*BH165+BI271*BI165+BJ271*BJ165+BK271*BK165+BL271*BL165+BM271*BM165+BN271*BN165+BO271*BO165+BP271*BP165+BQ271*BQ165+BR271*BR165+BS271*BS165+BT271*BT165+BU271*BU165+BV271*BV165+BW271*BW165+BX271*BX165+BY271*BY165+BZ271*BZ165+CA271*CA165+CB271*CB165+CC271*CC165+CD271*CD165+CE271*CE165+CF271*CF165+CG271*CG165+CH271*CH165+CI271*CI165+CJ271*CJ165+CK271*CK165+CL271*CL165+CM271*CM165+CN271*CN165+CO271*CO165+CP271*CP165+CQ271*CQ165+CR271*CR165+CS271*CS165</f>
        <v>0</v>
      </c>
      <c r="DB165" s="2504">
        <f>E272*E165+F272*F165+G272*G165+H272*H165+I272*I165+J272*J165+K272*K165+L272*L165+M272*M165+N272*N165+O272*O165+P272*P165+Q272*Q165+R272*R165+S272*S165+T272*T165+U272*U165+V272*V165+W272*W165+X272*X165+Y272*Y165+Z272*Z165+AA272*AA165+AB272*AB165+AC272*AC165+AD272*AD165+AE272*AE165+AF272*AF165+AG272*AG165+AH272*AH165+AI272*AI165+AJ272*AJ165+AK272*AK165+AL272*AL165+AM272*AM165+AN272*AN165+AO272*AO165+AP272*AP165+AQ272*AQ165+AR272*AR165+AS272*AS165+AT272*AT165+AU272*AU165+AV272*AV165+AW272*AW165+AX272*AX165+AY272*AY165+AZ272*AZ165+BA272*BA165+BB272*BB165+BC272*BC165+BD272*BD165+BE272*BE165+BF272*BF165+BG272*BG165+BH272*BH165+BI272*BI165+BJ272*BJ165+BK272*BK165+BL272*BL165+BM272*BM165+BN272*BN165+BO272*BO165+BP272*BP165+BQ272*BQ165+BR272*BR165+BS272*BS165+BT272*BT165+BU272*BU165+BV272*BV165+BW272*BW165+BX272*BX165+BY272*BY165+BZ272*BZ165+CA272*CA165+CB272*CB165+CC272*CC165+CD272*CD165+CE272*CE165+CF272*CF165+CG272*CG165+CH272*CH165+CI272*CI165+CJ272*CJ165+CK272*CK165+CL272*CL165+CM272*CM165+CN272*CN165+CO272*CO165+CP272*CP165+CQ272*CQ165+CR272*CR165+CS272*CS165</f>
        <v>0</v>
      </c>
      <c r="DC165" s="2504">
        <f>E273*E165+F273*F165+G273*G165+H273*H165+I273*I165+J273*J165+K273*K165+L273*L165+M273*M165+N273*N165+O273*O165+P273*P165+Q273*Q165+R273*R165+S273*S165+T273*T165+U273*U165+V273*V165+W273*W165+X273*X165+Y273*Y165+Z273*Z165+AA273*AA165+AB273*AB165+AC273*AC165+AD273*AD165+AE273*AE165+AF273*AF165+AG273*AG165+AH273*AH165+AI273*AI165+AJ273*AJ165+AK273*AK165+AL273*AL165+AM273*AM165+AN273*AN165+AO273*AO165+AP273*AP165+AQ273*AQ165+AR273*AR165+AS273*AS165+AT273*AT165+AU273*AU165+AV273*AV165+AW273*AW165+AX273*AX165+AY273*AY165+AZ273*AZ165+BA273*BA165+BB273*BB165+BC273*BC165+BD273*BD165+BE273*BE165+BF273*BF165+BG273*BG165+BH273*BH165+BI273*BI165+BJ273*BJ165+BK273*BK165+BL273*BL165+BM273*BM165+BN273*BN165+BO273*BO165+BP273*BP165+BQ273*BQ165+BR273*BR165+BS273*BS165+BT273*BT165+BU273*BU165+BV273*BV165+BW273*BW165+BX273*BX165+BY273*BY165+BZ273*BZ165+CA273*CA165+CB273*CB165+CC273*CC165+CD273*CD165+CE273*CE165+CF273*CF165+CG273*CG165+CH273*CH165+CI273*CI165+CJ273*CJ165+CK273*CK165+CL273*CL165+CM273*CM165+CN273*CN165+CO273*CO165+CP273*CP165+CQ273*CQ165+CR273*CR165+CS273*CS165</f>
        <v>0</v>
      </c>
      <c r="DD165" s="2504">
        <f>E274*E165+F274*F165+G274*G165+H274*H165+I274*I165+J274*J165+K274*K165+L274*L165+M274*M165+N274*N165+O274*O165+P274*P165+Q274*Q165+R274*R165+S274*S165+T274*T165+U274*U165+V274*V165+W274*W165+X274*X165+Y274*Y165+Z274*Z165+AA274*AA165+AB274*AB165+AC274*AC165+AD274*AD165+AE274*AE165+AF274*AF165+AG274*AG165+AH274*AH165+AI274*AI165+AJ274*AJ165+AK274*AK165+AL274*AL165+AM274*AM165+AN274*AN165+AO274*AO165+AP274*AP165+AQ274*AQ165+AR274*AR165+AS274*AS165+AT274*AT165+AU274*AU165+AV274*AV165+AW274*AW165+AX274*AX165+AY274*AY165+AZ274*AZ165+BA274*BA165+BB274*BB165+BC274*BC165+BD274*BD165+BE274*BE165+BF274*BF165+BG274*BG165+BH274*BH165+BI274*BI165+BJ274*BJ165+BK274*BK165+BL274*BL165+BM274*BM165+BN274*BN165+BO274*BO165+BP274*BP165+BQ274*BQ165+BR274*BR165+BS274*BS165+BT274*BT165+BU274*BU165+BV274*BV165+BW274*BW165+BX274*BX165+BY274*BY165+BZ274*BZ165+CA274*CA165+CB274*CB165+CC274*CC165+CD274*CD165+CE274*CE165+CF274*CF165+CG274*CG165+CH274*CH165+CI274*CI165+CJ274*CJ165+CK274*CK165+CL274*CL165+CM274*CM165+CN274*CN165+CO274*CO165+CP274*CP165+CQ274*CQ165+CR274*CR165+CS274*CS165</f>
        <v>0</v>
      </c>
      <c r="DE165" s="2504">
        <f>E275*E165+F275*F165+G275*G165+H275*H165+I275*I165+J275*J165+K275*K165+L275*L165+M275*M165+N275*N165+O275*O165+P275*P165+Q275*Q165+R275*R165+S275*S165+T275*T165+U275*U165+V275*V165+W275*W165+X275*X165+Y275*Y165+Z275*Z165+AA275*AA165+AB275*AB165+AC275*AC165+AD275*AD165+AE275*AE165+AF275*AF165+AG275*AG165+AH275*AH165+AI275*AI165+AJ275*AJ165+AK275*AK165+AL275*AL165+AM275*AM165+AN275*AN165+AO275*AO165+AP275*AP165+AQ275*AQ165+AR275*AR165+AS275*AS165+AT275*AT165+AU275*AU165+AV275*AV165+AW275*AW165+AX275*AX165+AY275*AY165+AZ275*AZ165+BA275*BA165+BB275*BB165+BC275*BC165+BD275*BD165+BE275*BE165+BF275*BF165+BG275*BG165+BH275*BH165+BI275*BI165+BJ275*BJ165+BK275*BK165+BL275*BL165+BM275*BM165+BN275*BN165+BO275*BO165+BP275*BP165+BQ275*BQ165+BR275*BR165+BS275*BS165+BT275*BT165+BU275*BU165+BV275*BV165+BW275*BW165+BX275*BX165+BY275*BY165+BZ275*BZ165+CA275*CA165+CB275*CB165+CC275*CC165+CD275*CD165+CE275*CE165+CF275*CF165+CG275*CG165+CH275*CH165+CI275*CI165+CJ275*CJ165+CK275*CK165+CL275*CL165+CM275*CM165+CN275*CN165+CO275*CO165+CP275*CP165+CQ275*CQ165+CR275*CR165+CS275*CS165</f>
        <v>0</v>
      </c>
      <c r="DF165" s="2504">
        <f>E276*E165+F276*F165+G276*G165+H276*H165+I276*I165+J276*J165+K276*K165+L276*L165+M276*M165+N276*N165+O276*O165+P276*P165+Q276*Q165+R276*R165+S276*S165+T276*T165+U276*U165+V276*V165+W276*W165+X276*X165+Y276*Y165+Z276*Z165+AA276*AA165+AB276*AB165+AC276*AC165+AD276*AD165+AE276*AE165+AF276*AF165+AG276*AG165+AH276*AH165+AI276*AI165+AJ276*AJ165+AK276*AK165+AL276*AL165+AM276*AM165+AN276*AN165+AO276*AO165+AP276*AP165+AQ276*AQ165+AR276*AR165+AS276*AS165+AT276*AT165+AU276*AU165+AV276*AV165+AW276*AW165+AX276*AX165+AY276*AY165+AZ276*AZ165+BA276*BA165+BB276*BB165+BC276*BC165+BD276*BD165+BE276*BE165+BF276*BF165+BG276*BG165+BH276*BH165+BI276*BI165+BJ276*BJ165+BK276*BK165+BL276*BL165+BM276*BM165+BN276*BN165+BO276*BO165+BP276*BP165+BQ276*BQ165+BR276*BR165+BS276*BS165+BT276*BT165+BU276*BU165+BV276*BV165+BW276*BW165+BX276*BX165+BY276*BY165+BZ276*BZ165+CA276*CA165+CB276*CB165+CC276*CC165+CD276*CD165+CE276*CE165+CF276*CF165+CG276*CG165+CH276*CH165+CI276*CI165+CJ276*CJ165+CK276*CK165+CL276*CL165+CM276*CM165+CN276*CN165+CO276*CO165+CP276*CP165+CQ276*CQ165+CR276*CR165+CS276*CS165</f>
        <v>0</v>
      </c>
    </row>
    <row r="166" spans="2:110" ht="18" x14ac:dyDescent="0.25">
      <c r="B166" s="1565">
        <v>24</v>
      </c>
      <c r="C166" s="1566" t="s">
        <v>247</v>
      </c>
      <c r="D166" s="1567" t="s">
        <v>4137</v>
      </c>
      <c r="E166" s="1471">
        <f>0</f>
        <v>0</v>
      </c>
      <c r="F166" s="1471">
        <f>0</f>
        <v>0</v>
      </c>
      <c r="G166" s="1471">
        <f>0</f>
        <v>0</v>
      </c>
      <c r="H166" s="1471">
        <f>0</f>
        <v>0</v>
      </c>
      <c r="I166" s="1471">
        <f>0</f>
        <v>0</v>
      </c>
      <c r="J166" s="1471">
        <f>0</f>
        <v>0</v>
      </c>
      <c r="K166" s="1471">
        <f>0</f>
        <v>0</v>
      </c>
      <c r="L166" s="1471">
        <f>0</f>
        <v>0</v>
      </c>
      <c r="M166" s="1471">
        <f>0</f>
        <v>0</v>
      </c>
      <c r="N166" s="1470">
        <f>0</f>
        <v>0</v>
      </c>
      <c r="O166" s="1470">
        <f>0</f>
        <v>0</v>
      </c>
      <c r="P166" s="1471">
        <f>0</f>
        <v>0</v>
      </c>
      <c r="Q166" s="1471">
        <f>0</f>
        <v>0</v>
      </c>
      <c r="R166" s="1471">
        <f>0</f>
        <v>0</v>
      </c>
      <c r="S166" s="1470">
        <f>-Y_PP_CASTO_anox</f>
        <v>-0.23</v>
      </c>
      <c r="T166" s="1471">
        <f>0</f>
        <v>0</v>
      </c>
      <c r="U166" s="1471">
        <f>0</f>
        <v>0</v>
      </c>
      <c r="V166" s="1471">
        <f>0</f>
        <v>0</v>
      </c>
      <c r="W166" s="1471">
        <f>0</f>
        <v>0</v>
      </c>
      <c r="X166" s="1471">
        <f>0</f>
        <v>0</v>
      </c>
      <c r="Y166" s="1471">
        <f>0</f>
        <v>0</v>
      </c>
      <c r="Z166" s="1471">
        <f>0</f>
        <v>0</v>
      </c>
      <c r="AA166" s="1471">
        <f>i_N_BIO*Y_PP_CASTO_anox</f>
        <v>1.6100000000000003E-2</v>
      </c>
      <c r="AB166" s="1470">
        <f>0</f>
        <v>0</v>
      </c>
      <c r="AC166" s="1470">
        <f>0</f>
        <v>0</v>
      </c>
      <c r="AD166" s="1470">
        <f>-Y_PP_CASTO_anox/E_EQN2_NO2</f>
        <v>-0.13423590884658176</v>
      </c>
      <c r="AE166" s="1471">
        <f>0</f>
        <v>0</v>
      </c>
      <c r="AF166" s="1471">
        <f>0</f>
        <v>0</v>
      </c>
      <c r="AG166" s="1471">
        <f>0</f>
        <v>0</v>
      </c>
      <c r="AH166" s="1470">
        <f>Y_PP_CASTO_anox/E_EQN2_NO2</f>
        <v>0.13423590884658176</v>
      </c>
      <c r="AI166" s="1470">
        <f>0</f>
        <v>0</v>
      </c>
      <c r="AJ166" s="1470">
        <f>0</f>
        <v>0</v>
      </c>
      <c r="AK166" s="1470">
        <f>0</f>
        <v>0</v>
      </c>
      <c r="AL166" s="1470">
        <f>0</f>
        <v>0</v>
      </c>
      <c r="AM166" s="1470">
        <f>i_P_BIO*Y_PP_CASTO_anox-1</f>
        <v>-0.99539999999999995</v>
      </c>
      <c r="AN166" s="1471">
        <f>1</f>
        <v>1</v>
      </c>
      <c r="AO166" s="1471">
        <f>0</f>
        <v>0</v>
      </c>
      <c r="AP166" s="1471">
        <f>0</f>
        <v>0</v>
      </c>
      <c r="AQ166" s="1471">
        <f>0</f>
        <v>0</v>
      </c>
      <c r="AR166" s="1471">
        <f>0</f>
        <v>0</v>
      </c>
      <c r="AS166" s="1471">
        <f>0</f>
        <v>0</v>
      </c>
      <c r="AT166" s="1471">
        <f>0</f>
        <v>0</v>
      </c>
      <c r="AU166" s="1471">
        <f>0</f>
        <v>0</v>
      </c>
      <c r="AV166" s="1470">
        <f>i_CIT_BIO*Y_PP_CASTO_anox</f>
        <v>8.0960000000000004E-2</v>
      </c>
      <c r="AW166" s="1470">
        <f>-i_INORG*Y_PP_CASTO_anox</f>
        <v>-2.53E-2</v>
      </c>
      <c r="AX166" s="1470">
        <f>Y_PP_CASTO_anox*i_INORG*(1-i_Ca_INORG*(A_MCa+2*A_MCl)/A_MCa-i_Mg_INORG*(A_MMg+2*A_MCl)/A_MMg)*f_Na</f>
        <v>6.6249898240436462E-3</v>
      </c>
      <c r="AY166" s="1470">
        <f>Y_PP_CASTO_anox*(i_INORG*(i_Ca_INORG*(2*A_MCl)/A_MCa+i_Mg_INORG*(2*A_MCl)/A_MMg)+i_INORG*(1-i_Ca_INORG*(A_MCa+2*A_MCl)/A_MCa-i_Mg_INORG*(A_MMg+2*A_MCl)/A_MMg)*(1-f_Na))</f>
        <v>1.6145010175956355E-2</v>
      </c>
      <c r="AZ166" s="1470">
        <f>Y_PP_CASTO_anox*i_INORG*i_Ca_INORG-i_Ca_PP*A_MCa/A_MP</f>
        <v>-0.12812838702613275</v>
      </c>
      <c r="BA166" s="1470">
        <f>Y_PP_CASTO_anox*i_INORG*i_Mg_INORG-i_Mg_PP*A_MMg/A_MP</f>
        <v>-0.27337874347136937</v>
      </c>
      <c r="BB166" s="1470">
        <f>-i_K_PP*A_MK/A_MP</f>
        <v>-0.12623038734377579</v>
      </c>
      <c r="BC166" s="1470">
        <f>0</f>
        <v>0</v>
      </c>
      <c r="BD166" s="1470">
        <f>0</f>
        <v>0</v>
      </c>
      <c r="BE166" s="1470">
        <f>0</f>
        <v>0</v>
      </c>
      <c r="BF166" s="1470">
        <f>0</f>
        <v>0</v>
      </c>
      <c r="BG166" s="1470">
        <f>0</f>
        <v>0</v>
      </c>
      <c r="BH166" s="1470">
        <f>0</f>
        <v>0</v>
      </c>
      <c r="BI166" s="1470">
        <f>0</f>
        <v>0</v>
      </c>
      <c r="BJ166" s="1470">
        <f>0</f>
        <v>0</v>
      </c>
      <c r="BK166" s="1470">
        <f>0</f>
        <v>0</v>
      </c>
      <c r="BL166" s="1470">
        <f>0</f>
        <v>0</v>
      </c>
      <c r="BM166" s="1470">
        <f>0</f>
        <v>0</v>
      </c>
      <c r="BN166" s="1470">
        <f>0</f>
        <v>0</v>
      </c>
      <c r="BO166" s="1470">
        <f>0</f>
        <v>0</v>
      </c>
      <c r="BP166" s="1470">
        <f>0</f>
        <v>0</v>
      </c>
      <c r="BQ166" s="1470">
        <f>0</f>
        <v>0</v>
      </c>
      <c r="BR166" s="1470">
        <f>0</f>
        <v>0</v>
      </c>
      <c r="BS166" s="1470">
        <f>0</f>
        <v>0</v>
      </c>
      <c r="BT166" s="1470">
        <f>0</f>
        <v>0</v>
      </c>
      <c r="BU166" s="1470">
        <f>0</f>
        <v>0</v>
      </c>
      <c r="BV166" s="1470">
        <f>0</f>
        <v>0</v>
      </c>
      <c r="BW166" s="2355">
        <f>0</f>
        <v>0</v>
      </c>
      <c r="BX166" s="2355">
        <f>0</f>
        <v>0</v>
      </c>
      <c r="BY166" s="2355">
        <f>0</f>
        <v>0</v>
      </c>
      <c r="BZ166" s="2355">
        <f>0</f>
        <v>0</v>
      </c>
      <c r="CA166" s="1470">
        <f>0</f>
        <v>0</v>
      </c>
      <c r="CB166" s="1470">
        <f>0</f>
        <v>0</v>
      </c>
      <c r="CC166" s="1470">
        <f>0</f>
        <v>0</v>
      </c>
      <c r="CD166" s="1470">
        <f>0</f>
        <v>0</v>
      </c>
      <c r="CE166" s="1470">
        <f>0</f>
        <v>0</v>
      </c>
      <c r="CF166" s="1470">
        <f>0</f>
        <v>0</v>
      </c>
      <c r="CG166" s="1470">
        <f>0</f>
        <v>0</v>
      </c>
      <c r="CH166" s="1470">
        <f>0</f>
        <v>0</v>
      </c>
      <c r="CI166" s="1470">
        <f>0</f>
        <v>0</v>
      </c>
      <c r="CJ166" s="1470">
        <f>0</f>
        <v>0</v>
      </c>
      <c r="CK166" s="1470">
        <f>0</f>
        <v>0</v>
      </c>
      <c r="CL166" s="1470">
        <f>0</f>
        <v>0</v>
      </c>
      <c r="CM166" s="1470">
        <f>0</f>
        <v>0</v>
      </c>
      <c r="CN166" s="1470">
        <f>0</f>
        <v>0</v>
      </c>
      <c r="CO166" s="1470">
        <f>0</f>
        <v>0</v>
      </c>
      <c r="CP166" s="1470">
        <f>0</f>
        <v>0</v>
      </c>
      <c r="CQ166" s="1470">
        <f>0</f>
        <v>0</v>
      </c>
      <c r="CR166" s="1470">
        <f>0</f>
        <v>0</v>
      </c>
      <c r="CS166" s="1470">
        <f>0</f>
        <v>0</v>
      </c>
      <c r="CT166" s="2482">
        <f>q_PAO_PP_T*X_PAO/(X_PP+X_PP_PAO_min)*X_PAO*η_CASTO_anox*M_satSNO2_KNO2_CASTO*M_inhSO2_KO2_CASTO*L_ogsatSPO4_KPO4_PAO*L_oginhXPP_XPAO_max*M_satSCa_KCa_PAO*M_satSMg_KMg_PAO*M_satSK_KK_PAO*B_ellinhpH</f>
        <v>3.3749587703170105</v>
      </c>
      <c r="CV166" s="2502">
        <f>E266*E166+F266*F166+G266*G166+H266*H166+I266*I166+J266*J166+K266*K166+L266*L166+M266*M166+N266*N166+O266*O166+P266*P166+Q266*Q166+R266*R166+S266*S166+T266*T166+U266*U166+V266*V166+W266*W166+X266*X166+Y266*Y166+Z266*Z166+AA266*AA166+AB266*AB166+AC266*AC166+AD266*AD166+AE266*AE166+AF266*AF166+AG266*AG166+AH266*AH166+AI266*AI166+AJ266*AJ166+AK266*AK166+AL266*AL166+AM266*AM166+AN266*AN166+AO266*AO166+AP266*AP166+AQ266*AQ166+AR266*AR166+AS266*AS166+AT266*AT166+AU266*AU166+AV266*AV166+AW266*AW166+AX266*AX166+AY266*AY166+AZ266*AZ166+BA266*BA166+BB266*BB166+BC266*BC166+BD266*BD166+BE266*BE166+BF266*BF166+BG266*BG166+BH266*BH166+BI266*BI166+BJ266*BJ166+BK266*BK166+BL266*BL166+BM266*BM166+BN266*BN166+BO266*BO166+BP266*BP166+BQ266*BQ166+BR266*BR166+BS266*BS166+BT266*BT166+BU266*BU166+BV266*BV166+BW266*BW166+BX266*BX166+BY266*BY166+BZ266*BZ166+CA266*CA166+CB266*CB166+CC266*CC166+CD266*CD166+CE266*CE166+CF266*CF166+CG266*CG166+CH266*CH166+CI266*CI166+CJ266*CJ166+CK266*CK166+CL266*CL166+CM266*CM166+CN266*CN166+CO266*CO166+CP266*CP166+CQ266*CQ166+CR266*CR166+CS266*CS166</f>
        <v>0</v>
      </c>
      <c r="CW166" s="2502">
        <f>E267*E166+F267*F166+G267*G166+H267*H166+I267*I166+J267*J166+K267*K166+L267*L166+M267*M166+N267*N166+O267*O166+P267*P166+Q267*Q166+R267*R166+S267*S166+T267*T166+U267*U166+V267*V166+W267*W166+X267*X166+Y267*Y166+Z267*Z166+AA267*AA166+AB267*AB166+AC267*AC166+AD267*AD166+AE267*AE166+AF267*AF166+AG267*AG166+AH267*AH166+AI267*AI166+AJ267*AJ166+AK267*AK166+AL267*AL166+AM267*AM166+AN267*AN166+AO267*AO166+AP267*AP166+AQ267*AQ166+AR267*AR166+AS267*AS166+AT267*AT166+AU267*AU166+AV267*AV166+AW267*AW166+AX267*AX166+AY267*AY166+AZ267*AZ166+BA267*BA166+BB267*BB166+BC267*BC166+BD267*BD166+BE267*BE166+BF267*BF166+BG267*BG166+BH267*BH166+BI267*BI166+BJ267*BJ166+BK267*BK166+BL267*BL166+BM267*BM166+BN267*BN166+BO267*BO166+BP267*BP166+BQ267*BQ166+BR267*BR166+BS267*BS166+BT267*BT166+BU267*BU166+BV267*BV166+BW267*BW166+BX267*BX166+BY267*BY166+BZ267*BZ166+CA267*CA166+CB267*CB166+CC267*CC166+CD267*CD166+CE267*CE166+CF267*CF166+CG267*CG166+CH267*CH166+CI267*CI166+CJ267*CJ166+CK267*CK166+CL267*CL166+CM267*CM166+CN267*CN166+CO267*CO166+CP267*CP166+CQ267*CQ166+CR267*CR166+CS267*CS166</f>
        <v>0</v>
      </c>
      <c r="CX166" s="2503">
        <f>E268*E166+F268*F166+G268*G166+H268*H166+I268*I166+J268*J166+K268*K166+L268*L166+M268*M166+N268*N166+O268*O166+P268*P166+Q268*Q166+R268*R166+S268*S166+T268*T166+U268*U166+V268*V166+W268*W166+X268*X166+Y268*Y166+Z268*Z166+AA268*AA166+AB268*AB166+AC268*AC166+AD268*AD166+AE268*AE166+AF268*AF166+AG268*AG166+AH268*AH166+AI268*AI166+AJ268*AJ166+AK268*AK166+AL268*AL166+AM268*AM166+AN268*AN166+AO268*AO166+AP268*AP166+AQ268*AQ166+AR268*AR166+AS268*AS166+AT268*AT166+AU268*AU166+AV268*AV166+AW268*AW166+AX268*AX166+AY268*AY166+AZ268*AZ166+BA268*BA166+BB268*BB166+BC268*BC166+BD268*BD166+BE268*BE166+BF268*BF166+BG268*BG166+BH268*BH166+BI268*BI166+BJ268*BJ166+BK268*BK166+BL268*BL166+BM268*BM166+BN268*BN166+BO268*BO166+BP268*BP166+BQ268*BQ166+BR268*BR166+BS268*BS166+BT268*BT166+BU268*BU166+BV268*BV166+BW268*BW166+BX268*BX166+BY268*BY166+BZ268*BZ166+CA268*CA166+CB268*CB166+CC268*CC166+CD268*CD166+CE268*CE166+CF268*CF166+CG268*CG166+CH268*CH166+CI268*CI166+CJ268*CJ166+CK268*CK166+CL268*CL166+CM268*CM166+CN268*CN166+CO268*CO166+CP268*CP166+CQ268*CQ166+CR268*CR166+CS268*CS166</f>
        <v>0</v>
      </c>
      <c r="CY166" s="2504">
        <f>E269*E166+F269*F166+G269*G166+H269*H166+I269*I166+J269*J166+K269*K166+L269*L166+M269*M166+N269*N166+O269*O166+P269*P166+Q269*Q166+R269*R166+S269*S166+T269*T166+U269*U166+V269*V166+W269*W166+X269*X166+Y269*Y166+Z269*Z166+AA269*AA166+AB269*AB166+AC269*AC166+AD269*AD166+AE269*AE166+AF269*AF166+AG269*AG166+AH269*AH166+AI269*AI166+AJ269*AJ166+AK269*AK166+AL269*AL166+AM269*AM166+AN269*AN166+AO269*AO166+AP269*AP166+AQ269*AQ166+AR269*AR166+AS269*AS166+AT269*AT166+AU269*AU166+AV269*AV166+AW269*AW166+AX269*AX166+AY269*AY166+AZ269*AZ166+BA269*BA166+BB269*BB166+BC269*BC166+BD269*BD166+BE269*BE166+BF269*BF166+BG269*BG166+BH269*BH166+BI269*BI166+BJ269*BJ166+BK269*BK166+BL269*BL166+BM269*BM166+BN269*BN166+BO269*BO166+BP269*BP166+BQ269*BQ166+BR269*BR166+BS269*BS166+BT269*BT166+BU269*BU166+BV269*BV166+BW269*BW166+BX269*BX166+BY269*BY166+BZ269*BZ166+CA269*CA166+CB269*CB166+CC269*CC166+CD269*CD166+CE269*CE166+CF269*CF166+CG269*CG166+CH269*CH166+CI269*CI166+CJ269*CJ166+CK269*CK166+CL269*CL166+CM269*CM166+CN269*CN166+CO269*CO166+CP269*CP166+CQ269*CQ166+CR269*CR166+CS269*CS166</f>
        <v>0</v>
      </c>
      <c r="CZ166" s="2504">
        <f>E270*E166+F270*F166+G270*G166+H270*H166+I270*I166+J270*J166+K270*K166+L270*L166+M270*M166+N270*N166+O270*O166+P270*P166+Q270*Q166+R270*R166+S270*S166+T270*T166+U270*U166+V270*V166+W270*W166+X270*X166+Y270*Y166+Z270*Z166+AA270*AA166+AB270*AB166+AC270*AC166+AD270*AD166+AE270*AE166+AF270*AF166+AG270*AG166+AH270*AH166+AI270*AI166+AJ270*AJ166+AK270*AK166+AL270*AL166+AM270*AM166+AN270*AN166+AO270*AO166+AP270*AP166+AQ270*AQ166+AR270*AR166+AS270*AS166+AT270*AT166+AU270*AU166+AV270*AV166+AW270*AW166+AX270*AX166+AY270*AY166+AZ270*AZ166+BA270*BA166+BB270*BB166+BC270*BC166+BD270*BD166+BE270*BE166+BF270*BF166+BG270*BG166+BH270*BH166+BI270*BI166+BJ270*BJ166+BK270*BK166+BL270*BL166+BM270*BM166+BN270*BN166+BO270*BO166+BP270*BP166+BQ270*BQ166+BR270*BR166+BS270*BS166+BT270*BT166+BU270*BU166+BV270*BV166+BW270*BW166+BX270*BX166+BY270*BY166+BZ270*BZ166+CA270*CA166+CB270*CB166+CC270*CC166+CD270*CD166+CE270*CE166+CF270*CF166+CG270*CG166+CH270*CH166+CI270*CI166+CJ270*CJ166+CK270*CK166+CL270*CL166+CM270*CM166+CN270*CN166+CO270*CO166+CP270*CP166+CQ270*CQ166+CR270*CR166+CS270*CS166</f>
        <v>-8.6736173798840355E-19</v>
      </c>
      <c r="DA166" s="2504">
        <f>E271*E166+F271*F166+G271*G166+H271*H166+I271*I166+J271*J166+K271*K166+L271*L166+M271*M166+N271*N166+O271*O166+P271*P166+Q271*Q166+R271*R166+S271*S166+T271*T166+U271*U166+V271*V166+W271*W166+X271*X166+Y271*Y166+Z271*Z166+AA271*AA166+AB271*AB166+AC271*AC166+AD271*AD166+AE271*AE166+AF271*AF166+AG271*AG166+AH271*AH166+AI271*AI166+AJ271*AJ166+AK271*AK166+AL271*AL166+AM271*AM166+AN271*AN166+AO271*AO166+AP271*AP166+AQ271*AQ166+AR271*AR166+AS271*AS166+AT271*AT166+AU271*AU166+AV271*AV166+AW271*AW166+AX271*AX166+AY271*AY166+AZ271*AZ166+BA271*BA166+BB271*BB166+BC271*BC166+BD271*BD166+BE271*BE166+BF271*BF166+BG271*BG166+BH271*BH166+BI271*BI166+BJ271*BJ166+BK271*BK166+BL271*BL166+BM271*BM166+BN271*BN166+BO271*BO166+BP271*BP166+BQ271*BQ166+BR271*BR166+BS271*BS166+BT271*BT166+BU271*BU166+BV271*BV166+BW271*BW166+BX271*BX166+BY271*BY166+BZ271*BZ166+CA271*CA166+CB271*CB166+CC271*CC166+CD271*CD166+CE271*CE166+CF271*CF166+CG271*CG166+CH271*CH166+CI271*CI166+CJ271*CJ166+CK271*CK166+CL271*CL166+CM271*CM166+CN271*CN166+CO271*CO166+CP271*CP166+CQ271*CQ166+CR271*CR166+CS271*CS166</f>
        <v>0</v>
      </c>
      <c r="DB166" s="2504">
        <f>E272*E166+F272*F166+G272*G166+H272*H166+I272*I166+J272*J166+K272*K166+L272*L166+M272*M166+N272*N166+O272*O166+P272*P166+Q272*Q166+R272*R166+S272*S166+T272*T166+U272*U166+V272*V166+W272*W166+X272*X166+Y272*Y166+Z272*Z166+AA272*AA166+AB272*AB166+AC272*AC166+AD272*AD166+AE272*AE166+AF272*AF166+AG272*AG166+AH272*AH166+AI272*AI166+AJ272*AJ166+AK272*AK166+AL272*AL166+AM272*AM166+AN272*AN166+AO272*AO166+AP272*AP166+AQ272*AQ166+AR272*AR166+AS272*AS166+AT272*AT166+AU272*AU166+AV272*AV166+AW272*AW166+AX272*AX166+AY272*AY166+AZ272*AZ166+BA272*BA166+BB272*BB166+BC272*BC166+BD272*BD166+BE272*BE166+BF272*BF166+BG272*BG166+BH272*BH166+BI272*BI166+BJ272*BJ166+BK272*BK166+BL272*BL166+BM272*BM166+BN272*BN166+BO272*BO166+BP272*BP166+BQ272*BQ166+BR272*BR166+BS272*BS166+BT272*BT166+BU272*BU166+BV272*BV166+BW272*BW166+BX272*BX166+BY272*BY166+BZ272*BZ166+CA272*CA166+CB272*CB166+CC272*CC166+CD272*CD166+CE272*CE166+CF272*CF166+CG272*CG166+CH272*CH166+CI272*CI166+CJ272*CJ166+CK272*CK166+CL272*CL166+CM272*CM166+CN272*CN166+CO272*CO166+CP272*CP166+CQ272*CQ166+CR272*CR166+CS272*CS166</f>
        <v>0</v>
      </c>
      <c r="DC166" s="2504">
        <f>E273*E166+F273*F166+G273*G166+H273*H166+I273*I166+J273*J166+K273*K166+L273*L166+M273*M166+N273*N166+O273*O166+P273*P166+Q273*Q166+R273*R166+S273*S166+T273*T166+U273*U166+V273*V166+W273*W166+X273*X166+Y273*Y166+Z273*Z166+AA273*AA166+AB273*AB166+AC273*AC166+AD273*AD166+AE273*AE166+AF273*AF166+AG273*AG166+AH273*AH166+AI273*AI166+AJ273*AJ166+AK273*AK166+AL273*AL166+AM273*AM166+AN273*AN166+AO273*AO166+AP273*AP166+AQ273*AQ166+AR273*AR166+AS273*AS166+AT273*AT166+AU273*AU166+AV273*AV166+AW273*AW166+AX273*AX166+AY273*AY166+AZ273*AZ166+BA273*BA166+BB273*BB166+BC273*BC166+BD273*BD166+BE273*BE166+BF273*BF166+BG273*BG166+BH273*BH166+BI273*BI166+BJ273*BJ166+BK273*BK166+BL273*BL166+BM273*BM166+BN273*BN166+BO273*BO166+BP273*BP166+BQ273*BQ166+BR273*BR166+BS273*BS166+BT273*BT166+BU273*BU166+BV273*BV166+BW273*BW166+BX273*BX166+BY273*BY166+BZ273*BZ166+CA273*CA166+CB273*CB166+CC273*CC166+CD273*CD166+CE273*CE166+CF273*CF166+CG273*CG166+CH273*CH166+CI273*CI166+CJ273*CJ166+CK273*CK166+CL273*CL166+CM273*CM166+CN273*CN166+CO273*CO166+CP273*CP166+CQ273*CQ166+CR273*CR166+CS273*CS166</f>
        <v>0</v>
      </c>
      <c r="DD166" s="2504">
        <f>E274*E166+F274*F166+G274*G166+H274*H166+I274*I166+J274*J166+K274*K166+L274*L166+M274*M166+N274*N166+O274*O166+P274*P166+Q274*Q166+R274*R166+S274*S166+T274*T166+U274*U166+V274*V166+W274*W166+X274*X166+Y274*Y166+Z274*Z166+AA274*AA166+AB274*AB166+AC274*AC166+AD274*AD166+AE274*AE166+AF274*AF166+AG274*AG166+AH274*AH166+AI274*AI166+AJ274*AJ166+AK274*AK166+AL274*AL166+AM274*AM166+AN274*AN166+AO274*AO166+AP274*AP166+AQ274*AQ166+AR274*AR166+AS274*AS166+AT274*AT166+AU274*AU166+AV274*AV166+AW274*AW166+AX274*AX166+AY274*AY166+AZ274*AZ166+BA274*BA166+BB274*BB166+BC274*BC166+BD274*BD166+BE274*BE166+BF274*BF166+BG274*BG166+BH274*BH166+BI274*BI166+BJ274*BJ166+BK274*BK166+BL274*BL166+BM274*BM166+BN274*BN166+BO274*BO166+BP274*BP166+BQ274*BQ166+BR274*BR166+BS274*BS166+BT274*BT166+BU274*BU166+BV274*BV166+BW274*BW166+BX274*BX166+BY274*BY166+BZ274*BZ166+CA274*CA166+CB274*CB166+CC274*CC166+CD274*CD166+CE274*CE166+CF274*CF166+CG274*CG166+CH274*CH166+CI274*CI166+CJ274*CJ166+CK274*CK166+CL274*CL166+CM274*CM166+CN274*CN166+CO274*CO166+CP274*CP166+CQ274*CQ166+CR274*CR166+CS274*CS166</f>
        <v>0</v>
      </c>
      <c r="DE166" s="2504">
        <f>E275*E166+F275*F166+G275*G166+H275*H166+I275*I166+J275*J166+K275*K166+L275*L166+M275*M166+N275*N166+O275*O166+P275*P166+Q275*Q166+R275*R166+S275*S166+T275*T166+U275*U166+V275*V166+W275*W166+X275*X166+Y275*Y166+Z275*Z166+AA275*AA166+AB275*AB166+AC275*AC166+AD275*AD166+AE275*AE166+AF275*AF166+AG275*AG166+AH275*AH166+AI275*AI166+AJ275*AJ166+AK275*AK166+AL275*AL166+AM275*AM166+AN275*AN166+AO275*AO166+AP275*AP166+AQ275*AQ166+AR275*AR166+AS275*AS166+AT275*AT166+AU275*AU166+AV275*AV166+AW275*AW166+AX275*AX166+AY275*AY166+AZ275*AZ166+BA275*BA166+BB275*BB166+BC275*BC166+BD275*BD166+BE275*BE166+BF275*BF166+BG275*BG166+BH275*BH166+BI275*BI166+BJ275*BJ166+BK275*BK166+BL275*BL166+BM275*BM166+BN275*BN166+BO275*BO166+BP275*BP166+BQ275*BQ166+BR275*BR166+BS275*BS166+BT275*BT166+BU275*BU166+BV275*BV166+BW275*BW166+BX275*BX166+BY275*BY166+BZ275*BZ166+CA275*CA166+CB275*CB166+CC275*CC166+CD275*CD166+CE275*CE166+CF275*CF166+CG275*CG166+CH275*CH166+CI275*CI166+CJ275*CJ166+CK275*CK166+CL275*CL166+CM275*CM166+CN275*CN166+CO275*CO166+CP275*CP166+CQ275*CQ166+CR275*CR166+CS275*CS166</f>
        <v>0</v>
      </c>
      <c r="DF166" s="2504">
        <f>E276*E166+F276*F166+G276*G166+H276*H166+I276*I166+J276*J166+K276*K166+L276*L166+M276*M166+N276*N166+O276*O166+P276*P166+Q276*Q166+R276*R166+S276*S166+T276*T166+U276*U166+V276*V166+W276*W166+X276*X166+Y276*Y166+Z276*Z166+AA276*AA166+AB276*AB166+AC276*AC166+AD276*AD166+AE276*AE166+AF276*AF166+AG276*AG166+AH276*AH166+AI276*AI166+AJ276*AJ166+AK276*AK166+AL276*AL166+AM276*AM166+AN276*AN166+AO276*AO166+AP276*AP166+AQ276*AQ166+AR276*AR166+AS276*AS166+AT276*AT166+AU276*AU166+AV276*AV166+AW276*AW166+AX276*AX166+AY276*AY166+AZ276*AZ166+BA276*BA166+BB276*BB166+BC276*BC166+BD276*BD166+BE276*BE166+BF276*BF166+BG276*BG166+BH276*BH166+BI276*BI166+BJ276*BJ166+BK276*BK166+BL276*BL166+BM276*BM166+BN276*BN166+BO276*BO166+BP276*BP166+BQ276*BQ166+BR276*BR166+BS276*BS166+BT276*BT166+BU276*BU166+BV276*BV166+BW276*BW166+BX276*BX166+BY276*BY166+BZ276*BZ166+CA276*CA166+CB276*CB166+CC276*CC166+CD276*CD166+CE276*CE166+CF276*CF166+CG276*CG166+CH276*CH166+CI276*CI166+CJ276*CJ166+CK276*CK166+CL276*CL166+CM276*CM166+CN276*CN166+CO276*CO166+CP276*CP166+CQ276*CQ166+CR276*CR166+CS276*CS166</f>
        <v>0</v>
      </c>
    </row>
    <row r="167" spans="2:110" ht="18" x14ac:dyDescent="0.25">
      <c r="B167" s="1565">
        <v>25</v>
      </c>
      <c r="C167" s="1566" t="s">
        <v>248</v>
      </c>
      <c r="D167" s="1567" t="s">
        <v>4150</v>
      </c>
      <c r="E167" s="1471">
        <f>0</f>
        <v>0</v>
      </c>
      <c r="F167" s="1471">
        <f>0</f>
        <v>0</v>
      </c>
      <c r="G167" s="1471">
        <f>0</f>
        <v>0</v>
      </c>
      <c r="H167" s="1471">
        <f>0</f>
        <v>0</v>
      </c>
      <c r="I167" s="1471">
        <f>0</f>
        <v>0</v>
      </c>
      <c r="J167" s="1471">
        <f>0</f>
        <v>0</v>
      </c>
      <c r="K167" s="1471">
        <f>0</f>
        <v>0</v>
      </c>
      <c r="L167" s="1471">
        <f>0</f>
        <v>0</v>
      </c>
      <c r="M167" s="1471">
        <f>0</f>
        <v>0</v>
      </c>
      <c r="N167" s="1470">
        <f>0</f>
        <v>0</v>
      </c>
      <c r="O167" s="1470">
        <f>0</f>
        <v>0</v>
      </c>
      <c r="P167" s="1471">
        <f>0</f>
        <v>0</v>
      </c>
      <c r="Q167" s="1471">
        <f>0</f>
        <v>0</v>
      </c>
      <c r="R167" s="1471">
        <f>0</f>
        <v>0</v>
      </c>
      <c r="S167" s="1470">
        <f>-Y_PP_CASTO_anox</f>
        <v>-0.23</v>
      </c>
      <c r="T167" s="1471">
        <f>0</f>
        <v>0</v>
      </c>
      <c r="U167" s="1471">
        <f>0</f>
        <v>0</v>
      </c>
      <c r="V167" s="1471">
        <f>0</f>
        <v>0</v>
      </c>
      <c r="W167" s="1471">
        <f>0</f>
        <v>0</v>
      </c>
      <c r="X167" s="1471">
        <f>0</f>
        <v>0</v>
      </c>
      <c r="Y167" s="1471">
        <f>0</f>
        <v>0</v>
      </c>
      <c r="Z167" s="1471">
        <f>0</f>
        <v>0</v>
      </c>
      <c r="AA167" s="1471">
        <f>i_N_BIO*Y_PP_CASTO_anox</f>
        <v>1.6100000000000003E-2</v>
      </c>
      <c r="AB167" s="1470">
        <f>0</f>
        <v>0</v>
      </c>
      <c r="AC167" s="1470">
        <f>-Y_PP_CASTO_anox/E_EQNO2_NO3</f>
        <v>-0.20135386326987265</v>
      </c>
      <c r="AD167" s="1470">
        <f>Y_PP_CASTO_anox/E_EQNO2_NO3</f>
        <v>0.20135386326987265</v>
      </c>
      <c r="AE167" s="1471">
        <f>0</f>
        <v>0</v>
      </c>
      <c r="AF167" s="1471">
        <f>0</f>
        <v>0</v>
      </c>
      <c r="AG167" s="1471">
        <f>0</f>
        <v>0</v>
      </c>
      <c r="AH167" s="1471">
        <f>0</f>
        <v>0</v>
      </c>
      <c r="AI167" s="1471">
        <f>0</f>
        <v>0</v>
      </c>
      <c r="AJ167" s="1471">
        <f>0</f>
        <v>0</v>
      </c>
      <c r="AK167" s="1471">
        <f>0</f>
        <v>0</v>
      </c>
      <c r="AL167" s="1471">
        <f>0</f>
        <v>0</v>
      </c>
      <c r="AM167" s="1470">
        <f>i_P_BIO*Y_PP_CASTO_anox-1</f>
        <v>-0.99539999999999995</v>
      </c>
      <c r="AN167" s="1471">
        <f>1</f>
        <v>1</v>
      </c>
      <c r="AO167" s="1471">
        <f>0</f>
        <v>0</v>
      </c>
      <c r="AP167" s="1471">
        <f>0</f>
        <v>0</v>
      </c>
      <c r="AQ167" s="1471">
        <f>0</f>
        <v>0</v>
      </c>
      <c r="AR167" s="1471">
        <f>0</f>
        <v>0</v>
      </c>
      <c r="AS167" s="1471">
        <f>0</f>
        <v>0</v>
      </c>
      <c r="AT167" s="1471">
        <f>0</f>
        <v>0</v>
      </c>
      <c r="AU167" s="1471">
        <f>0</f>
        <v>0</v>
      </c>
      <c r="AV167" s="1470">
        <f>i_CIT_BIO*Y_PP_CASTO_anox</f>
        <v>8.0960000000000004E-2</v>
      </c>
      <c r="AW167" s="1470">
        <f>-i_INORG*Y_PP_CASTO_anox</f>
        <v>-2.53E-2</v>
      </c>
      <c r="AX167" s="1470">
        <f>Y_PP_CASTO_anox*i_INORG*(1-i_Ca_INORG*(A_MCa+2*A_MCl)/A_MCa-i_Mg_INORG*(A_MMg+2*A_MCl)/A_MMg)*f_Na</f>
        <v>6.6249898240436462E-3</v>
      </c>
      <c r="AY167" s="1470">
        <f>Y_PP_CASTO_anox*(i_INORG*(i_Ca_INORG*(2*A_MCl)/A_MCa+i_Mg_INORG*(2*A_MCl)/A_MMg)+i_INORG*(1-i_Ca_INORG*(A_MCa+2*A_MCl)/A_MCa-i_Mg_INORG*(A_MMg+2*A_MCl)/A_MMg)*(1-f_Na))</f>
        <v>1.6145010175956355E-2</v>
      </c>
      <c r="AZ167" s="1470">
        <f>Y_PP_CASTO_anox*i_INORG*i_Ca_INORG-i_Ca_PP*A_MCa/A_MP</f>
        <v>-0.12812838702613275</v>
      </c>
      <c r="BA167" s="1470">
        <f>Y_PP_CASTO_anox*i_INORG*i_Mg_INORG-i_Mg_PP*A_MMg/A_MP</f>
        <v>-0.27337874347136937</v>
      </c>
      <c r="BB167" s="1470">
        <f>-i_K_PP*A_MK/A_MP</f>
        <v>-0.12623038734377579</v>
      </c>
      <c r="BC167" s="1470">
        <f>0</f>
        <v>0</v>
      </c>
      <c r="BD167" s="1470">
        <f>0</f>
        <v>0</v>
      </c>
      <c r="BE167" s="1470">
        <f>0</f>
        <v>0</v>
      </c>
      <c r="BF167" s="1470">
        <f>0</f>
        <v>0</v>
      </c>
      <c r="BG167" s="1470">
        <f>0</f>
        <v>0</v>
      </c>
      <c r="BH167" s="1470">
        <f>0</f>
        <v>0</v>
      </c>
      <c r="BI167" s="1470">
        <f>0</f>
        <v>0</v>
      </c>
      <c r="BJ167" s="1470">
        <f>0</f>
        <v>0</v>
      </c>
      <c r="BK167" s="1470">
        <f>0</f>
        <v>0</v>
      </c>
      <c r="BL167" s="1470">
        <f>0</f>
        <v>0</v>
      </c>
      <c r="BM167" s="1470">
        <f>0</f>
        <v>0</v>
      </c>
      <c r="BN167" s="1470">
        <f>0</f>
        <v>0</v>
      </c>
      <c r="BO167" s="1470">
        <f>0</f>
        <v>0</v>
      </c>
      <c r="BP167" s="1470">
        <f>0</f>
        <v>0</v>
      </c>
      <c r="BQ167" s="1470">
        <f>0</f>
        <v>0</v>
      </c>
      <c r="BR167" s="1470">
        <f>0</f>
        <v>0</v>
      </c>
      <c r="BS167" s="1470">
        <f>0</f>
        <v>0</v>
      </c>
      <c r="BT167" s="1470">
        <f>0</f>
        <v>0</v>
      </c>
      <c r="BU167" s="1470">
        <f>0</f>
        <v>0</v>
      </c>
      <c r="BV167" s="1470">
        <f>0</f>
        <v>0</v>
      </c>
      <c r="BW167" s="2355">
        <f>0</f>
        <v>0</v>
      </c>
      <c r="BX167" s="2355">
        <f>0</f>
        <v>0</v>
      </c>
      <c r="BY167" s="2355">
        <f>0</f>
        <v>0</v>
      </c>
      <c r="BZ167" s="2355">
        <f>0</f>
        <v>0</v>
      </c>
      <c r="CA167" s="1470">
        <f>0</f>
        <v>0</v>
      </c>
      <c r="CB167" s="1470">
        <f>0</f>
        <v>0</v>
      </c>
      <c r="CC167" s="1470">
        <f>0</f>
        <v>0</v>
      </c>
      <c r="CD167" s="1470">
        <f>0</f>
        <v>0</v>
      </c>
      <c r="CE167" s="1470">
        <f>0</f>
        <v>0</v>
      </c>
      <c r="CF167" s="1470">
        <f>0</f>
        <v>0</v>
      </c>
      <c r="CG167" s="1470">
        <f>0</f>
        <v>0</v>
      </c>
      <c r="CH167" s="1470">
        <f>0</f>
        <v>0</v>
      </c>
      <c r="CI167" s="1470">
        <f>0</f>
        <v>0</v>
      </c>
      <c r="CJ167" s="1470">
        <f>0</f>
        <v>0</v>
      </c>
      <c r="CK167" s="1470">
        <f>0</f>
        <v>0</v>
      </c>
      <c r="CL167" s="1470">
        <f>0</f>
        <v>0</v>
      </c>
      <c r="CM167" s="1470">
        <f>0</f>
        <v>0</v>
      </c>
      <c r="CN167" s="1470">
        <f>0</f>
        <v>0</v>
      </c>
      <c r="CO167" s="1470">
        <f>0</f>
        <v>0</v>
      </c>
      <c r="CP167" s="1470">
        <f>0</f>
        <v>0</v>
      </c>
      <c r="CQ167" s="1470">
        <f>0</f>
        <v>0</v>
      </c>
      <c r="CR167" s="1470">
        <f>0</f>
        <v>0</v>
      </c>
      <c r="CS167" s="1470">
        <f>0</f>
        <v>0</v>
      </c>
      <c r="CT167" s="2482">
        <f>q_PAO_PP_T*X_PAO/(X_PP+X_PP_PAO_min)*X_PAO*η_CASTO_anox*M_satSNO3_KNO3_CASTO*M_inhSO2_KO2_CASTO*M_inhSNO2_KNO2_CASTO*L_ogsatSPO4_KPO4_PAO*L_oginhXPP_XPAO_max*M_satSCa_KCa_PAO*M_satSMg_KMg_PAO*M_satSK_KK_PAO*B_ellinhpH</f>
        <v>1.6543915540769663</v>
      </c>
      <c r="CV167" s="2502">
        <f>E266*E167+F266*F167+G266*G167+H266*H167+I266*I167+J266*J167+K266*K167+L266*L167+M266*M167+N266*N167+O266*O167+P266*P167+Q266*Q167+R266*R167+S266*S167+T266*T167+U266*U167+V266*V167+W266*W167+X266*X167+Y266*Y167+Z266*Z167+AA266*AA167+AB266*AB167+AC266*AC167+AD266*AD167+AE266*AE167+AF266*AF167+AG266*AG167+AH266*AH167+AI266*AI167+AJ266*AJ167+AK266*AK167+AL266*AL167+AM266*AM167+AN266*AN167+AO266*AO167+AP266*AP167+AQ266*AQ167+AR266*AR167+AS266*AS167+AT266*AT167+AU266*AU167+AV266*AV167+AW266*AW167+AX266*AX167+AY266*AY167+AZ266*AZ167+BA266*BA167+BB266*BB167+BC266*BC167+BD266*BD167+BE266*BE167+BF266*BF167+BG266*BG167+BH266*BH167+BI266*BI167+BJ266*BJ167+BK266*BK167+BL266*BL167+BM266*BM167+BN266*BN167+BO266*BO167+BP266*BP167+BQ266*BQ167+BR266*BR167+BS266*BS167+BT266*BT167+BU266*BU167+BV266*BV167+BW266*BW167+BX266*BX167+BY266*BY167+BZ266*BZ167+CA266*CA167+CB266*CB167+CC266*CC167+CD266*CD167+CE266*CE167+CF266*CF167+CG266*CG167+CH266*CH167+CI266*CI167+CJ266*CJ167+CK266*CK167+CL266*CL167+CM266*CM167+CN266*CN167+CO266*CO167+CP266*CP167+CQ266*CQ167+CR266*CR167+CS266*CS167</f>
        <v>1.1102230246251565E-16</v>
      </c>
      <c r="CW167" s="2502">
        <f>E267*E167+F267*F167+G267*G167+H267*H167+I267*I167+J267*J167+K267*K167+L267*L167+M267*M167+N267*N167+O267*O167+P267*P167+Q267*Q167+R267*R167+S267*S167+T267*T167+U267*U167+V267*V167+W267*W167+X267*X167+Y267*Y167+Z267*Z167+AA267*AA167+AB267*AB167+AC267*AC167+AD267*AD167+AE267*AE167+AF267*AF167+AG267*AG167+AH267*AH167+AI267*AI167+AJ267*AJ167+AK267*AK167+AL267*AL167+AM267*AM167+AN267*AN167+AO267*AO167+AP267*AP167+AQ267*AQ167+AR267*AR167+AS267*AS167+AT267*AT167+AU267*AU167+AV267*AV167+AW267*AW167+AX267*AX167+AY267*AY167+AZ267*AZ167+BA267*BA167+BB267*BB167+BC267*BC167+BD267*BD167+BE267*BE167+BF267*BF167+BG267*BG167+BH267*BH167+BI267*BI167+BJ267*BJ167+BK267*BK167+BL267*BL167+BM267*BM167+BN267*BN167+BO267*BO167+BP267*BP167+BQ267*BQ167+BR267*BR167+BS267*BS167+BT267*BT167+BU267*BU167+BV267*BV167+BW267*BW167+BX267*BX167+BY267*BY167+BZ267*BZ167+CA267*CA167+CB267*CB167+CC267*CC167+CD267*CD167+CE267*CE167+CF267*CF167+CG267*CG167+CH267*CH167+CI267*CI167+CJ267*CJ167+CK267*CK167+CL267*CL167+CM267*CM167+CN267*CN167+CO267*CO167+CP267*CP167+CQ267*CQ167+CR267*CR167+CS267*CS167</f>
        <v>0</v>
      </c>
      <c r="CX167" s="2503">
        <f>E268*E167+F268*F167+G268*G167+H268*H167+I268*I167+J268*J167+K268*K167+L268*L167+M268*M167+N268*N167+O268*O167+P268*P167+Q268*Q167+R268*R167+S268*S167+T268*T167+U268*U167+V268*V167+W268*W167+X268*X167+Y268*Y167+Z268*Z167+AA268*AA167+AB268*AB167+AC268*AC167+AD268*AD167+AE268*AE167+AF268*AF167+AG268*AG167+AH268*AH167+AI268*AI167+AJ268*AJ167+AK268*AK167+AL268*AL167+AM268*AM167+AN268*AN167+AO268*AO167+AP268*AP167+AQ268*AQ167+AR268*AR167+AS268*AS167+AT268*AT167+AU268*AU167+AV268*AV167+AW268*AW167+AX268*AX167+AY268*AY167+AZ268*AZ167+BA268*BA167+BB268*BB167+BC268*BC167+BD268*BD167+BE268*BE167+BF268*BF167+BG268*BG167+BH268*BH167+BI268*BI167+BJ268*BJ167+BK268*BK167+BL268*BL167+BM268*BM167+BN268*BN167+BO268*BO167+BP268*BP167+BQ268*BQ167+BR268*BR167+BS268*BS167+BT268*BT167+BU268*BU167+BV268*BV167+BW268*BW167+BX268*BX167+BY268*BY167+BZ268*BZ167+CA268*CA167+CB268*CB167+CC268*CC167+CD268*CD167+CE268*CE167+CF268*CF167+CG268*CG167+CH268*CH167+CI268*CI167+CJ268*CJ167+CK268*CK167+CL268*CL167+CM268*CM167+CN268*CN167+CO268*CO167+CP268*CP167+CQ268*CQ167+CR268*CR167+CS268*CS167</f>
        <v>0</v>
      </c>
      <c r="CY167" s="2504">
        <f>E269*E167+F269*F167+G269*G167+H269*H167+I269*I167+J269*J167+K269*K167+L269*L167+M269*M167+N269*N167+O269*O167+P269*P167+Q269*Q167+R269*R167+S269*S167+T269*T167+U269*U167+V269*V167+W269*W167+X269*X167+Y269*Y167+Z269*Z167+AA269*AA167+AB269*AB167+AC269*AC167+AD269*AD167+AE269*AE167+AF269*AF167+AG269*AG167+AH269*AH167+AI269*AI167+AJ269*AJ167+AK269*AK167+AL269*AL167+AM269*AM167+AN269*AN167+AO269*AO167+AP269*AP167+AQ269*AQ167+AR269*AR167+AS269*AS167+AT269*AT167+AU269*AU167+AV269*AV167+AW269*AW167+AX269*AX167+AY269*AY167+AZ269*AZ167+BA269*BA167+BB269*BB167+BC269*BC167+BD269*BD167+BE269*BE167+BF269*BF167+BG269*BG167+BH269*BH167+BI269*BI167+BJ269*BJ167+BK269*BK167+BL269*BL167+BM269*BM167+BN269*BN167+BO269*BO167+BP269*BP167+BQ269*BQ167+BR269*BR167+BS269*BS167+BT269*BT167+BU269*BU167+BV269*BV167+BW269*BW167+BX269*BX167+BY269*BY167+BZ269*BZ167+CA269*CA167+CB269*CB167+CC269*CC167+CD269*CD167+CE269*CE167+CF269*CF167+CG269*CG167+CH269*CH167+CI269*CI167+CJ269*CJ167+CK269*CK167+CL269*CL167+CM269*CM167+CN269*CN167+CO269*CO167+CP269*CP167+CQ269*CQ167+CR269*CR167+CS269*CS167</f>
        <v>0</v>
      </c>
      <c r="CZ167" s="2504">
        <f>E270*E167+F270*F167+G270*G167+H270*H167+I270*I167+J270*J167+K270*K167+L270*L167+M270*M167+N270*N167+O270*O167+P270*P167+Q270*Q167+R270*R167+S270*S167+T270*T167+U270*U167+V270*V167+W270*W167+X270*X167+Y270*Y167+Z270*Z167+AA270*AA167+AB270*AB167+AC270*AC167+AD270*AD167+AE270*AE167+AF270*AF167+AG270*AG167+AH270*AH167+AI270*AI167+AJ270*AJ167+AK270*AK167+AL270*AL167+AM270*AM167+AN270*AN167+AO270*AO167+AP270*AP167+AQ270*AQ167+AR270*AR167+AS270*AS167+AT270*AT167+AU270*AU167+AV270*AV167+AW270*AW167+AX270*AX167+AY270*AY167+AZ270*AZ167+BA270*BA167+BB270*BB167+BC270*BC167+BD270*BD167+BE270*BE167+BF270*BF167+BG270*BG167+BH270*BH167+BI270*BI167+BJ270*BJ167+BK270*BK167+BL270*BL167+BM270*BM167+BN270*BN167+BO270*BO167+BP270*BP167+BQ270*BQ167+BR270*BR167+BS270*BS167+BT270*BT167+BU270*BU167+BV270*BV167+BW270*BW167+BX270*BX167+BY270*BY167+BZ270*BZ167+CA270*CA167+CB270*CB167+CC270*CC167+CD270*CD167+CE270*CE167+CF270*CF167+CG270*CG167+CH270*CH167+CI270*CI167+CJ270*CJ167+CK270*CK167+CL270*CL167+CM270*CM167+CN270*CN167+CO270*CO167+CP270*CP167+CQ270*CQ167+CR270*CR167+CS270*CS167</f>
        <v>-8.6736173798840355E-19</v>
      </c>
      <c r="DA167" s="2504">
        <f>E271*E167+F271*F167+G271*G167+H271*H167+I271*I167+J271*J167+K271*K167+L271*L167+M271*M167+N271*N167+O271*O167+P271*P167+Q271*Q167+R271*R167+S271*S167+T271*T167+U271*U167+V271*V167+W271*W167+X271*X167+Y271*Y167+Z271*Z167+AA271*AA167+AB271*AB167+AC271*AC167+AD271*AD167+AE271*AE167+AF271*AF167+AG271*AG167+AH271*AH167+AI271*AI167+AJ271*AJ167+AK271*AK167+AL271*AL167+AM271*AM167+AN271*AN167+AO271*AO167+AP271*AP167+AQ271*AQ167+AR271*AR167+AS271*AS167+AT271*AT167+AU271*AU167+AV271*AV167+AW271*AW167+AX271*AX167+AY271*AY167+AZ271*AZ167+BA271*BA167+BB271*BB167+BC271*BC167+BD271*BD167+BE271*BE167+BF271*BF167+BG271*BG167+BH271*BH167+BI271*BI167+BJ271*BJ167+BK271*BK167+BL271*BL167+BM271*BM167+BN271*BN167+BO271*BO167+BP271*BP167+BQ271*BQ167+BR271*BR167+BS271*BS167+BT271*BT167+BU271*BU167+BV271*BV167+BW271*BW167+BX271*BX167+BY271*BY167+BZ271*BZ167+CA271*CA167+CB271*CB167+CC271*CC167+CD271*CD167+CE271*CE167+CF271*CF167+CG271*CG167+CH271*CH167+CI271*CI167+CJ271*CJ167+CK271*CK167+CL271*CL167+CM271*CM167+CN271*CN167+CO271*CO167+CP271*CP167+CQ271*CQ167+CR271*CR167+CS271*CS167</f>
        <v>0</v>
      </c>
      <c r="DB167" s="2504">
        <f>E272*E167+F272*F167+G272*G167+H272*H167+I272*I167+J272*J167+K272*K167+L272*L167+M272*M167+N272*N167+O272*O167+P272*P167+Q272*Q167+R272*R167+S272*S167+T272*T167+U272*U167+V272*V167+W272*W167+X272*X167+Y272*Y167+Z272*Z167+AA272*AA167+AB272*AB167+AC272*AC167+AD272*AD167+AE272*AE167+AF272*AF167+AG272*AG167+AH272*AH167+AI272*AI167+AJ272*AJ167+AK272*AK167+AL272*AL167+AM272*AM167+AN272*AN167+AO272*AO167+AP272*AP167+AQ272*AQ167+AR272*AR167+AS272*AS167+AT272*AT167+AU272*AU167+AV272*AV167+AW272*AW167+AX272*AX167+AY272*AY167+AZ272*AZ167+BA272*BA167+BB272*BB167+BC272*BC167+BD272*BD167+BE272*BE167+BF272*BF167+BG272*BG167+BH272*BH167+BI272*BI167+BJ272*BJ167+BK272*BK167+BL272*BL167+BM272*BM167+BN272*BN167+BO272*BO167+BP272*BP167+BQ272*BQ167+BR272*BR167+BS272*BS167+BT272*BT167+BU272*BU167+BV272*BV167+BW272*BW167+BX272*BX167+BY272*BY167+BZ272*BZ167+CA272*CA167+CB272*CB167+CC272*CC167+CD272*CD167+CE272*CE167+CF272*CF167+CG272*CG167+CH272*CH167+CI272*CI167+CJ272*CJ167+CK272*CK167+CL272*CL167+CM272*CM167+CN272*CN167+CO272*CO167+CP272*CP167+CQ272*CQ167+CR272*CR167+CS272*CS167</f>
        <v>0</v>
      </c>
      <c r="DC167" s="2504">
        <f>E273*E167+F273*F167+G273*G167+H273*H167+I273*I167+J273*J167+K273*K167+L273*L167+M273*M167+N273*N167+O273*O167+P273*P167+Q273*Q167+R273*R167+S273*S167+T273*T167+U273*U167+V273*V167+W273*W167+X273*X167+Y273*Y167+Z273*Z167+AA273*AA167+AB273*AB167+AC273*AC167+AD273*AD167+AE273*AE167+AF273*AF167+AG273*AG167+AH273*AH167+AI273*AI167+AJ273*AJ167+AK273*AK167+AL273*AL167+AM273*AM167+AN273*AN167+AO273*AO167+AP273*AP167+AQ273*AQ167+AR273*AR167+AS273*AS167+AT273*AT167+AU273*AU167+AV273*AV167+AW273*AW167+AX273*AX167+AY273*AY167+AZ273*AZ167+BA273*BA167+BB273*BB167+BC273*BC167+BD273*BD167+BE273*BE167+BF273*BF167+BG273*BG167+BH273*BH167+BI273*BI167+BJ273*BJ167+BK273*BK167+BL273*BL167+BM273*BM167+BN273*BN167+BO273*BO167+BP273*BP167+BQ273*BQ167+BR273*BR167+BS273*BS167+BT273*BT167+BU273*BU167+BV273*BV167+BW273*BW167+BX273*BX167+BY273*BY167+BZ273*BZ167+CA273*CA167+CB273*CB167+CC273*CC167+CD273*CD167+CE273*CE167+CF273*CF167+CG273*CG167+CH273*CH167+CI273*CI167+CJ273*CJ167+CK273*CK167+CL273*CL167+CM273*CM167+CN273*CN167+CO273*CO167+CP273*CP167+CQ273*CQ167+CR273*CR167+CS273*CS167</f>
        <v>0</v>
      </c>
      <c r="DD167" s="2504">
        <f>E274*E167+F274*F167+G274*G167+H274*H167+I274*I167+J274*J167+K274*K167+L274*L167+M274*M167+N274*N167+O274*O167+P274*P167+Q274*Q167+R274*R167+S274*S167+T274*T167+U274*U167+V274*V167+W274*W167+X274*X167+Y274*Y167+Z274*Z167+AA274*AA167+AB274*AB167+AC274*AC167+AD274*AD167+AE274*AE167+AF274*AF167+AG274*AG167+AH274*AH167+AI274*AI167+AJ274*AJ167+AK274*AK167+AL274*AL167+AM274*AM167+AN274*AN167+AO274*AO167+AP274*AP167+AQ274*AQ167+AR274*AR167+AS274*AS167+AT274*AT167+AU274*AU167+AV274*AV167+AW274*AW167+AX274*AX167+AY274*AY167+AZ274*AZ167+BA274*BA167+BB274*BB167+BC274*BC167+BD274*BD167+BE274*BE167+BF274*BF167+BG274*BG167+BH274*BH167+BI274*BI167+BJ274*BJ167+BK274*BK167+BL274*BL167+BM274*BM167+BN274*BN167+BO274*BO167+BP274*BP167+BQ274*BQ167+BR274*BR167+BS274*BS167+BT274*BT167+BU274*BU167+BV274*BV167+BW274*BW167+BX274*BX167+BY274*BY167+BZ274*BZ167+CA274*CA167+CB274*CB167+CC274*CC167+CD274*CD167+CE274*CE167+CF274*CF167+CG274*CG167+CH274*CH167+CI274*CI167+CJ274*CJ167+CK274*CK167+CL274*CL167+CM274*CM167+CN274*CN167+CO274*CO167+CP274*CP167+CQ274*CQ167+CR274*CR167+CS274*CS167</f>
        <v>0</v>
      </c>
      <c r="DE167" s="2504">
        <f>E275*E167+F275*F167+G275*G167+H275*H167+I275*I167+J275*J167+K275*K167+L275*L167+M275*M167+N275*N167+O275*O167+P275*P167+Q275*Q167+R275*R167+S275*S167+T275*T167+U275*U167+V275*V167+W275*W167+X275*X167+Y275*Y167+Z275*Z167+AA275*AA167+AB275*AB167+AC275*AC167+AD275*AD167+AE275*AE167+AF275*AF167+AG275*AG167+AH275*AH167+AI275*AI167+AJ275*AJ167+AK275*AK167+AL275*AL167+AM275*AM167+AN275*AN167+AO275*AO167+AP275*AP167+AQ275*AQ167+AR275*AR167+AS275*AS167+AT275*AT167+AU275*AU167+AV275*AV167+AW275*AW167+AX275*AX167+AY275*AY167+AZ275*AZ167+BA275*BA167+BB275*BB167+BC275*BC167+BD275*BD167+BE275*BE167+BF275*BF167+BG275*BG167+BH275*BH167+BI275*BI167+BJ275*BJ167+BK275*BK167+BL275*BL167+BM275*BM167+BN275*BN167+BO275*BO167+BP275*BP167+BQ275*BQ167+BR275*BR167+BS275*BS167+BT275*BT167+BU275*BU167+BV275*BV167+BW275*BW167+BX275*BX167+BY275*BY167+BZ275*BZ167+CA275*CA167+CB275*CB167+CC275*CC167+CD275*CD167+CE275*CE167+CF275*CF167+CG275*CG167+CH275*CH167+CI275*CI167+CJ275*CJ167+CK275*CK167+CL275*CL167+CM275*CM167+CN275*CN167+CO275*CO167+CP275*CP167+CQ275*CQ167+CR275*CR167+CS275*CS167</f>
        <v>0</v>
      </c>
      <c r="DF167" s="2504">
        <f>E276*E167+F276*F167+G276*G167+H276*H167+I276*I167+J276*J167+K276*K167+L276*L167+M276*M167+N276*N167+O276*O167+P276*P167+Q276*Q167+R276*R167+S276*S167+T276*T167+U276*U167+V276*V167+W276*W167+X276*X167+Y276*Y167+Z276*Z167+AA276*AA167+AB276*AB167+AC276*AC167+AD276*AD167+AE276*AE167+AF276*AF167+AG276*AG167+AH276*AH167+AI276*AI167+AJ276*AJ167+AK276*AK167+AL276*AL167+AM276*AM167+AN276*AN167+AO276*AO167+AP276*AP167+AQ276*AQ167+AR276*AR167+AS276*AS167+AT276*AT167+AU276*AU167+AV276*AV167+AW276*AW167+AX276*AX167+AY276*AY167+AZ276*AZ167+BA276*BA167+BB276*BB167+BC276*BC167+BD276*BD167+BE276*BE167+BF276*BF167+BG276*BG167+BH276*BH167+BI276*BI167+BJ276*BJ167+BK276*BK167+BL276*BL167+BM276*BM167+BN276*BN167+BO276*BO167+BP276*BP167+BQ276*BQ167+BR276*BR167+BS276*BS167+BT276*BT167+BU276*BU167+BV276*BV167+BW276*BW167+BX276*BX167+BY276*BY167+BZ276*BZ167+CA276*CA167+CB276*CB167+CC276*CC167+CD276*CD167+CE276*CE167+CF276*CF167+CG276*CG167+CH276*CH167+CI276*CI167+CJ276*CJ167+CK276*CK167+CL276*CL167+CM276*CM167+CN276*CN167+CO276*CO167+CP276*CP167+CQ276*CQ167+CR276*CR167+CS276*CS167</f>
        <v>0</v>
      </c>
    </row>
    <row r="168" spans="2:110" ht="18" x14ac:dyDescent="0.25">
      <c r="B168" s="1565">
        <v>26</v>
      </c>
      <c r="C168" s="1566" t="s">
        <v>249</v>
      </c>
      <c r="D168" s="1567" t="s">
        <v>1656</v>
      </c>
      <c r="E168" s="1471">
        <f>0</f>
        <v>0</v>
      </c>
      <c r="F168" s="1471">
        <f>0</f>
        <v>0</v>
      </c>
      <c r="G168" s="1471">
        <f>0</f>
        <v>0</v>
      </c>
      <c r="H168" s="1471">
        <f>0</f>
        <v>0</v>
      </c>
      <c r="I168" s="1471">
        <f>0</f>
        <v>0</v>
      </c>
      <c r="J168" s="1471">
        <f>0</f>
        <v>0</v>
      </c>
      <c r="K168" s="1471">
        <f>0</f>
        <v>0</v>
      </c>
      <c r="L168" s="1471">
        <f>0</f>
        <v>0</v>
      </c>
      <c r="M168" s="1471">
        <f>0</f>
        <v>0</v>
      </c>
      <c r="N168" s="2355">
        <f>-1/Y_PAO_PHA_ox</f>
        <v>-1.5649452269170578</v>
      </c>
      <c r="O168" s="1470">
        <f>0</f>
        <v>0</v>
      </c>
      <c r="P168" s="1471">
        <f>0</f>
        <v>0</v>
      </c>
      <c r="Q168" s="1471">
        <f>0</f>
        <v>0</v>
      </c>
      <c r="R168" s="1471">
        <f>0</f>
        <v>0</v>
      </c>
      <c r="S168" s="1471">
        <f>1</f>
        <v>1</v>
      </c>
      <c r="T168" s="1471">
        <f>0</f>
        <v>0</v>
      </c>
      <c r="U168" s="1471">
        <f>0</f>
        <v>0</v>
      </c>
      <c r="V168" s="1471">
        <f>0</f>
        <v>0</v>
      </c>
      <c r="W168" s="1471">
        <f>0</f>
        <v>0</v>
      </c>
      <c r="X168" s="1471">
        <f>0</f>
        <v>0</v>
      </c>
      <c r="Y168" s="1471">
        <f>0</f>
        <v>0</v>
      </c>
      <c r="Z168" s="1471">
        <f>0</f>
        <v>0</v>
      </c>
      <c r="AA168" s="1471">
        <f>-i_N_BIO</f>
        <v>-7.0000000000000007E-2</v>
      </c>
      <c r="AB168" s="1471">
        <f>0</f>
        <v>0</v>
      </c>
      <c r="AC168" s="1471">
        <f>0</f>
        <v>0</v>
      </c>
      <c r="AD168" s="1471">
        <f>0</f>
        <v>0</v>
      </c>
      <c r="AE168" s="1471">
        <f>0</f>
        <v>0</v>
      </c>
      <c r="AF168" s="1471">
        <f>0</f>
        <v>0</v>
      </c>
      <c r="AG168" s="1471">
        <f>0</f>
        <v>0</v>
      </c>
      <c r="AH168" s="1471">
        <f>0</f>
        <v>0</v>
      </c>
      <c r="AI168" s="1471">
        <f>0</f>
        <v>0</v>
      </c>
      <c r="AJ168" s="1471">
        <f>0</f>
        <v>0</v>
      </c>
      <c r="AK168" s="1471">
        <f>0</f>
        <v>0</v>
      </c>
      <c r="AL168" s="1471">
        <f>0</f>
        <v>0</v>
      </c>
      <c r="AM168" s="1470">
        <f>0</f>
        <v>0</v>
      </c>
      <c r="AN168" s="1470">
        <f>-i_P_BIO</f>
        <v>-0.02</v>
      </c>
      <c r="AO168" s="1471">
        <f>0</f>
        <v>0</v>
      </c>
      <c r="AP168" s="1471">
        <f>0</f>
        <v>0</v>
      </c>
      <c r="AQ168" s="1471">
        <f>0</f>
        <v>0</v>
      </c>
      <c r="AR168" s="1471">
        <f>0</f>
        <v>0</v>
      </c>
      <c r="AS168" s="1470">
        <f>-(1-Y_PAO_PHA_ox)/Y_PAO_PHA_ox</f>
        <v>-0.56494522691705784</v>
      </c>
      <c r="AT168" s="1470">
        <f>0</f>
        <v>0</v>
      </c>
      <c r="AU168" s="1470">
        <f>0</f>
        <v>0</v>
      </c>
      <c r="AV168" s="1470">
        <f>(i_CIT_PHA/Y_PAO_PHA_ox)-i_CIT_BIO</f>
        <v>0.16912676056338027</v>
      </c>
      <c r="AW168" s="1470">
        <f>i_INORG</f>
        <v>0.11</v>
      </c>
      <c r="AX168" s="1470">
        <f>-i_INORG*(1-i_Ca_INORG*(A_MCa+2*A_MCl)/A_MCa-i_Mg_INORG*(A_MMg+2*A_MCl)/A_MMg)*f_Na</f>
        <v>-2.8804303582798466E-2</v>
      </c>
      <c r="AY168" s="1470">
        <f>-i_INORG*(i_Ca_INORG*(2*A_MCl)/A_MCa+i_Mg_INORG*(2*A_MCl)/A_MMg)-i_INORG*(1-i_Ca_INORG*(A_MCa+2*A_MCl)/A_MCa-i_Mg_INORG*(A_MMg+2*A_MCl)/A_MMg)*(1-f_Na)</f>
        <v>-7.0195696417201539E-2</v>
      </c>
      <c r="AZ168" s="1470">
        <f>-i_INORG*i_Ca_INORG+i_Ca_PP*A_MCa/A_MP*i_P_BIO</f>
        <v>-2.9121322594773459E-3</v>
      </c>
      <c r="BA168" s="1470">
        <f>-i_INORG*i_Mg_INORG+i_Mg_PP*A_MMg/A_MP*i_P_BIO</f>
        <v>-7.1251305726128047E-6</v>
      </c>
      <c r="BB168" s="1470">
        <f>i_K_PP*A_MK/A_MP*i_P_BIO</f>
        <v>2.5246077468755158E-3</v>
      </c>
      <c r="BC168" s="1470">
        <f>0</f>
        <v>0</v>
      </c>
      <c r="BD168" s="1470">
        <f>0</f>
        <v>0</v>
      </c>
      <c r="BE168" s="1470">
        <f>0</f>
        <v>0</v>
      </c>
      <c r="BF168" s="1470">
        <f>0</f>
        <v>0</v>
      </c>
      <c r="BG168" s="1470">
        <f>0</f>
        <v>0</v>
      </c>
      <c r="BH168" s="1470">
        <f>0</f>
        <v>0</v>
      </c>
      <c r="BI168" s="1470">
        <f>0</f>
        <v>0</v>
      </c>
      <c r="BJ168" s="1470">
        <f>0</f>
        <v>0</v>
      </c>
      <c r="BK168" s="1470">
        <f>0</f>
        <v>0</v>
      </c>
      <c r="BL168" s="1470">
        <f>0</f>
        <v>0</v>
      </c>
      <c r="BM168" s="1470">
        <f>0</f>
        <v>0</v>
      </c>
      <c r="BN168" s="1470">
        <f>0</f>
        <v>0</v>
      </c>
      <c r="BO168" s="1470">
        <f>0</f>
        <v>0</v>
      </c>
      <c r="BP168" s="1470">
        <f>0</f>
        <v>0</v>
      </c>
      <c r="BQ168" s="1470">
        <f>0</f>
        <v>0</v>
      </c>
      <c r="BR168" s="1470">
        <f>0</f>
        <v>0</v>
      </c>
      <c r="BS168" s="1470">
        <f>0</f>
        <v>0</v>
      </c>
      <c r="BT168" s="1470">
        <f>0</f>
        <v>0</v>
      </c>
      <c r="BU168" s="1470">
        <f>0</f>
        <v>0</v>
      </c>
      <c r="BV168" s="1470">
        <f>0</f>
        <v>0</v>
      </c>
      <c r="BW168" s="2355">
        <f>0</f>
        <v>0</v>
      </c>
      <c r="BX168" s="2355">
        <f>0</f>
        <v>0</v>
      </c>
      <c r="BY168" s="2355">
        <f>0</f>
        <v>0</v>
      </c>
      <c r="BZ168" s="2355">
        <f>0</f>
        <v>0</v>
      </c>
      <c r="CA168" s="1470">
        <f>0</f>
        <v>0</v>
      </c>
      <c r="CB168" s="1470">
        <f>0</f>
        <v>0</v>
      </c>
      <c r="CC168" s="1470">
        <f>0</f>
        <v>0</v>
      </c>
      <c r="CD168" s="1470">
        <f>0</f>
        <v>0</v>
      </c>
      <c r="CE168" s="1470">
        <f>0</f>
        <v>0</v>
      </c>
      <c r="CF168" s="1470">
        <f>0</f>
        <v>0</v>
      </c>
      <c r="CG168" s="1470">
        <f>0</f>
        <v>0</v>
      </c>
      <c r="CH168" s="1470">
        <f>0</f>
        <v>0</v>
      </c>
      <c r="CI168" s="1470">
        <f>0</f>
        <v>0</v>
      </c>
      <c r="CJ168" s="1470">
        <f>0</f>
        <v>0</v>
      </c>
      <c r="CK168" s="1470">
        <f>0</f>
        <v>0</v>
      </c>
      <c r="CL168" s="1470">
        <f>0</f>
        <v>0</v>
      </c>
      <c r="CM168" s="1470">
        <f>0</f>
        <v>0</v>
      </c>
      <c r="CN168" s="1470">
        <f>0</f>
        <v>0</v>
      </c>
      <c r="CO168" s="1470">
        <f>0</f>
        <v>0</v>
      </c>
      <c r="CP168" s="1470">
        <f>0</f>
        <v>0</v>
      </c>
      <c r="CQ168" s="1470">
        <f>0</f>
        <v>0</v>
      </c>
      <c r="CR168" s="1470">
        <f>0</f>
        <v>0</v>
      </c>
      <c r="CS168" s="1470">
        <f>0</f>
        <v>0</v>
      </c>
      <c r="CT168" s="2482">
        <f>µ_PAO_lim_T*X_PAO*M_RsatXPHA_XPAO_KPHA*M_satSO2_KO2_CASTO*M_satSNHx_KNHx_BIO*M_inhSPO4_KiPO4_lim*M_satXPP_KPP_lim*M_satSCAT_KCAT*M_satSAN_KAN*M_satSCa_KCa*M_satSMg_KMg*B_ellinhpH</f>
        <v>1.6759891744191493</v>
      </c>
      <c r="CV168" s="2502">
        <f>E266*E168+F266*F168+G266*G168+H266*H168+I266*I168+J266*J168+K266*K168+L266*L168+M266*M168+N266*N168+O266*O168+P266*P168+Q266*Q168+R266*R168+S266*S168+T266*T168+U266*U168+V266*V168+W266*W168+X266*X168+Y266*Y168+Z266*Z168+AA266*AA168+AB266*AB168+AC266*AC168+AD266*AD168+AE266*AE168+AF266*AF168+AG266*AG168+AH266*AH168+AI266*AI168+AJ266*AJ168+AK266*AK168+AL266*AL168+AM266*AM168+AN266*AN168+AO266*AO168+AP266*AP168+AQ266*AQ168+AR266*AR168+AS266*AS168+AT266*AT168+AU266*AU168+AV266*AV168+AW266*AW168+AX266*AX168+AY266*AY168+AZ266*AZ168+BA266*BA168+BB266*BB168+BC266*BC168+BD266*BD168+BE266*BE168+BF266*BF168+BG266*BG168+BH266*BH168+BI266*BI168+BJ266*BJ168+BK266*BK168+BL266*BL168+BM266*BM168+BN266*BN168+BO266*BO168+BP266*BP168+BQ266*BQ168+BR266*BR168+BS266*BS168+BT266*BT168+BU266*BU168+BV266*BV168+BW266*BW168+BX266*BX168+BY266*BY168+BZ266*BZ168+CA266*CA168+CB266*CB168+CC266*CC168+CD266*CD168+CE266*CE168+CF266*CF168+CG266*CG168+CH266*CH168+CI266*CI168+CJ266*CJ168+CK266*CK168+CL266*CL168+CM266*CM168+CN266*CN168+CO266*CO168+CP266*CP168+CQ266*CQ168+CR266*CR168+CS266*CS168</f>
        <v>0</v>
      </c>
      <c r="CW168" s="2502">
        <f>E267*E168+F267*F168+G267*G168+H267*H168+I267*I168+J267*J168+K267*K168+L267*L168+M267*M168+N267*N168+O267*O168+P267*P168+Q267*Q168+R267*R168+S267*S168+T267*T168+U267*U168+V267*V168+W267*W168+X267*X168+Y267*Y168+Z267*Z168+AA267*AA168+AB267*AB168+AC267*AC168+AD267*AD168+AE267*AE168+AF267*AF168+AG267*AG168+AH267*AH168+AI267*AI168+AJ267*AJ168+AK267*AK168+AL267*AL168+AM267*AM168+AN267*AN168+AO267*AO168+AP267*AP168+AQ267*AQ168+AR267*AR168+AS267*AS168+AT267*AT168+AU267*AU168+AV267*AV168+AW267*AW168+AX267*AX168+AY267*AY168+AZ267*AZ168+BA267*BA168+BB267*BB168+BC267*BC168+BD267*BD168+BE267*BE168+BF267*BF168+BG267*BG168+BH267*BH168+BI267*BI168+BJ267*BJ168+BK267*BK168+BL267*BL168+BM267*BM168+BN267*BN168+BO267*BO168+BP267*BP168+BQ267*BQ168+BR267*BR168+BS267*BS168+BT267*BT168+BU267*BU168+BV267*BV168+BW267*BW168+BX267*BX168+BY267*BY168+BZ267*BZ168+CA267*CA168+CB267*CB168+CC267*CC168+CD267*CD168+CE267*CE168+CF267*CF168+CG267*CG168+CH267*CH168+CI267*CI168+CJ267*CJ168+CK267*CK168+CL267*CL168+CM267*CM168+CN267*CN168+CO267*CO168+CP267*CP168+CQ267*CQ168+CR267*CR168+CS267*CS168</f>
        <v>0</v>
      </c>
      <c r="CX168" s="2503">
        <f>E268*E168+F268*F168+G268*G168+H268*H168+I268*I168+J268*J168+K268*K168+L268*L168+M268*M168+N268*N168+O268*O168+P268*P168+Q268*Q168+R268*R168+S268*S168+T268*T168+U268*U168+V268*V168+W268*W168+X268*X168+Y268*Y168+Z268*Z168+AA268*AA168+AB268*AB168+AC268*AC168+AD268*AD168+AE268*AE168+AF268*AF168+AG268*AG168+AH268*AH168+AI268*AI168+AJ268*AJ168+AK268*AK168+AL268*AL168+AM268*AM168+AN268*AN168+AO268*AO168+AP268*AP168+AQ268*AQ168+AR268*AR168+AS268*AS168+AT268*AT168+AU268*AU168+AV268*AV168+AW268*AW168+AX268*AX168+AY268*AY168+AZ268*AZ168+BA268*BA168+BB268*BB168+BC268*BC168+BD268*BD168+BE268*BE168+BF268*BF168+BG268*BG168+BH268*BH168+BI268*BI168+BJ268*BJ168+BK268*BK168+BL268*BL168+BM268*BM168+BN268*BN168+BO268*BO168+BP268*BP168+BQ268*BQ168+BR268*BR168+BS268*BS168+BT268*BT168+BU268*BU168+BV268*BV168+BW268*BW168+BX268*BX168+BY268*BY168+BZ268*BZ168+CA268*CA168+CB268*CB168+CC268*CC168+CD268*CD168+CE268*CE168+CF268*CF168+CG268*CG168+CH268*CH168+CI268*CI168+CJ268*CJ168+CK268*CK168+CL268*CL168+CM268*CM168+CN268*CN168+CO268*CO168+CP268*CP168+CQ268*CQ168+CR268*CR168+CS268*CS168</f>
        <v>0</v>
      </c>
      <c r="CY168" s="2504">
        <f>E269*E168+F269*F168+G269*G168+H269*H168+I269*I168+J269*J168+K269*K168+L269*L168+M269*M168+N269*N168+O269*O168+P269*P168+Q269*Q168+R269*R168+S269*S168+T269*T168+U269*U168+V269*V168+W269*W168+X269*X168+Y269*Y168+Z269*Z168+AA269*AA168+AB269*AB168+AC269*AC168+AD269*AD168+AE269*AE168+AF269*AF168+AG269*AG168+AH269*AH168+AI269*AI168+AJ269*AJ168+AK269*AK168+AL269*AL168+AM269*AM168+AN269*AN168+AO269*AO168+AP269*AP168+AQ269*AQ168+AR269*AR168+AS269*AS168+AT269*AT168+AU269*AU168+AV269*AV168+AW269*AW168+AX269*AX168+AY269*AY168+AZ269*AZ168+BA269*BA168+BB269*BB168+BC269*BC168+BD269*BD168+BE269*BE168+BF269*BF168+BG269*BG168+BH269*BH168+BI269*BI168+BJ269*BJ168+BK269*BK168+BL269*BL168+BM269*BM168+BN269*BN168+BO269*BO168+BP269*BP168+BQ269*BQ168+BR269*BR168+BS269*BS168+BT269*BT168+BU269*BU168+BV269*BV168+BW269*BW168+BX269*BX168+BY269*BY168+BZ269*BZ168+CA269*CA168+CB269*CB168+CC269*CC168+CD269*CD168+CE269*CE168+CF269*CF168+CG269*CG168+CH269*CH168+CI269*CI168+CJ269*CJ168+CK269*CK168+CL269*CL168+CM269*CM168+CN269*CN168+CO269*CO168+CP269*CP168+CQ269*CQ168+CR269*CR168+CS269*CS168</f>
        <v>0</v>
      </c>
      <c r="CZ168" s="2504">
        <f>E270*E168+F270*F168+G270*G168+H270*H168+I270*I168+J270*J168+K270*K168+L270*L168+M270*M168+N270*N168+O270*O168+P270*P168+Q270*Q168+R270*R168+S270*S168+T270*T168+U270*U168+V270*V168+W270*W168+X270*X168+Y270*Y168+Z270*Z168+AA270*AA168+AB270*AB168+AC270*AC168+AD270*AD168+AE270*AE168+AF270*AF168+AG270*AG168+AH270*AH168+AI270*AI168+AJ270*AJ168+AK270*AK168+AL270*AL168+AM270*AM168+AN270*AN168+AO270*AO168+AP270*AP168+AQ270*AQ168+AR270*AR168+AS270*AS168+AT270*AT168+AU270*AU168+AV270*AV168+AW270*AW168+AX270*AX168+AY270*AY168+AZ270*AZ168+BA270*BA168+BB270*BB168+BC270*BC168+BD270*BD168+BE270*BE168+BF270*BF168+BG270*BG168+BH270*BH168+BI270*BI168+BJ270*BJ168+BK270*BK168+BL270*BL168+BM270*BM168+BN270*BN168+BO270*BO168+BP270*BP168+BQ270*BQ168+BR270*BR168+BS270*BS168+BT270*BT168+BU270*BU168+BV270*BV168+BW270*BW168+BX270*BX168+BY270*BY168+BZ270*BZ168+CA270*CA168+CB270*CB168+CC270*CC168+CD270*CD168+CE270*CE168+CF270*CF168+CG270*CG168+CH270*CH168+CI270*CI168+CJ270*CJ168+CK270*CK168+CL270*CL168+CM270*CM168+CN270*CN168+CO270*CO168+CP270*CP168+CQ270*CQ168+CR270*CR168+CS270*CS168</f>
        <v>0</v>
      </c>
      <c r="DA168" s="2504">
        <f>E271*E168+F271*F168+G271*G168+H271*H168+I271*I168+J271*J168+K271*K168+L271*L168+M271*M168+N271*N168+O271*O168+P271*P168+Q271*Q168+R271*R168+S271*S168+T271*T168+U271*U168+V271*V168+W271*W168+X271*X168+Y271*Y168+Z271*Z168+AA271*AA168+AB271*AB168+AC271*AC168+AD271*AD168+AE271*AE168+AF271*AF168+AG271*AG168+AH271*AH168+AI271*AI168+AJ271*AJ168+AK271*AK168+AL271*AL168+AM271*AM168+AN271*AN168+AO271*AO168+AP271*AP168+AQ271*AQ168+AR271*AR168+AS271*AS168+AT271*AT168+AU271*AU168+AV271*AV168+AW271*AW168+AX271*AX168+AY271*AY168+AZ271*AZ168+BA271*BA168+BB271*BB168+BC271*BC168+BD271*BD168+BE271*BE168+BF271*BF168+BG271*BG168+BH271*BH168+BI271*BI168+BJ271*BJ168+BK271*BK168+BL271*BL168+BM271*BM168+BN271*BN168+BO271*BO168+BP271*BP168+BQ271*BQ168+BR271*BR168+BS271*BS168+BT271*BT168+BU271*BU168+BV271*BV168+BW271*BW168+BX271*BX168+BY271*BY168+BZ271*BZ168+CA271*CA168+CB271*CB168+CC271*CC168+CD271*CD168+CE271*CE168+CF271*CF168+CG271*CG168+CH271*CH168+CI271*CI168+CJ271*CJ168+CK271*CK168+CL271*CL168+CM271*CM168+CN271*CN168+CO271*CO168+CP271*CP168+CQ271*CQ168+CR271*CR168+CS271*CS168</f>
        <v>0</v>
      </c>
      <c r="DB168" s="2504">
        <f>E272*E168+F272*F168+G272*G168+H272*H168+I272*I168+J272*J168+K272*K168+L272*L168+M272*M168+N272*N168+O272*O168+P272*P168+Q272*Q168+R272*R168+S272*S168+T272*T168+U272*U168+V272*V168+W272*W168+X272*X168+Y272*Y168+Z272*Z168+AA272*AA168+AB272*AB168+AC272*AC168+AD272*AD168+AE272*AE168+AF272*AF168+AG272*AG168+AH272*AH168+AI272*AI168+AJ272*AJ168+AK272*AK168+AL272*AL168+AM272*AM168+AN272*AN168+AO272*AO168+AP272*AP168+AQ272*AQ168+AR272*AR168+AS272*AS168+AT272*AT168+AU272*AU168+AV272*AV168+AW272*AW168+AX272*AX168+AY272*AY168+AZ272*AZ168+BA272*BA168+BB272*BB168+BC272*BC168+BD272*BD168+BE272*BE168+BF272*BF168+BG272*BG168+BH272*BH168+BI272*BI168+BJ272*BJ168+BK272*BK168+BL272*BL168+BM272*BM168+BN272*BN168+BO272*BO168+BP272*BP168+BQ272*BQ168+BR272*BR168+BS272*BS168+BT272*BT168+BU272*BU168+BV272*BV168+BW272*BW168+BX272*BX168+BY272*BY168+BZ272*BZ168+CA272*CA168+CB272*CB168+CC272*CC168+CD272*CD168+CE272*CE168+CF272*CF168+CG272*CG168+CH272*CH168+CI272*CI168+CJ272*CJ168+CK272*CK168+CL272*CL168+CM272*CM168+CN272*CN168+CO272*CO168+CP272*CP168+CQ272*CQ168+CR272*CR168+CS272*CS168</f>
        <v>0</v>
      </c>
      <c r="DC168" s="2504">
        <f>E273*E168+F273*F168+G273*G168+H273*H168+I273*I168+J273*J168+K273*K168+L273*L168+M273*M168+N273*N168+O273*O168+P273*P168+Q273*Q168+R273*R168+S273*S168+T273*T168+U273*U168+V273*V168+W273*W168+X273*X168+Y273*Y168+Z273*Z168+AA273*AA168+AB273*AB168+AC273*AC168+AD273*AD168+AE273*AE168+AF273*AF168+AG273*AG168+AH273*AH168+AI273*AI168+AJ273*AJ168+AK273*AK168+AL273*AL168+AM273*AM168+AN273*AN168+AO273*AO168+AP273*AP168+AQ273*AQ168+AR273*AR168+AS273*AS168+AT273*AT168+AU273*AU168+AV273*AV168+AW273*AW168+AX273*AX168+AY273*AY168+AZ273*AZ168+BA273*BA168+BB273*BB168+BC273*BC168+BD273*BD168+BE273*BE168+BF273*BF168+BG273*BG168+BH273*BH168+BI273*BI168+BJ273*BJ168+BK273*BK168+BL273*BL168+BM273*BM168+BN273*BN168+BO273*BO168+BP273*BP168+BQ273*BQ168+BR273*BR168+BS273*BS168+BT273*BT168+BU273*BU168+BV273*BV168+BW273*BW168+BX273*BX168+BY273*BY168+BZ273*BZ168+CA273*CA168+CB273*CB168+CC273*CC168+CD273*CD168+CE273*CE168+CF273*CF168+CG273*CG168+CH273*CH168+CI273*CI168+CJ273*CJ168+CK273*CK168+CL273*CL168+CM273*CM168+CN273*CN168+CO273*CO168+CP273*CP168+CQ273*CQ168+CR273*CR168+CS273*CS168</f>
        <v>0</v>
      </c>
      <c r="DD168" s="2504">
        <f>E274*E168+F274*F168+G274*G168+H274*H168+I274*I168+J274*J168+K274*K168+L274*L168+M274*M168+N274*N168+O274*O168+P274*P168+Q274*Q168+R274*R168+S274*S168+T274*T168+U274*U168+V274*V168+W274*W168+X274*X168+Y274*Y168+Z274*Z168+AA274*AA168+AB274*AB168+AC274*AC168+AD274*AD168+AE274*AE168+AF274*AF168+AG274*AG168+AH274*AH168+AI274*AI168+AJ274*AJ168+AK274*AK168+AL274*AL168+AM274*AM168+AN274*AN168+AO274*AO168+AP274*AP168+AQ274*AQ168+AR274*AR168+AS274*AS168+AT274*AT168+AU274*AU168+AV274*AV168+AW274*AW168+AX274*AX168+AY274*AY168+AZ274*AZ168+BA274*BA168+BB274*BB168+BC274*BC168+BD274*BD168+BE274*BE168+BF274*BF168+BG274*BG168+BH274*BH168+BI274*BI168+BJ274*BJ168+BK274*BK168+BL274*BL168+BM274*BM168+BN274*BN168+BO274*BO168+BP274*BP168+BQ274*BQ168+BR274*BR168+BS274*BS168+BT274*BT168+BU274*BU168+BV274*BV168+BW274*BW168+BX274*BX168+BY274*BY168+BZ274*BZ168+CA274*CA168+CB274*CB168+CC274*CC168+CD274*CD168+CE274*CE168+CF274*CF168+CG274*CG168+CH274*CH168+CI274*CI168+CJ274*CJ168+CK274*CK168+CL274*CL168+CM274*CM168+CN274*CN168+CO274*CO168+CP274*CP168+CQ274*CQ168+CR274*CR168+CS274*CS168</f>
        <v>0</v>
      </c>
      <c r="DE168" s="2504">
        <f>E275*E168+F275*F168+G275*G168+H275*H168+I275*I168+J275*J168+K275*K168+L275*L168+M275*M168+N275*N168+O275*O168+P275*P168+Q275*Q168+R275*R168+S275*S168+T275*T168+U275*U168+V275*V168+W275*W168+X275*X168+Y275*Y168+Z275*Z168+AA275*AA168+AB275*AB168+AC275*AC168+AD275*AD168+AE275*AE168+AF275*AF168+AG275*AG168+AH275*AH168+AI275*AI168+AJ275*AJ168+AK275*AK168+AL275*AL168+AM275*AM168+AN275*AN168+AO275*AO168+AP275*AP168+AQ275*AQ168+AR275*AR168+AS275*AS168+AT275*AT168+AU275*AU168+AV275*AV168+AW275*AW168+AX275*AX168+AY275*AY168+AZ275*AZ168+BA275*BA168+BB275*BB168+BC275*BC168+BD275*BD168+BE275*BE168+BF275*BF168+BG275*BG168+BH275*BH168+BI275*BI168+BJ275*BJ168+BK275*BK168+BL275*BL168+BM275*BM168+BN275*BN168+BO275*BO168+BP275*BP168+BQ275*BQ168+BR275*BR168+BS275*BS168+BT275*BT168+BU275*BU168+BV275*BV168+BW275*BW168+BX275*BX168+BY275*BY168+BZ275*BZ168+CA275*CA168+CB275*CB168+CC275*CC168+CD275*CD168+CE275*CE168+CF275*CF168+CG275*CG168+CH275*CH168+CI275*CI168+CJ275*CJ168+CK275*CK168+CL275*CL168+CM275*CM168+CN275*CN168+CO275*CO168+CP275*CP168+CQ275*CQ168+CR275*CR168+CS275*CS168</f>
        <v>0</v>
      </c>
      <c r="DF168" s="2504">
        <f>E276*E168+F276*F168+G276*G168+H276*H168+I276*I168+J276*J168+K276*K168+L276*L168+M276*M168+N276*N168+O276*O168+P276*P168+Q276*Q168+R276*R168+S276*S168+T276*T168+U276*U168+V276*V168+W276*W168+X276*X168+Y276*Y168+Z276*Z168+AA276*AA168+AB276*AB168+AC276*AC168+AD276*AD168+AE276*AE168+AF276*AF168+AG276*AG168+AH276*AH168+AI276*AI168+AJ276*AJ168+AK276*AK168+AL276*AL168+AM276*AM168+AN276*AN168+AO276*AO168+AP276*AP168+AQ276*AQ168+AR276*AR168+AS276*AS168+AT276*AT168+AU276*AU168+AV276*AV168+AW276*AW168+AX276*AX168+AY276*AY168+AZ276*AZ168+BA276*BA168+BB276*BB168+BC276*BC168+BD276*BD168+BE276*BE168+BF276*BF168+BG276*BG168+BH276*BH168+BI276*BI168+BJ276*BJ168+BK276*BK168+BL276*BL168+BM276*BM168+BN276*BN168+BO276*BO168+BP276*BP168+BQ276*BQ168+BR276*BR168+BS276*BS168+BT276*BT168+BU276*BU168+BV276*BV168+BW276*BW168+BX276*BX168+BY276*BY168+BZ276*BZ168+CA276*CA168+CB276*CB168+CC276*CC168+CD276*CD168+CE276*CE168+CF276*CF168+CG276*CG168+CH276*CH168+CI276*CI168+CJ276*CJ168+CK276*CK168+CL276*CL168+CM276*CM168+CN276*CN168+CO276*CO168+CP276*CP168+CQ276*CQ168+CR276*CR168+CS276*CS168</f>
        <v>0</v>
      </c>
    </row>
    <row r="169" spans="2:110" ht="18" x14ac:dyDescent="0.25">
      <c r="B169" s="1565">
        <v>27</v>
      </c>
      <c r="C169" s="1566" t="s">
        <v>250</v>
      </c>
      <c r="D169" s="1567" t="s">
        <v>2212</v>
      </c>
      <c r="E169" s="1471">
        <f>0</f>
        <v>0</v>
      </c>
      <c r="F169" s="1471">
        <f>0</f>
        <v>0</v>
      </c>
      <c r="G169" s="1471">
        <f>0</f>
        <v>0</v>
      </c>
      <c r="H169" s="1471">
        <f>0</f>
        <v>0</v>
      </c>
      <c r="I169" s="1471">
        <f>0</f>
        <v>0</v>
      </c>
      <c r="J169" s="1471">
        <f>0</f>
        <v>0</v>
      </c>
      <c r="K169" s="1471">
        <f>0</f>
        <v>0</v>
      </c>
      <c r="L169" s="1471">
        <f>0</f>
        <v>0</v>
      </c>
      <c r="M169" s="1471">
        <f>0</f>
        <v>0</v>
      </c>
      <c r="N169" s="2355">
        <f>-1/Y_PAO_PHA_anox</f>
        <v>-1.9230769230769229</v>
      </c>
      <c r="O169" s="1470">
        <f>0</f>
        <v>0</v>
      </c>
      <c r="P169" s="1471">
        <f>0</f>
        <v>0</v>
      </c>
      <c r="Q169" s="1471">
        <f>0</f>
        <v>0</v>
      </c>
      <c r="R169" s="1471">
        <f>0</f>
        <v>0</v>
      </c>
      <c r="S169" s="1471">
        <f>1</f>
        <v>1</v>
      </c>
      <c r="T169" s="1471">
        <f>0</f>
        <v>0</v>
      </c>
      <c r="U169" s="1471">
        <f>0</f>
        <v>0</v>
      </c>
      <c r="V169" s="1471">
        <f>0</f>
        <v>0</v>
      </c>
      <c r="W169" s="1471">
        <f>0</f>
        <v>0</v>
      </c>
      <c r="X169" s="1471">
        <f>0</f>
        <v>0</v>
      </c>
      <c r="Y169" s="1471">
        <f>0</f>
        <v>0</v>
      </c>
      <c r="Z169" s="1471">
        <f>0</f>
        <v>0</v>
      </c>
      <c r="AA169" s="1471">
        <f>-i_N_BIO</f>
        <v>-7.0000000000000007E-2</v>
      </c>
      <c r="AB169" s="1470">
        <f>0</f>
        <v>0</v>
      </c>
      <c r="AC169" s="1470">
        <f>0</f>
        <v>0</v>
      </c>
      <c r="AD169" s="1470">
        <f>-(1-Y_PAO_PHA_anox)/(E_EQN2_NO2*Y_PAO_PHA_anox)</f>
        <v>-0.53873943349798692</v>
      </c>
      <c r="AE169" s="1471">
        <f>0</f>
        <v>0</v>
      </c>
      <c r="AF169" s="1471">
        <f>0</f>
        <v>0</v>
      </c>
      <c r="AG169" s="1471">
        <f>0</f>
        <v>0</v>
      </c>
      <c r="AH169" s="1470">
        <f>(1-Y_PAO_PHA_anox)/(E_EQN2_NO2*Y_PAO_PHA_anox)</f>
        <v>0.53873943349798692</v>
      </c>
      <c r="AI169" s="1470">
        <f>0</f>
        <v>0</v>
      </c>
      <c r="AJ169" s="1470">
        <f>0</f>
        <v>0</v>
      </c>
      <c r="AK169" s="1470">
        <f>0</f>
        <v>0</v>
      </c>
      <c r="AL169" s="1470">
        <f>0</f>
        <v>0</v>
      </c>
      <c r="AM169" s="1470">
        <f>0</f>
        <v>0</v>
      </c>
      <c r="AN169" s="1470">
        <f>-i_P_BIO</f>
        <v>-0.02</v>
      </c>
      <c r="AO169" s="1471">
        <f>0</f>
        <v>0</v>
      </c>
      <c r="AP169" s="1471">
        <f>0</f>
        <v>0</v>
      </c>
      <c r="AQ169" s="1471">
        <f>0</f>
        <v>0</v>
      </c>
      <c r="AR169" s="1471">
        <f>0</f>
        <v>0</v>
      </c>
      <c r="AS169" s="1470">
        <f>0</f>
        <v>0</v>
      </c>
      <c r="AT169" s="1470">
        <f>0</f>
        <v>0</v>
      </c>
      <c r="AU169" s="1470">
        <f>0</f>
        <v>0</v>
      </c>
      <c r="AV169" s="1470">
        <f>(i_CIT_PHA/Y_PAO_PHA_anox)-i_CIT_BIO</f>
        <v>0.28838461538461546</v>
      </c>
      <c r="AW169" s="1470">
        <f>i_INORG</f>
        <v>0.11</v>
      </c>
      <c r="AX169" s="1470">
        <f>-i_INORG*(1-i_Ca_INORG*(A_MCa+2*A_MCl)/A_MCa-i_Mg_INORG*(A_MMg+2*A_MCl)/A_MMg)*f_Na</f>
        <v>-2.8804303582798466E-2</v>
      </c>
      <c r="AY169" s="1470">
        <f>-i_INORG*(i_Ca_INORG*(2*A_MCl)/A_MCa+i_Mg_INORG*(2*A_MCl)/A_MMg)-i_INORG*(1-i_Ca_INORG*(A_MCa+2*A_MCl)/A_MCa-i_Mg_INORG*(A_MMg+2*A_MCl)/A_MMg)*(1-f_Na)</f>
        <v>-7.0195696417201539E-2</v>
      </c>
      <c r="AZ169" s="1470">
        <f>-i_INORG*i_Ca_INORG+i_Ca_PP*A_MCa/A_MP*i_P_BIO</f>
        <v>-2.9121322594773459E-3</v>
      </c>
      <c r="BA169" s="1470">
        <f>-i_INORG*i_Mg_INORG+i_Mg_PP*A_MMg/A_MP*i_P_BIO</f>
        <v>-7.1251305726128047E-6</v>
      </c>
      <c r="BB169" s="1470">
        <f>i_K_PP*A_MK/A_MP*i_P_BIO</f>
        <v>2.5246077468755158E-3</v>
      </c>
      <c r="BC169" s="1470">
        <f>0</f>
        <v>0</v>
      </c>
      <c r="BD169" s="1470">
        <f>0</f>
        <v>0</v>
      </c>
      <c r="BE169" s="1470">
        <f>0</f>
        <v>0</v>
      </c>
      <c r="BF169" s="1470">
        <f>0</f>
        <v>0</v>
      </c>
      <c r="BG169" s="1470">
        <f>0</f>
        <v>0</v>
      </c>
      <c r="BH169" s="1470">
        <f>0</f>
        <v>0</v>
      </c>
      <c r="BI169" s="1470">
        <f>0</f>
        <v>0</v>
      </c>
      <c r="BJ169" s="1470">
        <f>0</f>
        <v>0</v>
      </c>
      <c r="BK169" s="1470">
        <f>0</f>
        <v>0</v>
      </c>
      <c r="BL169" s="1470">
        <f>0</f>
        <v>0</v>
      </c>
      <c r="BM169" s="1470">
        <f>0</f>
        <v>0</v>
      </c>
      <c r="BN169" s="1470">
        <f>0</f>
        <v>0</v>
      </c>
      <c r="BO169" s="1470">
        <f>0</f>
        <v>0</v>
      </c>
      <c r="BP169" s="1470">
        <f>0</f>
        <v>0</v>
      </c>
      <c r="BQ169" s="1470">
        <f>0</f>
        <v>0</v>
      </c>
      <c r="BR169" s="1470">
        <f>0</f>
        <v>0</v>
      </c>
      <c r="BS169" s="1470">
        <f>0</f>
        <v>0</v>
      </c>
      <c r="BT169" s="1470">
        <f>0</f>
        <v>0</v>
      </c>
      <c r="BU169" s="1470">
        <f>0</f>
        <v>0</v>
      </c>
      <c r="BV169" s="1470">
        <f>0</f>
        <v>0</v>
      </c>
      <c r="BW169" s="2355">
        <f>0</f>
        <v>0</v>
      </c>
      <c r="BX169" s="2355">
        <f>0</f>
        <v>0</v>
      </c>
      <c r="BY169" s="2355">
        <f>0</f>
        <v>0</v>
      </c>
      <c r="BZ169" s="2355">
        <f>0</f>
        <v>0</v>
      </c>
      <c r="CA169" s="1470">
        <f>0</f>
        <v>0</v>
      </c>
      <c r="CB169" s="1470">
        <f>0</f>
        <v>0</v>
      </c>
      <c r="CC169" s="1470">
        <f>0</f>
        <v>0</v>
      </c>
      <c r="CD169" s="1470">
        <f>0</f>
        <v>0</v>
      </c>
      <c r="CE169" s="1470">
        <f>0</f>
        <v>0</v>
      </c>
      <c r="CF169" s="1470">
        <f>0</f>
        <v>0</v>
      </c>
      <c r="CG169" s="1470">
        <f>0</f>
        <v>0</v>
      </c>
      <c r="CH169" s="1470">
        <f>0</f>
        <v>0</v>
      </c>
      <c r="CI169" s="1470">
        <f>0</f>
        <v>0</v>
      </c>
      <c r="CJ169" s="1470">
        <f>0</f>
        <v>0</v>
      </c>
      <c r="CK169" s="1470">
        <f>0</f>
        <v>0</v>
      </c>
      <c r="CL169" s="1470">
        <f>0</f>
        <v>0</v>
      </c>
      <c r="CM169" s="1470">
        <f>0</f>
        <v>0</v>
      </c>
      <c r="CN169" s="1470">
        <f>0</f>
        <v>0</v>
      </c>
      <c r="CO169" s="1470">
        <f>0</f>
        <v>0</v>
      </c>
      <c r="CP169" s="1470">
        <f>0</f>
        <v>0</v>
      </c>
      <c r="CQ169" s="1470">
        <f>0</f>
        <v>0</v>
      </c>
      <c r="CR169" s="1470">
        <f>0</f>
        <v>0</v>
      </c>
      <c r="CS169" s="1470">
        <f>0</f>
        <v>0</v>
      </c>
      <c r="CT169" s="2482">
        <f>µ_PAO_lim_T*X_PAO*η_CASTO_anox*M_RsatXPHA_XPAO_KPHA*M_inhSO2_KO2_CASTO*M_satSNO2_KNO2_CASTO*M_satSNHx_KNHx_BIO*M_inhSPO4_KiPO4_lim*M_satXPP_KPP_lim*M_satSCAT_KCAT*M_satSAN_KAN*M_satSCa_KCa*M_satSMg_KMg*B_ellinhpH</f>
        <v>1.8435880918610644E-2</v>
      </c>
      <c r="CV169" s="2502">
        <f>E266*E169+F266*F169+G266*G169+H266*H169+I266*I169+J266*J169+K266*K169+L266*L169+M266*M169+N266*N169+O266*O169+P266*P169+Q266*Q169+R266*R169+S266*S169+T266*T169+U266*U169+V266*V169+W266*W169+X266*X169+Y266*Y169+Z266*Z169+AA266*AA169+AB266*AB169+AC266*AC169+AD266*AD169+AE266*AE169+AF266*AF169+AG266*AG169+AH266*AH169+AI266*AI169+AJ266*AJ169+AK266*AK169+AL266*AL169+AM266*AM169+AN266*AN169+AO266*AO169+AP266*AP169+AQ266*AQ169+AR266*AR169+AS266*AS169+AT266*AT169+AU266*AU169+AV266*AV169+AW266*AW169+AX266*AX169+AY266*AY169+AZ266*AZ169+BA266*BA169+BB266*BB169+BC266*BC169+BD266*BD169+BE266*BE169+BF266*BF169+BG266*BG169+BH266*BH169+BI266*BI169+BJ266*BJ169+BK266*BK169+BL266*BL169+BM266*BM169+BN266*BN169+BO266*BO169+BP266*BP169+BQ266*BQ169+BR266*BR169+BS266*BS169+BT266*BT169+BU266*BU169+BV266*BV169+BW266*BW169+BX266*BX169+BY266*BY169+BZ266*BZ169+CA266*CA169+CB266*CB169+CC266*CC169+CD266*CD169+CE266*CE169+CF266*CF169+CG266*CG169+CH266*CH169+CI266*CI169+CJ266*CJ169+CK266*CK169+CL266*CL169+CM266*CM169+CN266*CN169+CO266*CO169+CP266*CP169+CQ266*CQ169+CR266*CR169+CS266*CS169</f>
        <v>0</v>
      </c>
      <c r="CW169" s="2502">
        <f>E267*E169+F267*F169+G267*G169+H267*H169+I267*I169+J267*J169+K267*K169+L267*L169+M267*M169+N267*N169+O267*O169+P267*P169+Q267*Q169+R267*R169+S267*S169+T267*T169+U267*U169+V267*V169+W267*W169+X267*X169+Y267*Y169+Z267*Z169+AA267*AA169+AB267*AB169+AC267*AC169+AD267*AD169+AE267*AE169+AF267*AF169+AG267*AG169+AH267*AH169+AI267*AI169+AJ267*AJ169+AK267*AK169+AL267*AL169+AM267*AM169+AN267*AN169+AO267*AO169+AP267*AP169+AQ267*AQ169+AR267*AR169+AS267*AS169+AT267*AT169+AU267*AU169+AV267*AV169+AW267*AW169+AX267*AX169+AY267*AY169+AZ267*AZ169+BA267*BA169+BB267*BB169+BC267*BC169+BD267*BD169+BE267*BE169+BF267*BF169+BG267*BG169+BH267*BH169+BI267*BI169+BJ267*BJ169+BK267*BK169+BL267*BL169+BM267*BM169+BN267*BN169+BO267*BO169+BP267*BP169+BQ267*BQ169+BR267*BR169+BS267*BS169+BT267*BT169+BU267*BU169+BV267*BV169+BW267*BW169+BX267*BX169+BY267*BY169+BZ267*BZ169+CA267*CA169+CB267*CB169+CC267*CC169+CD267*CD169+CE267*CE169+CF267*CF169+CG267*CG169+CH267*CH169+CI267*CI169+CJ267*CJ169+CK267*CK169+CL267*CL169+CM267*CM169+CN267*CN169+CO267*CO169+CP267*CP169+CQ267*CQ169+CR267*CR169+CS267*CS169</f>
        <v>1.1102230246251565E-16</v>
      </c>
      <c r="CX169" s="2503">
        <f>E268*E169+F268*F169+G268*G169+H268*H169+I268*I169+J268*J169+K268*K169+L268*L169+M268*M169+N268*N169+O268*O169+P268*P169+Q268*Q169+R268*R169+S268*S169+T268*T169+U268*U169+V268*V169+W268*W169+X268*X169+Y268*Y169+Z268*Z169+AA268*AA169+AB268*AB169+AC268*AC169+AD268*AD169+AE268*AE169+AF268*AF169+AG268*AG169+AH268*AH169+AI268*AI169+AJ268*AJ169+AK268*AK169+AL268*AL169+AM268*AM169+AN268*AN169+AO268*AO169+AP268*AP169+AQ268*AQ169+AR268*AR169+AS268*AS169+AT268*AT169+AU268*AU169+AV268*AV169+AW268*AW169+AX268*AX169+AY268*AY169+AZ268*AZ169+BA268*BA169+BB268*BB169+BC268*BC169+BD268*BD169+BE268*BE169+BF268*BF169+BG268*BG169+BH268*BH169+BI268*BI169+BJ268*BJ169+BK268*BK169+BL268*BL169+BM268*BM169+BN268*BN169+BO268*BO169+BP268*BP169+BQ268*BQ169+BR268*BR169+BS268*BS169+BT268*BT169+BU268*BU169+BV268*BV169+BW268*BW169+BX268*BX169+BY268*BY169+BZ268*BZ169+CA268*CA169+CB268*CB169+CC268*CC169+CD268*CD169+CE268*CE169+CF268*CF169+CG268*CG169+CH268*CH169+CI268*CI169+CJ268*CJ169+CK268*CK169+CL268*CL169+CM268*CM169+CN268*CN169+CO268*CO169+CP268*CP169+CQ268*CQ169+CR268*CR169+CS268*CS169</f>
        <v>0</v>
      </c>
      <c r="CY169" s="2504">
        <f>E269*E169+F269*F169+G269*G169+H269*H169+I269*I169+J269*J169+K269*K169+L269*L169+M269*M169+N269*N169+O269*O169+P269*P169+Q269*Q169+R269*R169+S269*S169+T269*T169+U269*U169+V269*V169+W269*W169+X269*X169+Y269*Y169+Z269*Z169+AA269*AA169+AB269*AB169+AC269*AC169+AD269*AD169+AE269*AE169+AF269*AF169+AG269*AG169+AH269*AH169+AI269*AI169+AJ269*AJ169+AK269*AK169+AL269*AL169+AM269*AM169+AN269*AN169+AO269*AO169+AP269*AP169+AQ269*AQ169+AR269*AR169+AS269*AS169+AT269*AT169+AU269*AU169+AV269*AV169+AW269*AW169+AX269*AX169+AY269*AY169+AZ269*AZ169+BA269*BA169+BB269*BB169+BC269*BC169+BD269*BD169+BE269*BE169+BF269*BF169+BG269*BG169+BH269*BH169+BI269*BI169+BJ269*BJ169+BK269*BK169+BL269*BL169+BM269*BM169+BN269*BN169+BO269*BO169+BP269*BP169+BQ269*BQ169+BR269*BR169+BS269*BS169+BT269*BT169+BU269*BU169+BV269*BV169+BW269*BW169+BX269*BX169+BY269*BY169+BZ269*BZ169+CA269*CA169+CB269*CB169+CC269*CC169+CD269*CD169+CE269*CE169+CF269*CF169+CG269*CG169+CH269*CH169+CI269*CI169+CJ269*CJ169+CK269*CK169+CL269*CL169+CM269*CM169+CN269*CN169+CO269*CO169+CP269*CP169+CQ269*CQ169+CR269*CR169+CS269*CS169</f>
        <v>0</v>
      </c>
      <c r="CZ169" s="2504">
        <f>E270*E169+F270*F169+G270*G169+H270*H169+I270*I169+J270*J169+K270*K169+L270*L169+M270*M169+N270*N169+O270*O169+P270*P169+Q270*Q169+R270*R169+S270*S169+T270*T169+U270*U169+V270*V169+W270*W169+X270*X169+Y270*Y169+Z270*Z169+AA270*AA169+AB270*AB169+AC270*AC169+AD270*AD169+AE270*AE169+AF270*AF169+AG270*AG169+AH270*AH169+AI270*AI169+AJ270*AJ169+AK270*AK169+AL270*AL169+AM270*AM169+AN270*AN169+AO270*AO169+AP270*AP169+AQ270*AQ169+AR270*AR169+AS270*AS169+AT270*AT169+AU270*AU169+AV270*AV169+AW270*AW169+AX270*AX169+AY270*AY169+AZ270*AZ169+BA270*BA169+BB270*BB169+BC270*BC169+BD270*BD169+BE270*BE169+BF270*BF169+BG270*BG169+BH270*BH169+BI270*BI169+BJ270*BJ169+BK270*BK169+BL270*BL169+BM270*BM169+BN270*BN169+BO270*BO169+BP270*BP169+BQ270*BQ169+BR270*BR169+BS270*BS169+BT270*BT169+BU270*BU169+BV270*BV169+BW270*BW169+BX270*BX169+BY270*BY169+BZ270*BZ169+CA270*CA169+CB270*CB169+CC270*CC169+CD270*CD169+CE270*CE169+CF270*CF169+CG270*CG169+CH270*CH169+CI270*CI169+CJ270*CJ169+CK270*CK169+CL270*CL169+CM270*CM169+CN270*CN169+CO270*CO169+CP270*CP169+CQ270*CQ169+CR270*CR169+CS270*CS169</f>
        <v>0</v>
      </c>
      <c r="DA169" s="2504">
        <f>E271*E169+F271*F169+G271*G169+H271*H169+I271*I169+J271*J169+K271*K169+L271*L169+M271*M169+N271*N169+O271*O169+P271*P169+Q271*Q169+R271*R169+S271*S169+T271*T169+U271*U169+V271*V169+W271*W169+X271*X169+Y271*Y169+Z271*Z169+AA271*AA169+AB271*AB169+AC271*AC169+AD271*AD169+AE271*AE169+AF271*AF169+AG271*AG169+AH271*AH169+AI271*AI169+AJ271*AJ169+AK271*AK169+AL271*AL169+AM271*AM169+AN271*AN169+AO271*AO169+AP271*AP169+AQ271*AQ169+AR271*AR169+AS271*AS169+AT271*AT169+AU271*AU169+AV271*AV169+AW271*AW169+AX271*AX169+AY271*AY169+AZ271*AZ169+BA271*BA169+BB271*BB169+BC271*BC169+BD271*BD169+BE271*BE169+BF271*BF169+BG271*BG169+BH271*BH169+BI271*BI169+BJ271*BJ169+BK271*BK169+BL271*BL169+BM271*BM169+BN271*BN169+BO271*BO169+BP271*BP169+BQ271*BQ169+BR271*BR169+BS271*BS169+BT271*BT169+BU271*BU169+BV271*BV169+BW271*BW169+BX271*BX169+BY271*BY169+BZ271*BZ169+CA271*CA169+CB271*CB169+CC271*CC169+CD271*CD169+CE271*CE169+CF271*CF169+CG271*CG169+CH271*CH169+CI271*CI169+CJ271*CJ169+CK271*CK169+CL271*CL169+CM271*CM169+CN271*CN169+CO271*CO169+CP271*CP169+CQ271*CQ169+CR271*CR169+CS271*CS169</f>
        <v>0</v>
      </c>
      <c r="DB169" s="2504">
        <f>E272*E169+F272*F169+G272*G169+H272*H169+I272*I169+J272*J169+K272*K169+L272*L169+M272*M169+N272*N169+O272*O169+P272*P169+Q272*Q169+R272*R169+S272*S169+T272*T169+U272*U169+V272*V169+W272*W169+X272*X169+Y272*Y169+Z272*Z169+AA272*AA169+AB272*AB169+AC272*AC169+AD272*AD169+AE272*AE169+AF272*AF169+AG272*AG169+AH272*AH169+AI272*AI169+AJ272*AJ169+AK272*AK169+AL272*AL169+AM272*AM169+AN272*AN169+AO272*AO169+AP272*AP169+AQ272*AQ169+AR272*AR169+AS272*AS169+AT272*AT169+AU272*AU169+AV272*AV169+AW272*AW169+AX272*AX169+AY272*AY169+AZ272*AZ169+BA272*BA169+BB272*BB169+BC272*BC169+BD272*BD169+BE272*BE169+BF272*BF169+BG272*BG169+BH272*BH169+BI272*BI169+BJ272*BJ169+BK272*BK169+BL272*BL169+BM272*BM169+BN272*BN169+BO272*BO169+BP272*BP169+BQ272*BQ169+BR272*BR169+BS272*BS169+BT272*BT169+BU272*BU169+BV272*BV169+BW272*BW169+BX272*BX169+BY272*BY169+BZ272*BZ169+CA272*CA169+CB272*CB169+CC272*CC169+CD272*CD169+CE272*CE169+CF272*CF169+CG272*CG169+CH272*CH169+CI272*CI169+CJ272*CJ169+CK272*CK169+CL272*CL169+CM272*CM169+CN272*CN169+CO272*CO169+CP272*CP169+CQ272*CQ169+CR272*CR169+CS272*CS169</f>
        <v>0</v>
      </c>
      <c r="DC169" s="2504">
        <f>E273*E169+F273*F169+G273*G169+H273*H169+I273*I169+J273*J169+K273*K169+L273*L169+M273*M169+N273*N169+O273*O169+P273*P169+Q273*Q169+R273*R169+S273*S169+T273*T169+U273*U169+V273*V169+W273*W169+X273*X169+Y273*Y169+Z273*Z169+AA273*AA169+AB273*AB169+AC273*AC169+AD273*AD169+AE273*AE169+AF273*AF169+AG273*AG169+AH273*AH169+AI273*AI169+AJ273*AJ169+AK273*AK169+AL273*AL169+AM273*AM169+AN273*AN169+AO273*AO169+AP273*AP169+AQ273*AQ169+AR273*AR169+AS273*AS169+AT273*AT169+AU273*AU169+AV273*AV169+AW273*AW169+AX273*AX169+AY273*AY169+AZ273*AZ169+BA273*BA169+BB273*BB169+BC273*BC169+BD273*BD169+BE273*BE169+BF273*BF169+BG273*BG169+BH273*BH169+BI273*BI169+BJ273*BJ169+BK273*BK169+BL273*BL169+BM273*BM169+BN273*BN169+BO273*BO169+BP273*BP169+BQ273*BQ169+BR273*BR169+BS273*BS169+BT273*BT169+BU273*BU169+BV273*BV169+BW273*BW169+BX273*BX169+BY273*BY169+BZ273*BZ169+CA273*CA169+CB273*CB169+CC273*CC169+CD273*CD169+CE273*CE169+CF273*CF169+CG273*CG169+CH273*CH169+CI273*CI169+CJ273*CJ169+CK273*CK169+CL273*CL169+CM273*CM169+CN273*CN169+CO273*CO169+CP273*CP169+CQ273*CQ169+CR273*CR169+CS273*CS169</f>
        <v>0</v>
      </c>
      <c r="DD169" s="2504">
        <f>E274*E169+F274*F169+G274*G169+H274*H169+I274*I169+J274*J169+K274*K169+L274*L169+M274*M169+N274*N169+O274*O169+P274*P169+Q274*Q169+R274*R169+S274*S169+T274*T169+U274*U169+V274*V169+W274*W169+X274*X169+Y274*Y169+Z274*Z169+AA274*AA169+AB274*AB169+AC274*AC169+AD274*AD169+AE274*AE169+AF274*AF169+AG274*AG169+AH274*AH169+AI274*AI169+AJ274*AJ169+AK274*AK169+AL274*AL169+AM274*AM169+AN274*AN169+AO274*AO169+AP274*AP169+AQ274*AQ169+AR274*AR169+AS274*AS169+AT274*AT169+AU274*AU169+AV274*AV169+AW274*AW169+AX274*AX169+AY274*AY169+AZ274*AZ169+BA274*BA169+BB274*BB169+BC274*BC169+BD274*BD169+BE274*BE169+BF274*BF169+BG274*BG169+BH274*BH169+BI274*BI169+BJ274*BJ169+BK274*BK169+BL274*BL169+BM274*BM169+BN274*BN169+BO274*BO169+BP274*BP169+BQ274*BQ169+BR274*BR169+BS274*BS169+BT274*BT169+BU274*BU169+BV274*BV169+BW274*BW169+BX274*BX169+BY274*BY169+BZ274*BZ169+CA274*CA169+CB274*CB169+CC274*CC169+CD274*CD169+CE274*CE169+CF274*CF169+CG274*CG169+CH274*CH169+CI274*CI169+CJ274*CJ169+CK274*CK169+CL274*CL169+CM274*CM169+CN274*CN169+CO274*CO169+CP274*CP169+CQ274*CQ169+CR274*CR169+CS274*CS169</f>
        <v>0</v>
      </c>
      <c r="DE169" s="2504">
        <f>E275*E169+F275*F169+G275*G169+H275*H169+I275*I169+J275*J169+K275*K169+L275*L169+M275*M169+N275*N169+O275*O169+P275*P169+Q275*Q169+R275*R169+S275*S169+T275*T169+U275*U169+V275*V169+W275*W169+X275*X169+Y275*Y169+Z275*Z169+AA275*AA169+AB275*AB169+AC275*AC169+AD275*AD169+AE275*AE169+AF275*AF169+AG275*AG169+AH275*AH169+AI275*AI169+AJ275*AJ169+AK275*AK169+AL275*AL169+AM275*AM169+AN275*AN169+AO275*AO169+AP275*AP169+AQ275*AQ169+AR275*AR169+AS275*AS169+AT275*AT169+AU275*AU169+AV275*AV169+AW275*AW169+AX275*AX169+AY275*AY169+AZ275*AZ169+BA275*BA169+BB275*BB169+BC275*BC169+BD275*BD169+BE275*BE169+BF275*BF169+BG275*BG169+BH275*BH169+BI275*BI169+BJ275*BJ169+BK275*BK169+BL275*BL169+BM275*BM169+BN275*BN169+BO275*BO169+BP275*BP169+BQ275*BQ169+BR275*BR169+BS275*BS169+BT275*BT169+BU275*BU169+BV275*BV169+BW275*BW169+BX275*BX169+BY275*BY169+BZ275*BZ169+CA275*CA169+CB275*CB169+CC275*CC169+CD275*CD169+CE275*CE169+CF275*CF169+CG275*CG169+CH275*CH169+CI275*CI169+CJ275*CJ169+CK275*CK169+CL275*CL169+CM275*CM169+CN275*CN169+CO275*CO169+CP275*CP169+CQ275*CQ169+CR275*CR169+CS275*CS169</f>
        <v>0</v>
      </c>
      <c r="DF169" s="2504">
        <f>E276*E169+F276*F169+G276*G169+H276*H169+I276*I169+J276*J169+K276*K169+L276*L169+M276*M169+N276*N169+O276*O169+P276*P169+Q276*Q169+R276*R169+S276*S169+T276*T169+U276*U169+V276*V169+W276*W169+X276*X169+Y276*Y169+Z276*Z169+AA276*AA169+AB276*AB169+AC276*AC169+AD276*AD169+AE276*AE169+AF276*AF169+AG276*AG169+AH276*AH169+AI276*AI169+AJ276*AJ169+AK276*AK169+AL276*AL169+AM276*AM169+AN276*AN169+AO276*AO169+AP276*AP169+AQ276*AQ169+AR276*AR169+AS276*AS169+AT276*AT169+AU276*AU169+AV276*AV169+AW276*AW169+AX276*AX169+AY276*AY169+AZ276*AZ169+BA276*BA169+BB276*BB169+BC276*BC169+BD276*BD169+BE276*BE169+BF276*BF169+BG276*BG169+BH276*BH169+BI276*BI169+BJ276*BJ169+BK276*BK169+BL276*BL169+BM276*BM169+BN276*BN169+BO276*BO169+BP276*BP169+BQ276*BQ169+BR276*BR169+BS276*BS169+BT276*BT169+BU276*BU169+BV276*BV169+BW276*BW169+BX276*BX169+BY276*BY169+BZ276*BZ169+CA276*CA169+CB276*CB169+CC276*CC169+CD276*CD169+CE276*CE169+CF276*CF169+CG276*CG169+CH276*CH169+CI276*CI169+CJ276*CJ169+CK276*CK169+CL276*CL169+CM276*CM169+CN276*CN169+CO276*CO169+CP276*CP169+CQ276*CQ169+CR276*CR169+CS276*CS169</f>
        <v>0</v>
      </c>
    </row>
    <row r="170" spans="2:110" ht="18" x14ac:dyDescent="0.25">
      <c r="B170" s="1565">
        <v>28</v>
      </c>
      <c r="C170" s="1566" t="s">
        <v>251</v>
      </c>
      <c r="D170" s="1567" t="s">
        <v>1658</v>
      </c>
      <c r="E170" s="1471">
        <f>0</f>
        <v>0</v>
      </c>
      <c r="F170" s="1471">
        <f>0</f>
        <v>0</v>
      </c>
      <c r="G170" s="1471">
        <f>0</f>
        <v>0</v>
      </c>
      <c r="H170" s="1471">
        <f>0</f>
        <v>0</v>
      </c>
      <c r="I170" s="1471">
        <f>0</f>
        <v>0</v>
      </c>
      <c r="J170" s="1471">
        <f>0</f>
        <v>0</v>
      </c>
      <c r="K170" s="1471">
        <f>0</f>
        <v>0</v>
      </c>
      <c r="L170" s="1471">
        <f>0</f>
        <v>0</v>
      </c>
      <c r="M170" s="1471">
        <f>0</f>
        <v>0</v>
      </c>
      <c r="N170" s="2355">
        <f>-1/Y_PAO_PHA_anox</f>
        <v>-1.9230769230769229</v>
      </c>
      <c r="O170" s="1470">
        <f>0</f>
        <v>0</v>
      </c>
      <c r="P170" s="1471">
        <f>0</f>
        <v>0</v>
      </c>
      <c r="Q170" s="1471">
        <f>0</f>
        <v>0</v>
      </c>
      <c r="R170" s="1471">
        <f>0</f>
        <v>0</v>
      </c>
      <c r="S170" s="1471">
        <f>1</f>
        <v>1</v>
      </c>
      <c r="T170" s="1471">
        <f>0</f>
        <v>0</v>
      </c>
      <c r="U170" s="1471">
        <f>0</f>
        <v>0</v>
      </c>
      <c r="V170" s="1471">
        <f>0</f>
        <v>0</v>
      </c>
      <c r="W170" s="1471">
        <f>0</f>
        <v>0</v>
      </c>
      <c r="X170" s="1471">
        <f>0</f>
        <v>0</v>
      </c>
      <c r="Y170" s="1471">
        <f>0</f>
        <v>0</v>
      </c>
      <c r="Z170" s="1471">
        <f>0</f>
        <v>0</v>
      </c>
      <c r="AA170" s="1471">
        <f>-i_N_BIO</f>
        <v>-7.0000000000000007E-2</v>
      </c>
      <c r="AB170" s="1470">
        <f>0</f>
        <v>0</v>
      </c>
      <c r="AC170" s="1470">
        <f>-(1-Y_PAO_PHA_anox)/(E_EQNO2_NO3*Y_PAO_PHA_anox)</f>
        <v>-0.80810915024698038</v>
      </c>
      <c r="AD170" s="1470">
        <f>(1-Y_PAO_PHA_anox)/(E_EQNO2_NO3*Y_PAO_PHA_anox)</f>
        <v>0.80810915024698038</v>
      </c>
      <c r="AE170" s="1471">
        <f>0</f>
        <v>0</v>
      </c>
      <c r="AF170" s="1471">
        <f>0</f>
        <v>0</v>
      </c>
      <c r="AG170" s="1471">
        <f>0</f>
        <v>0</v>
      </c>
      <c r="AH170" s="1470">
        <f>0</f>
        <v>0</v>
      </c>
      <c r="AI170" s="1470">
        <f>0</f>
        <v>0</v>
      </c>
      <c r="AJ170" s="1470">
        <f>0</f>
        <v>0</v>
      </c>
      <c r="AK170" s="1470">
        <f>0</f>
        <v>0</v>
      </c>
      <c r="AL170" s="1470">
        <f>0</f>
        <v>0</v>
      </c>
      <c r="AM170" s="1470">
        <f>0</f>
        <v>0</v>
      </c>
      <c r="AN170" s="1470">
        <f>-i_P_BIO</f>
        <v>-0.02</v>
      </c>
      <c r="AO170" s="1471">
        <f>0</f>
        <v>0</v>
      </c>
      <c r="AP170" s="1471">
        <f>0</f>
        <v>0</v>
      </c>
      <c r="AQ170" s="1471">
        <f>0</f>
        <v>0</v>
      </c>
      <c r="AR170" s="1471">
        <f>0</f>
        <v>0</v>
      </c>
      <c r="AS170" s="1471">
        <f>0</f>
        <v>0</v>
      </c>
      <c r="AT170" s="1471">
        <f>0</f>
        <v>0</v>
      </c>
      <c r="AU170" s="1471">
        <f>0</f>
        <v>0</v>
      </c>
      <c r="AV170" s="1470">
        <f>(i_CIT_PHA/Y_PAO_PHA_anox)-i_CIT_BIO</f>
        <v>0.28838461538461546</v>
      </c>
      <c r="AW170" s="1470">
        <f>i_INORG</f>
        <v>0.11</v>
      </c>
      <c r="AX170" s="1470">
        <f>-i_INORG*(1-i_Ca_INORG*(A_MCa+2*A_MCl)/A_MCa-i_Mg_INORG*(A_MMg+2*A_MCl)/A_MMg)*f_Na</f>
        <v>-2.8804303582798466E-2</v>
      </c>
      <c r="AY170" s="1470">
        <f>-i_INORG*(i_Ca_INORG*(2*A_MCl)/A_MCa+i_Mg_INORG*(2*A_MCl)/A_MMg)-i_INORG*(1-i_Ca_INORG*(A_MCa+2*A_MCl)/A_MCa-i_Mg_INORG*(A_MMg+2*A_MCl)/A_MMg)*(1-f_Na)</f>
        <v>-7.0195696417201539E-2</v>
      </c>
      <c r="AZ170" s="1470">
        <f>-i_INORG*i_Ca_INORG+i_Ca_PP*A_MCa/A_MP*i_P_BIO</f>
        <v>-2.9121322594773459E-3</v>
      </c>
      <c r="BA170" s="1470">
        <f>-i_INORG*i_Mg_INORG+i_Mg_PP*A_MMg/A_MP*i_P_BIO</f>
        <v>-7.1251305726128047E-6</v>
      </c>
      <c r="BB170" s="1470">
        <f>i_K_PP*A_MK/A_MP*i_P_BIO</f>
        <v>2.5246077468755158E-3</v>
      </c>
      <c r="BC170" s="1470">
        <f>0</f>
        <v>0</v>
      </c>
      <c r="BD170" s="1470">
        <f>0</f>
        <v>0</v>
      </c>
      <c r="BE170" s="1470">
        <f>0</f>
        <v>0</v>
      </c>
      <c r="BF170" s="1470">
        <f>0</f>
        <v>0</v>
      </c>
      <c r="BG170" s="1470">
        <f>0</f>
        <v>0</v>
      </c>
      <c r="BH170" s="1470">
        <f>0</f>
        <v>0</v>
      </c>
      <c r="BI170" s="1470">
        <f>0</f>
        <v>0</v>
      </c>
      <c r="BJ170" s="1470">
        <f>0</f>
        <v>0</v>
      </c>
      <c r="BK170" s="1470">
        <f>0</f>
        <v>0</v>
      </c>
      <c r="BL170" s="1470">
        <f>0</f>
        <v>0</v>
      </c>
      <c r="BM170" s="1470">
        <f>0</f>
        <v>0</v>
      </c>
      <c r="BN170" s="1470">
        <f>0</f>
        <v>0</v>
      </c>
      <c r="BO170" s="1470">
        <f>0</f>
        <v>0</v>
      </c>
      <c r="BP170" s="1470">
        <f>0</f>
        <v>0</v>
      </c>
      <c r="BQ170" s="1470">
        <f>0</f>
        <v>0</v>
      </c>
      <c r="BR170" s="1470">
        <f>0</f>
        <v>0</v>
      </c>
      <c r="BS170" s="1470">
        <f>0</f>
        <v>0</v>
      </c>
      <c r="BT170" s="1470">
        <f>0</f>
        <v>0</v>
      </c>
      <c r="BU170" s="1470">
        <f>0</f>
        <v>0</v>
      </c>
      <c r="BV170" s="1470">
        <f>0</f>
        <v>0</v>
      </c>
      <c r="BW170" s="2355">
        <f>0</f>
        <v>0</v>
      </c>
      <c r="BX170" s="2355">
        <f>0</f>
        <v>0</v>
      </c>
      <c r="BY170" s="2355">
        <f>0</f>
        <v>0</v>
      </c>
      <c r="BZ170" s="2355">
        <f>0</f>
        <v>0</v>
      </c>
      <c r="CA170" s="1470">
        <f>0</f>
        <v>0</v>
      </c>
      <c r="CB170" s="1470">
        <f>0</f>
        <v>0</v>
      </c>
      <c r="CC170" s="1470">
        <f>0</f>
        <v>0</v>
      </c>
      <c r="CD170" s="1470">
        <f>0</f>
        <v>0</v>
      </c>
      <c r="CE170" s="1470">
        <f>0</f>
        <v>0</v>
      </c>
      <c r="CF170" s="1470">
        <f>0</f>
        <v>0</v>
      </c>
      <c r="CG170" s="1470">
        <f>0</f>
        <v>0</v>
      </c>
      <c r="CH170" s="1470">
        <f>0</f>
        <v>0</v>
      </c>
      <c r="CI170" s="1470">
        <f>0</f>
        <v>0</v>
      </c>
      <c r="CJ170" s="1470">
        <f>0</f>
        <v>0</v>
      </c>
      <c r="CK170" s="1470">
        <f>0</f>
        <v>0</v>
      </c>
      <c r="CL170" s="1470">
        <f>0</f>
        <v>0</v>
      </c>
      <c r="CM170" s="1470">
        <f>0</f>
        <v>0</v>
      </c>
      <c r="CN170" s="1470">
        <f>0</f>
        <v>0</v>
      </c>
      <c r="CO170" s="1470">
        <f>0</f>
        <v>0</v>
      </c>
      <c r="CP170" s="1470">
        <f>0</f>
        <v>0</v>
      </c>
      <c r="CQ170" s="1470">
        <f>0</f>
        <v>0</v>
      </c>
      <c r="CR170" s="1470">
        <f>0</f>
        <v>0</v>
      </c>
      <c r="CS170" s="1470">
        <f>0</f>
        <v>0</v>
      </c>
      <c r="CT170" s="2482">
        <f>µ_PAO_lim_T*X_PAO*η_CASTO_anox*M_RsatXPHA_XPAO_KPHA*M_inhSO2_KO2_CASTO*M_satSNO3_KNO3_CASTO*M_inhSNO2_KNO2_CASTO*M_satSNHx_KNHx_BIO*M_inhSPO4_KiPO4_lim*M_satXPP_KPP_lim*M_satSCAT_KCAT*M_satSAN_KAN*M_satSCa_KCa*M_satSMg_KMg*B_ellinhpH</f>
        <v>9.0371965287307059E-3</v>
      </c>
      <c r="CV170" s="2502">
        <f>E266*E170+F266*F170+G266*G170+H266*H170+I266*I170+J266*J170+K266*K170+L266*L170+M266*M170+N266*N170+O266*O170+P266*P170+Q266*Q170+R266*R170+S266*S170+T266*T170+U266*U170+V266*V170+W266*W170+X266*X170+Y266*Y170+Z266*Z170+AA266*AA170+AB266*AB170+AC266*AC170+AD266*AD170+AE266*AE170+AF266*AF170+AG266*AG170+AH266*AH170+AI266*AI170+AJ266*AJ170+AK266*AK170+AL266*AL170+AM266*AM170+AN266*AN170+AO266*AO170+AP266*AP170+AQ266*AQ170+AR266*AR170+AS266*AS170+AT266*AT170+AU266*AU170+AV266*AV170+AW266*AW170+AX266*AX170+AY266*AY170+AZ266*AZ170+BA266*BA170+BB266*BB170+BC266*BC170+BD266*BD170+BE266*BE170+BF266*BF170+BG266*BG170+BH266*BH170+BI266*BI170+BJ266*BJ170+BK266*BK170+BL266*BL170+BM266*BM170+BN266*BN170+BO266*BO170+BP266*BP170+BQ266*BQ170+BR266*BR170+BS266*BS170+BT266*BT170+BU266*BU170+BV266*BV170+BW266*BW170+BX266*BX170+BY266*BY170+BZ266*BZ170+CA266*CA170+CB266*CB170+CC266*CC170+CD266*CD170+CE266*CE170+CF266*CF170+CG266*CG170+CH266*CH170+CI266*CI170+CJ266*CJ170+CK266*CK170+CL266*CL170+CM266*CM170+CN266*CN170+CO266*CO170+CP266*CP170+CQ266*CQ170+CR266*CR170+CS266*CS170</f>
        <v>0</v>
      </c>
      <c r="CW170" s="2502">
        <f>E267*E170+F267*F170+G267*G170+H267*H170+I267*I170+J267*J170+K267*K170+L267*L170+M267*M170+N267*N170+O267*O170+P267*P170+Q267*Q170+R267*R170+S267*S170+T267*T170+U267*U170+V267*V170+W267*W170+X267*X170+Y267*Y170+Z267*Z170+AA267*AA170+AB267*AB170+AC267*AC170+AD267*AD170+AE267*AE170+AF267*AF170+AG267*AG170+AH267*AH170+AI267*AI170+AJ267*AJ170+AK267*AK170+AL267*AL170+AM267*AM170+AN267*AN170+AO267*AO170+AP267*AP170+AQ267*AQ170+AR267*AR170+AS267*AS170+AT267*AT170+AU267*AU170+AV267*AV170+AW267*AW170+AX267*AX170+AY267*AY170+AZ267*AZ170+BA267*BA170+BB267*BB170+BC267*BC170+BD267*BD170+BE267*BE170+BF267*BF170+BG267*BG170+BH267*BH170+BI267*BI170+BJ267*BJ170+BK267*BK170+BL267*BL170+BM267*BM170+BN267*BN170+BO267*BO170+BP267*BP170+BQ267*BQ170+BR267*BR170+BS267*BS170+BT267*BT170+BU267*BU170+BV267*BV170+BW267*BW170+BX267*BX170+BY267*BY170+BZ267*BZ170+CA267*CA170+CB267*CB170+CC267*CC170+CD267*CD170+CE267*CE170+CF267*CF170+CG267*CG170+CH267*CH170+CI267*CI170+CJ267*CJ170+CK267*CK170+CL267*CL170+CM267*CM170+CN267*CN170+CO267*CO170+CP267*CP170+CQ267*CQ170+CR267*CR170+CS267*CS170</f>
        <v>1.1102230246251565E-16</v>
      </c>
      <c r="CX170" s="2503">
        <f>E268*E170+F268*F170+G268*G170+H268*H170+I268*I170+J268*J170+K268*K170+L268*L170+M268*M170+N268*N170+O268*O170+P268*P170+Q268*Q170+R268*R170+S268*S170+T268*T170+U268*U170+V268*V170+W268*W170+X268*X170+Y268*Y170+Z268*Z170+AA268*AA170+AB268*AB170+AC268*AC170+AD268*AD170+AE268*AE170+AF268*AF170+AG268*AG170+AH268*AH170+AI268*AI170+AJ268*AJ170+AK268*AK170+AL268*AL170+AM268*AM170+AN268*AN170+AO268*AO170+AP268*AP170+AQ268*AQ170+AR268*AR170+AS268*AS170+AT268*AT170+AU268*AU170+AV268*AV170+AW268*AW170+AX268*AX170+AY268*AY170+AZ268*AZ170+BA268*BA170+BB268*BB170+BC268*BC170+BD268*BD170+BE268*BE170+BF268*BF170+BG268*BG170+BH268*BH170+BI268*BI170+BJ268*BJ170+BK268*BK170+BL268*BL170+BM268*BM170+BN268*BN170+BO268*BO170+BP268*BP170+BQ268*BQ170+BR268*BR170+BS268*BS170+BT268*BT170+BU268*BU170+BV268*BV170+BW268*BW170+BX268*BX170+BY268*BY170+BZ268*BZ170+CA268*CA170+CB268*CB170+CC268*CC170+CD268*CD170+CE268*CE170+CF268*CF170+CG268*CG170+CH268*CH170+CI268*CI170+CJ268*CJ170+CK268*CK170+CL268*CL170+CM268*CM170+CN268*CN170+CO268*CO170+CP268*CP170+CQ268*CQ170+CR268*CR170+CS268*CS170</f>
        <v>0</v>
      </c>
      <c r="CY170" s="2504">
        <f>E269*E170+F269*F170+G269*G170+H269*H170+I269*I170+J269*J170+K269*K170+L269*L170+M269*M170+N269*N170+O269*O170+P269*P170+Q269*Q170+R269*R170+S269*S170+T269*T170+U269*U170+V269*V170+W269*W170+X269*X170+Y269*Y170+Z269*Z170+AA269*AA170+AB269*AB170+AC269*AC170+AD269*AD170+AE269*AE170+AF269*AF170+AG269*AG170+AH269*AH170+AI269*AI170+AJ269*AJ170+AK269*AK170+AL269*AL170+AM269*AM170+AN269*AN170+AO269*AO170+AP269*AP170+AQ269*AQ170+AR269*AR170+AS269*AS170+AT269*AT170+AU269*AU170+AV269*AV170+AW269*AW170+AX269*AX170+AY269*AY170+AZ269*AZ170+BA269*BA170+BB269*BB170+BC269*BC170+BD269*BD170+BE269*BE170+BF269*BF170+BG269*BG170+BH269*BH170+BI269*BI170+BJ269*BJ170+BK269*BK170+BL269*BL170+BM269*BM170+BN269*BN170+BO269*BO170+BP269*BP170+BQ269*BQ170+BR269*BR170+BS269*BS170+BT269*BT170+BU269*BU170+BV269*BV170+BW269*BW170+BX269*BX170+BY269*BY170+BZ269*BZ170+CA269*CA170+CB269*CB170+CC269*CC170+CD269*CD170+CE269*CE170+CF269*CF170+CG269*CG170+CH269*CH170+CI269*CI170+CJ269*CJ170+CK269*CK170+CL269*CL170+CM269*CM170+CN269*CN170+CO269*CO170+CP269*CP170+CQ269*CQ170+CR269*CR170+CS269*CS170</f>
        <v>0</v>
      </c>
      <c r="CZ170" s="2504">
        <f>E270*E170+F270*F170+G270*G170+H270*H170+I270*I170+J270*J170+K270*K170+L270*L170+M270*M170+N270*N170+O270*O170+P270*P170+Q270*Q170+R270*R170+S270*S170+T270*T170+U270*U170+V270*V170+W270*W170+X270*X170+Y270*Y170+Z270*Z170+AA270*AA170+AB270*AB170+AC270*AC170+AD270*AD170+AE270*AE170+AF270*AF170+AG270*AG170+AH270*AH170+AI270*AI170+AJ270*AJ170+AK270*AK170+AL270*AL170+AM270*AM170+AN270*AN170+AO270*AO170+AP270*AP170+AQ270*AQ170+AR270*AR170+AS270*AS170+AT270*AT170+AU270*AU170+AV270*AV170+AW270*AW170+AX270*AX170+AY270*AY170+AZ270*AZ170+BA270*BA170+BB270*BB170+BC270*BC170+BD270*BD170+BE270*BE170+BF270*BF170+BG270*BG170+BH270*BH170+BI270*BI170+BJ270*BJ170+BK270*BK170+BL270*BL170+BM270*BM170+BN270*BN170+BO270*BO170+BP270*BP170+BQ270*BQ170+BR270*BR170+BS270*BS170+BT270*BT170+BU270*BU170+BV270*BV170+BW270*BW170+BX270*BX170+BY270*BY170+BZ270*BZ170+CA270*CA170+CB270*CB170+CC270*CC170+CD270*CD170+CE270*CE170+CF270*CF170+CG270*CG170+CH270*CH170+CI270*CI170+CJ270*CJ170+CK270*CK170+CL270*CL170+CM270*CM170+CN270*CN170+CO270*CO170+CP270*CP170+CQ270*CQ170+CR270*CR170+CS270*CS170</f>
        <v>0</v>
      </c>
      <c r="DA170" s="2504">
        <f>E271*E170+F271*F170+G271*G170+H271*H170+I271*I170+J271*J170+K271*K170+L271*L170+M271*M170+N271*N170+O271*O170+P271*P170+Q271*Q170+R271*R170+S271*S170+T271*T170+U271*U170+V271*V170+W271*W170+X271*X170+Y271*Y170+Z271*Z170+AA271*AA170+AB271*AB170+AC271*AC170+AD271*AD170+AE271*AE170+AF271*AF170+AG271*AG170+AH271*AH170+AI271*AI170+AJ271*AJ170+AK271*AK170+AL271*AL170+AM271*AM170+AN271*AN170+AO271*AO170+AP271*AP170+AQ271*AQ170+AR271*AR170+AS271*AS170+AT271*AT170+AU271*AU170+AV271*AV170+AW271*AW170+AX271*AX170+AY271*AY170+AZ271*AZ170+BA271*BA170+BB271*BB170+BC271*BC170+BD271*BD170+BE271*BE170+BF271*BF170+BG271*BG170+BH271*BH170+BI271*BI170+BJ271*BJ170+BK271*BK170+BL271*BL170+BM271*BM170+BN271*BN170+BO271*BO170+BP271*BP170+BQ271*BQ170+BR271*BR170+BS271*BS170+BT271*BT170+BU271*BU170+BV271*BV170+BW271*BW170+BX271*BX170+BY271*BY170+BZ271*BZ170+CA271*CA170+CB271*CB170+CC271*CC170+CD271*CD170+CE271*CE170+CF271*CF170+CG271*CG170+CH271*CH170+CI271*CI170+CJ271*CJ170+CK271*CK170+CL271*CL170+CM271*CM170+CN271*CN170+CO271*CO170+CP271*CP170+CQ271*CQ170+CR271*CR170+CS271*CS170</f>
        <v>0</v>
      </c>
      <c r="DB170" s="2504">
        <f>E272*E170+F272*F170+G272*G170+H272*H170+I272*I170+J272*J170+K272*K170+L272*L170+M272*M170+N272*N170+O272*O170+P272*P170+Q272*Q170+R272*R170+S272*S170+T272*T170+U272*U170+V272*V170+W272*W170+X272*X170+Y272*Y170+Z272*Z170+AA272*AA170+AB272*AB170+AC272*AC170+AD272*AD170+AE272*AE170+AF272*AF170+AG272*AG170+AH272*AH170+AI272*AI170+AJ272*AJ170+AK272*AK170+AL272*AL170+AM272*AM170+AN272*AN170+AO272*AO170+AP272*AP170+AQ272*AQ170+AR272*AR170+AS272*AS170+AT272*AT170+AU272*AU170+AV272*AV170+AW272*AW170+AX272*AX170+AY272*AY170+AZ272*AZ170+BA272*BA170+BB272*BB170+BC272*BC170+BD272*BD170+BE272*BE170+BF272*BF170+BG272*BG170+BH272*BH170+BI272*BI170+BJ272*BJ170+BK272*BK170+BL272*BL170+BM272*BM170+BN272*BN170+BO272*BO170+BP272*BP170+BQ272*BQ170+BR272*BR170+BS272*BS170+BT272*BT170+BU272*BU170+BV272*BV170+BW272*BW170+BX272*BX170+BY272*BY170+BZ272*BZ170+CA272*CA170+CB272*CB170+CC272*CC170+CD272*CD170+CE272*CE170+CF272*CF170+CG272*CG170+CH272*CH170+CI272*CI170+CJ272*CJ170+CK272*CK170+CL272*CL170+CM272*CM170+CN272*CN170+CO272*CO170+CP272*CP170+CQ272*CQ170+CR272*CR170+CS272*CS170</f>
        <v>0</v>
      </c>
      <c r="DC170" s="2504">
        <f>E273*E170+F273*F170+G273*G170+H273*H170+I273*I170+J273*J170+K273*K170+L273*L170+M273*M170+N273*N170+O273*O170+P273*P170+Q273*Q170+R273*R170+S273*S170+T273*T170+U273*U170+V273*V170+W273*W170+X273*X170+Y273*Y170+Z273*Z170+AA273*AA170+AB273*AB170+AC273*AC170+AD273*AD170+AE273*AE170+AF273*AF170+AG273*AG170+AH273*AH170+AI273*AI170+AJ273*AJ170+AK273*AK170+AL273*AL170+AM273*AM170+AN273*AN170+AO273*AO170+AP273*AP170+AQ273*AQ170+AR273*AR170+AS273*AS170+AT273*AT170+AU273*AU170+AV273*AV170+AW273*AW170+AX273*AX170+AY273*AY170+AZ273*AZ170+BA273*BA170+BB273*BB170+BC273*BC170+BD273*BD170+BE273*BE170+BF273*BF170+BG273*BG170+BH273*BH170+BI273*BI170+BJ273*BJ170+BK273*BK170+BL273*BL170+BM273*BM170+BN273*BN170+BO273*BO170+BP273*BP170+BQ273*BQ170+BR273*BR170+BS273*BS170+BT273*BT170+BU273*BU170+BV273*BV170+BW273*BW170+BX273*BX170+BY273*BY170+BZ273*BZ170+CA273*CA170+CB273*CB170+CC273*CC170+CD273*CD170+CE273*CE170+CF273*CF170+CG273*CG170+CH273*CH170+CI273*CI170+CJ273*CJ170+CK273*CK170+CL273*CL170+CM273*CM170+CN273*CN170+CO273*CO170+CP273*CP170+CQ273*CQ170+CR273*CR170+CS273*CS170</f>
        <v>0</v>
      </c>
      <c r="DD170" s="2504">
        <f>E274*E170+F274*F170+G274*G170+H274*H170+I274*I170+J274*J170+K274*K170+L274*L170+M274*M170+N274*N170+O274*O170+P274*P170+Q274*Q170+R274*R170+S274*S170+T274*T170+U274*U170+V274*V170+W274*W170+X274*X170+Y274*Y170+Z274*Z170+AA274*AA170+AB274*AB170+AC274*AC170+AD274*AD170+AE274*AE170+AF274*AF170+AG274*AG170+AH274*AH170+AI274*AI170+AJ274*AJ170+AK274*AK170+AL274*AL170+AM274*AM170+AN274*AN170+AO274*AO170+AP274*AP170+AQ274*AQ170+AR274*AR170+AS274*AS170+AT274*AT170+AU274*AU170+AV274*AV170+AW274*AW170+AX274*AX170+AY274*AY170+AZ274*AZ170+BA274*BA170+BB274*BB170+BC274*BC170+BD274*BD170+BE274*BE170+BF274*BF170+BG274*BG170+BH274*BH170+BI274*BI170+BJ274*BJ170+BK274*BK170+BL274*BL170+BM274*BM170+BN274*BN170+BO274*BO170+BP274*BP170+BQ274*BQ170+BR274*BR170+BS274*BS170+BT274*BT170+BU274*BU170+BV274*BV170+BW274*BW170+BX274*BX170+BY274*BY170+BZ274*BZ170+CA274*CA170+CB274*CB170+CC274*CC170+CD274*CD170+CE274*CE170+CF274*CF170+CG274*CG170+CH274*CH170+CI274*CI170+CJ274*CJ170+CK274*CK170+CL274*CL170+CM274*CM170+CN274*CN170+CO274*CO170+CP274*CP170+CQ274*CQ170+CR274*CR170+CS274*CS170</f>
        <v>0</v>
      </c>
      <c r="DE170" s="2504">
        <f>E275*E170+F275*F170+G275*G170+H275*H170+I275*I170+J275*J170+K275*K170+L275*L170+M275*M170+N275*N170+O275*O170+P275*P170+Q275*Q170+R275*R170+S275*S170+T275*T170+U275*U170+V275*V170+W275*W170+X275*X170+Y275*Y170+Z275*Z170+AA275*AA170+AB275*AB170+AC275*AC170+AD275*AD170+AE275*AE170+AF275*AF170+AG275*AG170+AH275*AH170+AI275*AI170+AJ275*AJ170+AK275*AK170+AL275*AL170+AM275*AM170+AN275*AN170+AO275*AO170+AP275*AP170+AQ275*AQ170+AR275*AR170+AS275*AS170+AT275*AT170+AU275*AU170+AV275*AV170+AW275*AW170+AX275*AX170+AY275*AY170+AZ275*AZ170+BA275*BA170+BB275*BB170+BC275*BC170+BD275*BD170+BE275*BE170+BF275*BF170+BG275*BG170+BH275*BH170+BI275*BI170+BJ275*BJ170+BK275*BK170+BL275*BL170+BM275*BM170+BN275*BN170+BO275*BO170+BP275*BP170+BQ275*BQ170+BR275*BR170+BS275*BS170+BT275*BT170+BU275*BU170+BV275*BV170+BW275*BW170+BX275*BX170+BY275*BY170+BZ275*BZ170+CA275*CA170+CB275*CB170+CC275*CC170+CD275*CD170+CE275*CE170+CF275*CF170+CG275*CG170+CH275*CH170+CI275*CI170+CJ275*CJ170+CK275*CK170+CL275*CL170+CM275*CM170+CN275*CN170+CO275*CO170+CP275*CP170+CQ275*CQ170+CR275*CR170+CS275*CS170</f>
        <v>0</v>
      </c>
      <c r="DF170" s="2504">
        <f>E276*E170+F276*F170+G276*G170+H276*H170+I276*I170+J276*J170+K276*K170+L276*L170+M276*M170+N276*N170+O276*O170+P276*P170+Q276*Q170+R276*R170+S276*S170+T276*T170+U276*U170+V276*V170+W276*W170+X276*X170+Y276*Y170+Z276*Z170+AA276*AA170+AB276*AB170+AC276*AC170+AD276*AD170+AE276*AE170+AF276*AF170+AG276*AG170+AH276*AH170+AI276*AI170+AJ276*AJ170+AK276*AK170+AL276*AL170+AM276*AM170+AN276*AN170+AO276*AO170+AP276*AP170+AQ276*AQ170+AR276*AR170+AS276*AS170+AT276*AT170+AU276*AU170+AV276*AV170+AW276*AW170+AX276*AX170+AY276*AY170+AZ276*AZ170+BA276*BA170+BB276*BB170+BC276*BC170+BD276*BD170+BE276*BE170+BF276*BF170+BG276*BG170+BH276*BH170+BI276*BI170+BJ276*BJ170+BK276*BK170+BL276*BL170+BM276*BM170+BN276*BN170+BO276*BO170+BP276*BP170+BQ276*BQ170+BR276*BR170+BS276*BS170+BT276*BT170+BU276*BU170+BV276*BV170+BW276*BW170+BX276*BX170+BY276*BY170+BZ276*BZ170+CA276*CA170+CB276*CB170+CC276*CC170+CD276*CD170+CE276*CE170+CF276*CF170+CG276*CG170+CH276*CH170+CI276*CI170+CJ276*CJ170+CK276*CK170+CL276*CL170+CM276*CM170+CN276*CN170+CO276*CO170+CP276*CP170+CQ276*CQ170+CR276*CR170+CS276*CS170</f>
        <v>0</v>
      </c>
    </row>
    <row r="171" spans="2:110" ht="18" x14ac:dyDescent="0.25">
      <c r="B171" s="1565">
        <v>29</v>
      </c>
      <c r="C171" s="1566" t="s">
        <v>252</v>
      </c>
      <c r="D171" s="1567" t="s">
        <v>4157</v>
      </c>
      <c r="E171" s="1471">
        <f>-1</f>
        <v>-1</v>
      </c>
      <c r="F171" s="1471">
        <f>0</f>
        <v>0</v>
      </c>
      <c r="G171" s="1471">
        <f>0</f>
        <v>0</v>
      </c>
      <c r="H171" s="1471">
        <f>0</f>
        <v>0</v>
      </c>
      <c r="I171" s="1471">
        <f>0</f>
        <v>0</v>
      </c>
      <c r="J171" s="1471">
        <f>0</f>
        <v>0</v>
      </c>
      <c r="K171" s="1471">
        <f>0</f>
        <v>0</v>
      </c>
      <c r="L171" s="1471">
        <f>0</f>
        <v>0</v>
      </c>
      <c r="M171" s="1471">
        <f>0</f>
        <v>0</v>
      </c>
      <c r="N171" s="1471">
        <f>1</f>
        <v>1</v>
      </c>
      <c r="O171" s="1471">
        <f>0</f>
        <v>0</v>
      </c>
      <c r="P171" s="1471">
        <f>0</f>
        <v>0</v>
      </c>
      <c r="Q171" s="1471">
        <f>0</f>
        <v>0</v>
      </c>
      <c r="R171" s="1471">
        <f>0</f>
        <v>0</v>
      </c>
      <c r="S171" s="1471">
        <f>0</f>
        <v>0</v>
      </c>
      <c r="T171" s="1471">
        <f>0</f>
        <v>0</v>
      </c>
      <c r="U171" s="1471">
        <f>0</f>
        <v>0</v>
      </c>
      <c r="V171" s="1471">
        <f>0</f>
        <v>0</v>
      </c>
      <c r="W171" s="1471">
        <f>0</f>
        <v>0</v>
      </c>
      <c r="X171" s="1471">
        <f>0</f>
        <v>0</v>
      </c>
      <c r="Y171" s="1471">
        <f>0</f>
        <v>0</v>
      </c>
      <c r="Z171" s="1471">
        <f>0</f>
        <v>0</v>
      </c>
      <c r="AA171" s="1471">
        <f>0</f>
        <v>0</v>
      </c>
      <c r="AB171" s="1470">
        <f>0</f>
        <v>0</v>
      </c>
      <c r="AC171" s="1470">
        <f>0</f>
        <v>0</v>
      </c>
      <c r="AD171" s="1470">
        <f>0</f>
        <v>0</v>
      </c>
      <c r="AE171" s="1471">
        <f>0</f>
        <v>0</v>
      </c>
      <c r="AF171" s="1471">
        <f>0</f>
        <v>0</v>
      </c>
      <c r="AG171" s="1471">
        <f>0</f>
        <v>0</v>
      </c>
      <c r="AH171" s="1470">
        <f>0</f>
        <v>0</v>
      </c>
      <c r="AI171" s="1470">
        <f>0</f>
        <v>0</v>
      </c>
      <c r="AJ171" s="1470">
        <f>0</f>
        <v>0</v>
      </c>
      <c r="AK171" s="1470">
        <f>0</f>
        <v>0</v>
      </c>
      <c r="AL171" s="1470">
        <f>0</f>
        <v>0</v>
      </c>
      <c r="AM171" s="1471">
        <f>f_P_VFA</f>
        <v>0.65</v>
      </c>
      <c r="AN171" s="1470">
        <f>-f_P_VFA</f>
        <v>-0.65</v>
      </c>
      <c r="AO171" s="1471">
        <f>0</f>
        <v>0</v>
      </c>
      <c r="AP171" s="1471">
        <f>0</f>
        <v>0</v>
      </c>
      <c r="AQ171" s="1471">
        <f>0</f>
        <v>0</v>
      </c>
      <c r="AR171" s="1471">
        <f>0</f>
        <v>0</v>
      </c>
      <c r="AS171" s="1471">
        <f>0</f>
        <v>0</v>
      </c>
      <c r="AT171" s="1471">
        <f>0</f>
        <v>0</v>
      </c>
      <c r="AU171" s="1471">
        <f>0</f>
        <v>0</v>
      </c>
      <c r="AV171" s="1471">
        <f>i_CIT_VFA-i_CIT_PHA</f>
        <v>4.1999999999999982E-2</v>
      </c>
      <c r="AW171" s="1471">
        <f>0</f>
        <v>0</v>
      </c>
      <c r="AX171" s="1471">
        <f>0</f>
        <v>0</v>
      </c>
      <c r="AY171" s="1471">
        <f>0</f>
        <v>0</v>
      </c>
      <c r="AZ171" s="1470">
        <f>i_Ca_PP*A_MCa/A_MP*f_P_VFA</f>
        <v>8.4105701566986282E-2</v>
      </c>
      <c r="BA171" s="1470">
        <f>i_Mg_PP*A_MMg/A_MP*f_P_VFA</f>
        <v>0.17851843325639011</v>
      </c>
      <c r="BB171" s="1470">
        <f>i_K_PP*A_MK/A_MP*f_P_VFA</f>
        <v>8.2049751773454263E-2</v>
      </c>
      <c r="BC171" s="1471">
        <f>0</f>
        <v>0</v>
      </c>
      <c r="BD171" s="1471">
        <f>0</f>
        <v>0</v>
      </c>
      <c r="BE171" s="1471">
        <f>0</f>
        <v>0</v>
      </c>
      <c r="BF171" s="1471">
        <f>0</f>
        <v>0</v>
      </c>
      <c r="BG171" s="1471">
        <f>0</f>
        <v>0</v>
      </c>
      <c r="BH171" s="1471">
        <f>0</f>
        <v>0</v>
      </c>
      <c r="BI171" s="1471">
        <f>0</f>
        <v>0</v>
      </c>
      <c r="BJ171" s="1471">
        <f>0</f>
        <v>0</v>
      </c>
      <c r="BK171" s="1471">
        <f>0</f>
        <v>0</v>
      </c>
      <c r="BL171" s="1471">
        <f>0</f>
        <v>0</v>
      </c>
      <c r="BM171" s="1471">
        <f>0</f>
        <v>0</v>
      </c>
      <c r="BN171" s="1471">
        <f>0</f>
        <v>0</v>
      </c>
      <c r="BO171" s="1471">
        <f>0</f>
        <v>0</v>
      </c>
      <c r="BP171" s="1471">
        <f>0</f>
        <v>0</v>
      </c>
      <c r="BQ171" s="1471">
        <f>0</f>
        <v>0</v>
      </c>
      <c r="BR171" s="1471">
        <f>0</f>
        <v>0</v>
      </c>
      <c r="BS171" s="1471">
        <f>0</f>
        <v>0</v>
      </c>
      <c r="BT171" s="1470">
        <f>0</f>
        <v>0</v>
      </c>
      <c r="BU171" s="1471">
        <f>0</f>
        <v>0</v>
      </c>
      <c r="BV171" s="1471">
        <f>0</f>
        <v>0</v>
      </c>
      <c r="BW171" s="2356">
        <f>0</f>
        <v>0</v>
      </c>
      <c r="BX171" s="2356">
        <f>0</f>
        <v>0</v>
      </c>
      <c r="BY171" s="2356">
        <f>0</f>
        <v>0</v>
      </c>
      <c r="BZ171" s="2356">
        <f>0</f>
        <v>0</v>
      </c>
      <c r="CA171" s="1471">
        <f>0</f>
        <v>0</v>
      </c>
      <c r="CB171" s="1471">
        <f>0</f>
        <v>0</v>
      </c>
      <c r="CC171" s="1471">
        <f>0</f>
        <v>0</v>
      </c>
      <c r="CD171" s="1471">
        <f>0</f>
        <v>0</v>
      </c>
      <c r="CE171" s="1471">
        <f>0</f>
        <v>0</v>
      </c>
      <c r="CF171" s="1471">
        <f>0</f>
        <v>0</v>
      </c>
      <c r="CG171" s="1471">
        <f>0</f>
        <v>0</v>
      </c>
      <c r="CH171" s="1471">
        <f>0</f>
        <v>0</v>
      </c>
      <c r="CI171" s="1471">
        <f>0</f>
        <v>0</v>
      </c>
      <c r="CJ171" s="1471">
        <f>0</f>
        <v>0</v>
      </c>
      <c r="CK171" s="1471">
        <f>0</f>
        <v>0</v>
      </c>
      <c r="CL171" s="1471">
        <f>0</f>
        <v>0</v>
      </c>
      <c r="CM171" s="1471">
        <f>0</f>
        <v>0</v>
      </c>
      <c r="CN171" s="1471">
        <f>0</f>
        <v>0</v>
      </c>
      <c r="CO171" s="1471">
        <f>0</f>
        <v>0</v>
      </c>
      <c r="CP171" s="1471">
        <f>0</f>
        <v>0</v>
      </c>
      <c r="CQ171" s="1471">
        <f>0</f>
        <v>0</v>
      </c>
      <c r="CR171" s="1471">
        <f>0</f>
        <v>0</v>
      </c>
      <c r="CS171" s="1471">
        <f>0</f>
        <v>0</v>
      </c>
      <c r="CT171" s="2482">
        <f>q_PAO_PHA_T*X_CASTO*actsto_PAO_ORP*M_satSVFA_KVFA_CASTO*M_RsatXPP_XPAO_KPP*L_oginhXPHA_XPAO_max</f>
        <v>0.33972825925009087</v>
      </c>
      <c r="CV171" s="2502">
        <f>E266*E171+F266*F171+G266*G171+H266*H171+I266*I171+J266*J171+K266*K171+L266*L171+M266*M171+N266*N171+O266*O171+P266*P171+Q266*Q171+R266*R171+S266*S171+T266*T171+U266*U171+V266*V171+W266*W171+X266*X171+Y266*Y171+Z266*Z171+AA266*AA171+AB266*AB171+AC266*AC171+AD266*AD171+AE266*AE171+AF266*AF171+AG266*AG171+AH266*AH171+AI266*AI171+AJ266*AJ171+AK266*AK171+AL266*AL171+AM266*AM171+AN266*AN171+AO266*AO171+AP266*AP171+AQ266*AQ171+AR266*AR171+AS266*AS171+AT266*AT171+AU266*AU171+AV266*AV171+AW266*AW171+AX266*AX171+AY266*AY171+AZ266*AZ171+BA266*BA171+BB266*BB171+BC266*BC171+BD266*BD171+BE266*BE171+BF266*BF171+BG266*BG171+BH266*BH171+BI266*BI171+BJ266*BJ171+BK266*BK171+BL266*BL171+BM266*BM171+BN266*BN171+BO266*BO171+BP266*BP171+BQ266*BQ171+BR266*BR171+BS266*BS171+BT266*BT171+BU266*BU171+BV266*BV171+BW266*BW171+BX266*BX171+BY266*BY171+BZ266*BZ171+CA266*CA171+CB266*CB171+CC266*CC171+CD266*CD171+CE266*CE171+CF266*CF171+CG266*CG171+CH266*CH171+CI266*CI171+CJ266*CJ171+CK266*CK171+CL266*CL171+CM266*CM171+CN266*CN171+CO266*CO171+CP266*CP171+CQ266*CQ171+CR266*CR171+CS266*CS171</f>
        <v>0</v>
      </c>
      <c r="CW171" s="2502">
        <f>E267*E171+F267*F171+G267*G171+H267*H171+I267*I171+J267*J171+K267*K171+L267*L171+M267*M171+N267*N171+O267*O171+P267*P171+Q267*Q171+R267*R171+S267*S171+T267*T171+U267*U171+V267*V171+W267*W171+X267*X171+Y267*Y171+Z267*Z171+AA267*AA171+AB267*AB171+AC267*AC171+AD267*AD171+AE267*AE171+AF267*AF171+AG267*AG171+AH267*AH171+AI267*AI171+AJ267*AJ171+AK267*AK171+AL267*AL171+AM267*AM171+AN267*AN171+AO267*AO171+AP267*AP171+AQ267*AQ171+AR267*AR171+AS267*AS171+AT267*AT171+AU267*AU171+AV267*AV171+AW267*AW171+AX267*AX171+AY267*AY171+AZ267*AZ171+BA267*BA171+BB267*BB171+BC267*BC171+BD267*BD171+BE267*BE171+BF267*BF171+BG267*BG171+BH267*BH171+BI267*BI171+BJ267*BJ171+BK267*BK171+BL267*BL171+BM267*BM171+BN267*BN171+BO267*BO171+BP267*BP171+BQ267*BQ171+BR267*BR171+BS267*BS171+BT267*BT171+BU267*BU171+BV267*BV171+BW267*BW171+BX267*BX171+BY267*BY171+BZ267*BZ171+CA267*CA171+CB267*CB171+CC267*CC171+CD267*CD171+CE267*CE171+CF267*CF171+CG267*CG171+CH267*CH171+CI267*CI171+CJ267*CJ171+CK267*CK171+CL267*CL171+CM267*CM171+CN267*CN171+CO267*CO171+CP267*CP171+CQ267*CQ171+CR267*CR171+CS267*CS171</f>
        <v>0</v>
      </c>
      <c r="CX171" s="2503">
        <f>E268*E171+F268*F171+G268*G171+H268*H171+I268*I171+J268*J171+K268*K171+L268*L171+M268*M171+N268*N171+O268*O171+P268*P171+Q268*Q171+R268*R171+S268*S171+T268*T171+U268*U171+V268*V171+W268*W171+X268*X171+Y268*Y171+Z268*Z171+AA268*AA171+AB268*AB171+AC268*AC171+AD268*AD171+AE268*AE171+AF268*AF171+AG268*AG171+AH268*AH171+AI268*AI171+AJ268*AJ171+AK268*AK171+AL268*AL171+AM268*AM171+AN268*AN171+AO268*AO171+AP268*AP171+AQ268*AQ171+AR268*AR171+AS268*AS171+AT268*AT171+AU268*AU171+AV268*AV171+AW268*AW171+AX268*AX171+AY268*AY171+AZ268*AZ171+BA268*BA171+BB268*BB171+BC268*BC171+BD268*BD171+BE268*BE171+BF268*BF171+BG268*BG171+BH268*BH171+BI268*BI171+BJ268*BJ171+BK268*BK171+BL268*BL171+BM268*BM171+BN268*BN171+BO268*BO171+BP268*BP171+BQ268*BQ171+BR268*BR171+BS268*BS171+BT268*BT171+BU268*BU171+BV268*BV171+BW268*BW171+BX268*BX171+BY268*BY171+BZ268*BZ171+CA268*CA171+CB268*CB171+CC268*CC171+CD268*CD171+CE268*CE171+CF268*CF171+CG268*CG171+CH268*CH171+CI268*CI171+CJ268*CJ171+CK268*CK171+CL268*CL171+CM268*CM171+CN268*CN171+CO268*CO171+CP268*CP171+CQ268*CQ171+CR268*CR171+CS268*CS171</f>
        <v>0</v>
      </c>
      <c r="CY171" s="2504">
        <f>E269*E171+F269*F171+G269*G171+H269*H171+I269*I171+J269*J171+K269*K171+L269*L171+M269*M171+N269*N171+O269*O171+P269*P171+Q269*Q171+R269*R171+S269*S171+T269*T171+U269*U171+V269*V171+W269*W171+X269*X171+Y269*Y171+Z269*Z171+AA269*AA171+AB269*AB171+AC269*AC171+AD269*AD171+AE269*AE171+AF269*AF171+AG269*AG171+AH269*AH171+AI269*AI171+AJ269*AJ171+AK269*AK171+AL269*AL171+AM269*AM171+AN269*AN171+AO269*AO171+AP269*AP171+AQ269*AQ171+AR269*AR171+AS269*AS171+AT269*AT171+AU269*AU171+AV269*AV171+AW269*AW171+AX269*AX171+AY269*AY171+AZ269*AZ171+BA269*BA171+BB269*BB171+BC269*BC171+BD269*BD171+BE269*BE171+BF269*BF171+BG269*BG171+BH269*BH171+BI269*BI171+BJ269*BJ171+BK269*BK171+BL269*BL171+BM269*BM171+BN269*BN171+BO269*BO171+BP269*BP171+BQ269*BQ171+BR269*BR171+BS269*BS171+BT269*BT171+BU269*BU171+BV269*BV171+BW269*BW171+BX269*BX171+BY269*BY171+BZ269*BZ171+CA269*CA171+CB269*CB171+CC269*CC171+CD269*CD171+CE269*CE171+CF269*CF171+CG269*CG171+CH269*CH171+CI269*CI171+CJ269*CJ171+CK269*CK171+CL269*CL171+CM269*CM171+CN269*CN171+CO269*CO171+CP269*CP171+CQ269*CQ171+CR269*CR171+CS269*CS171</f>
        <v>0</v>
      </c>
      <c r="CZ171" s="2504">
        <f>E270*E171+F270*F171+G270*G171+H270*H171+I270*I171+J270*J171+K270*K171+L270*L171+M270*M171+N270*N171+O270*O171+P270*P171+Q270*Q171+R270*R171+S270*S171+T270*T171+U270*U171+V270*V171+W270*W171+X270*X171+Y270*Y171+Z270*Z171+AA270*AA171+AB270*AB171+AC270*AC171+AD270*AD171+AE270*AE171+AF270*AF171+AG270*AG171+AH270*AH171+AI270*AI171+AJ270*AJ171+AK270*AK171+AL270*AL171+AM270*AM171+AN270*AN171+AO270*AO171+AP270*AP171+AQ270*AQ171+AR270*AR171+AS270*AS171+AT270*AT171+AU270*AU171+AV270*AV171+AW270*AW171+AX270*AX171+AY270*AY171+AZ270*AZ171+BA270*BA171+BB270*BB171+BC270*BC171+BD270*BD171+BE270*BE171+BF270*BF171+BG270*BG171+BH270*BH171+BI270*BI171+BJ270*BJ171+BK270*BK171+BL270*BL171+BM270*BM171+BN270*BN171+BO270*BO171+BP270*BP171+BQ270*BQ171+BR270*BR171+BS270*BS171+BT270*BT171+BU270*BU171+BV270*BV171+BW270*BW171+BX270*BX171+BY270*BY171+BZ270*BZ171+CA270*CA171+CB270*CB171+CC270*CC171+CD270*CD171+CE270*CE171+CF270*CF171+CG270*CG171+CH270*CH171+CI270*CI171+CJ270*CJ171+CK270*CK171+CL270*CL171+CM270*CM171+CN270*CN171+CO270*CO171+CP270*CP171+CQ270*CQ171+CR270*CR171+CS270*CS171</f>
        <v>0</v>
      </c>
      <c r="DA171" s="2504">
        <f>E271*E171+F271*F171+G271*G171+H271*H171+I271*I171+J271*J171+K271*K171+L271*L171+M271*M171+N271*N171+O271*O171+P271*P171+Q271*Q171+R271*R171+S271*S171+T271*T171+U271*U171+V271*V171+W271*W171+X271*X171+Y271*Y171+Z271*Z171+AA271*AA171+AB271*AB171+AC271*AC171+AD271*AD171+AE271*AE171+AF271*AF171+AG271*AG171+AH271*AH171+AI271*AI171+AJ271*AJ171+AK271*AK171+AL271*AL171+AM271*AM171+AN271*AN171+AO271*AO171+AP271*AP171+AQ271*AQ171+AR271*AR171+AS271*AS171+AT271*AT171+AU271*AU171+AV271*AV171+AW271*AW171+AX271*AX171+AY271*AY171+AZ271*AZ171+BA271*BA171+BB271*BB171+BC271*BC171+BD271*BD171+BE271*BE171+BF271*BF171+BG271*BG171+BH271*BH171+BI271*BI171+BJ271*BJ171+BK271*BK171+BL271*BL171+BM271*BM171+BN271*BN171+BO271*BO171+BP271*BP171+BQ271*BQ171+BR271*BR171+BS271*BS171+BT271*BT171+BU271*BU171+BV271*BV171+BW271*BW171+BX271*BX171+BY271*BY171+BZ271*BZ171+CA271*CA171+CB271*CB171+CC271*CC171+CD271*CD171+CE271*CE171+CF271*CF171+CG271*CG171+CH271*CH171+CI271*CI171+CJ271*CJ171+CK271*CK171+CL271*CL171+CM271*CM171+CN271*CN171+CO271*CO171+CP271*CP171+CQ271*CQ171+CR271*CR171+CS271*CS171</f>
        <v>0</v>
      </c>
      <c r="DB171" s="2504">
        <f>E272*E171+F272*F171+G272*G171+H272*H171+I272*I171+J272*J171+K272*K171+L272*L171+M272*M171+N272*N171+O272*O171+P272*P171+Q272*Q171+R272*R171+S272*S171+T272*T171+U272*U171+V272*V171+W272*W171+X272*X171+Y272*Y171+Z272*Z171+AA272*AA171+AB272*AB171+AC272*AC171+AD272*AD171+AE272*AE171+AF272*AF171+AG272*AG171+AH272*AH171+AI272*AI171+AJ272*AJ171+AK272*AK171+AL272*AL171+AM272*AM171+AN272*AN171+AO272*AO171+AP272*AP171+AQ272*AQ171+AR272*AR171+AS272*AS171+AT272*AT171+AU272*AU171+AV272*AV171+AW272*AW171+AX272*AX171+AY272*AY171+AZ272*AZ171+BA272*BA171+BB272*BB171+BC272*BC171+BD272*BD171+BE272*BE171+BF272*BF171+BG272*BG171+BH272*BH171+BI272*BI171+BJ272*BJ171+BK272*BK171+BL272*BL171+BM272*BM171+BN272*BN171+BO272*BO171+BP272*BP171+BQ272*BQ171+BR272*BR171+BS272*BS171+BT272*BT171+BU272*BU171+BV272*BV171+BW272*BW171+BX272*BX171+BY272*BY171+BZ272*BZ171+CA272*CA171+CB272*CB171+CC272*CC171+CD272*CD171+CE272*CE171+CF272*CF171+CG272*CG171+CH272*CH171+CI272*CI171+CJ272*CJ171+CK272*CK171+CL272*CL171+CM272*CM171+CN272*CN171+CO272*CO171+CP272*CP171+CQ272*CQ171+CR272*CR171+CS272*CS171</f>
        <v>0</v>
      </c>
      <c r="DC171" s="2504">
        <f>E273*E171+F273*F171+G273*G171+H273*H171+I273*I171+J273*J171+K273*K171+L273*L171+M273*M171+N273*N171+O273*O171+P273*P171+Q273*Q171+R273*R171+S273*S171+T273*T171+U273*U171+V273*V171+W273*W171+X273*X171+Y273*Y171+Z273*Z171+AA273*AA171+AB273*AB171+AC273*AC171+AD273*AD171+AE273*AE171+AF273*AF171+AG273*AG171+AH273*AH171+AI273*AI171+AJ273*AJ171+AK273*AK171+AL273*AL171+AM273*AM171+AN273*AN171+AO273*AO171+AP273*AP171+AQ273*AQ171+AR273*AR171+AS273*AS171+AT273*AT171+AU273*AU171+AV273*AV171+AW273*AW171+AX273*AX171+AY273*AY171+AZ273*AZ171+BA273*BA171+BB273*BB171+BC273*BC171+BD273*BD171+BE273*BE171+BF273*BF171+BG273*BG171+BH273*BH171+BI273*BI171+BJ273*BJ171+BK273*BK171+BL273*BL171+BM273*BM171+BN273*BN171+BO273*BO171+BP273*BP171+BQ273*BQ171+BR273*BR171+BS273*BS171+BT273*BT171+BU273*BU171+BV273*BV171+BW273*BW171+BX273*BX171+BY273*BY171+BZ273*BZ171+CA273*CA171+CB273*CB171+CC273*CC171+CD273*CD171+CE273*CE171+CF273*CF171+CG273*CG171+CH273*CH171+CI273*CI171+CJ273*CJ171+CK273*CK171+CL273*CL171+CM273*CM171+CN273*CN171+CO273*CO171+CP273*CP171+CQ273*CQ171+CR273*CR171+CS273*CS171</f>
        <v>0</v>
      </c>
      <c r="DD171" s="2504">
        <f>E274*E171+F274*F171+G274*G171+H274*H171+I274*I171+J274*J171+K274*K171+L274*L171+M274*M171+N274*N171+O274*O171+P274*P171+Q274*Q171+R274*R171+S274*S171+T274*T171+U274*U171+V274*V171+W274*W171+X274*X171+Y274*Y171+Z274*Z171+AA274*AA171+AB274*AB171+AC274*AC171+AD274*AD171+AE274*AE171+AF274*AF171+AG274*AG171+AH274*AH171+AI274*AI171+AJ274*AJ171+AK274*AK171+AL274*AL171+AM274*AM171+AN274*AN171+AO274*AO171+AP274*AP171+AQ274*AQ171+AR274*AR171+AS274*AS171+AT274*AT171+AU274*AU171+AV274*AV171+AW274*AW171+AX274*AX171+AY274*AY171+AZ274*AZ171+BA274*BA171+BB274*BB171+BC274*BC171+BD274*BD171+BE274*BE171+BF274*BF171+BG274*BG171+BH274*BH171+BI274*BI171+BJ274*BJ171+BK274*BK171+BL274*BL171+BM274*BM171+BN274*BN171+BO274*BO171+BP274*BP171+BQ274*BQ171+BR274*BR171+BS274*BS171+BT274*BT171+BU274*BU171+BV274*BV171+BW274*BW171+BX274*BX171+BY274*BY171+BZ274*BZ171+CA274*CA171+CB274*CB171+CC274*CC171+CD274*CD171+CE274*CE171+CF274*CF171+CG274*CG171+CH274*CH171+CI274*CI171+CJ274*CJ171+CK274*CK171+CL274*CL171+CM274*CM171+CN274*CN171+CO274*CO171+CP274*CP171+CQ274*CQ171+CR274*CR171+CS274*CS171</f>
        <v>0</v>
      </c>
      <c r="DE171" s="2504">
        <f>E275*E171+F275*F171+G275*G171+H275*H171+I275*I171+J275*J171+K275*K171+L275*L171+M275*M171+N275*N171+O275*O171+P275*P171+Q275*Q171+R275*R171+S275*S171+T275*T171+U275*U171+V275*V171+W275*W171+X275*X171+Y275*Y171+Z275*Z171+AA275*AA171+AB275*AB171+AC275*AC171+AD275*AD171+AE275*AE171+AF275*AF171+AG275*AG171+AH275*AH171+AI275*AI171+AJ275*AJ171+AK275*AK171+AL275*AL171+AM275*AM171+AN275*AN171+AO275*AO171+AP275*AP171+AQ275*AQ171+AR275*AR171+AS275*AS171+AT275*AT171+AU275*AU171+AV275*AV171+AW275*AW171+AX275*AX171+AY275*AY171+AZ275*AZ171+BA275*BA171+BB275*BB171+BC275*BC171+BD275*BD171+BE275*BE171+BF275*BF171+BG275*BG171+BH275*BH171+BI275*BI171+BJ275*BJ171+BK275*BK171+BL275*BL171+BM275*BM171+BN275*BN171+BO275*BO171+BP275*BP171+BQ275*BQ171+BR275*BR171+BS275*BS171+BT275*BT171+BU275*BU171+BV275*BV171+BW275*BW171+BX275*BX171+BY275*BY171+BZ275*BZ171+CA275*CA171+CB275*CB171+CC275*CC171+CD275*CD171+CE275*CE171+CF275*CF171+CG275*CG171+CH275*CH171+CI275*CI171+CJ275*CJ171+CK275*CK171+CL275*CL171+CM275*CM171+CN275*CN171+CO275*CO171+CP275*CP171+CQ275*CQ171+CR275*CR171+CS275*CS171</f>
        <v>0</v>
      </c>
      <c r="DF171" s="2504">
        <f>E276*E171+F276*F171+G276*G171+H276*H171+I276*I171+J276*J171+K276*K171+L276*L171+M276*M171+N276*N171+O276*O171+P276*P171+Q276*Q171+R276*R171+S276*S171+T276*T171+U276*U171+V276*V171+W276*W171+X276*X171+Y276*Y171+Z276*Z171+AA276*AA171+AB276*AB171+AC276*AC171+AD276*AD171+AE276*AE171+AF276*AF171+AG276*AG171+AH276*AH171+AI276*AI171+AJ276*AJ171+AK276*AK171+AL276*AL171+AM276*AM171+AN276*AN171+AO276*AO171+AP276*AP171+AQ276*AQ171+AR276*AR171+AS276*AS171+AT276*AT171+AU276*AU171+AV276*AV171+AW276*AW171+AX276*AX171+AY276*AY171+AZ276*AZ171+BA276*BA171+BB276*BB171+BC276*BC171+BD276*BD171+BE276*BE171+BF276*BF171+BG276*BG171+BH276*BH171+BI276*BI171+BJ276*BJ171+BK276*BK171+BL276*BL171+BM276*BM171+BN276*BN171+BO276*BO171+BP276*BP171+BQ276*BQ171+BR276*BR171+BS276*BS171+BT276*BT171+BU276*BU171+BV276*BV171+BW276*BW171+BX276*BX171+BY276*BY171+BZ276*BZ171+CA276*CA171+CB276*CB171+CC276*CC171+CD276*CD171+CE276*CE171+CF276*CF171+CG276*CG171+CH276*CH171+CI276*CI171+CJ276*CJ171+CK276*CK171+CL276*CL171+CM276*CM171+CN276*CN171+CO276*CO171+CP276*CP171+CQ276*CQ171+CR276*CR171+CS276*CS171</f>
        <v>0</v>
      </c>
    </row>
    <row r="172" spans="2:110" x14ac:dyDescent="0.25">
      <c r="B172" s="1565">
        <v>30</v>
      </c>
      <c r="C172" s="1566" t="s">
        <v>1359</v>
      </c>
      <c r="D172" s="2449" t="s">
        <v>5498</v>
      </c>
      <c r="E172" s="1471">
        <f>-1</f>
        <v>-1</v>
      </c>
      <c r="F172" s="1471">
        <f>0</f>
        <v>0</v>
      </c>
      <c r="G172" s="1471">
        <f>0</f>
        <v>0</v>
      </c>
      <c r="H172" s="1471">
        <f>0</f>
        <v>0</v>
      </c>
      <c r="I172" s="1471">
        <f>0</f>
        <v>0</v>
      </c>
      <c r="J172" s="1471">
        <f>0</f>
        <v>0</v>
      </c>
      <c r="K172" s="1471">
        <f>0</f>
        <v>0</v>
      </c>
      <c r="L172" s="1471">
        <f>0</f>
        <v>0</v>
      </c>
      <c r="M172" s="1471">
        <f>0</f>
        <v>0</v>
      </c>
      <c r="N172" s="1471">
        <f>0</f>
        <v>0</v>
      </c>
      <c r="O172" s="1471">
        <f>1</f>
        <v>1</v>
      </c>
      <c r="P172" s="1471">
        <f>0</f>
        <v>0</v>
      </c>
      <c r="Q172" s="1471">
        <f>0</f>
        <v>0</v>
      </c>
      <c r="R172" s="1471">
        <f>0</f>
        <v>0</v>
      </c>
      <c r="S172" s="1471">
        <f>0</f>
        <v>0</v>
      </c>
      <c r="T172" s="1471">
        <f>0</f>
        <v>0</v>
      </c>
      <c r="U172" s="1471">
        <f>0</f>
        <v>0</v>
      </c>
      <c r="V172" s="1471">
        <f>0</f>
        <v>0</v>
      </c>
      <c r="W172" s="1471">
        <f>0</f>
        <v>0</v>
      </c>
      <c r="X172" s="1471">
        <f>0</f>
        <v>0</v>
      </c>
      <c r="Y172" s="1471">
        <f>0</f>
        <v>0</v>
      </c>
      <c r="Z172" s="1471">
        <f>0</f>
        <v>0</v>
      </c>
      <c r="AA172" s="1471">
        <f>0</f>
        <v>0</v>
      </c>
      <c r="AB172" s="1470">
        <f>0</f>
        <v>0</v>
      </c>
      <c r="AC172" s="1470">
        <f>0</f>
        <v>0</v>
      </c>
      <c r="AD172" s="1470">
        <f>0</f>
        <v>0</v>
      </c>
      <c r="AE172" s="1471">
        <f>0</f>
        <v>0</v>
      </c>
      <c r="AF172" s="1471">
        <f>0</f>
        <v>0</v>
      </c>
      <c r="AG172" s="1471">
        <f>0</f>
        <v>0</v>
      </c>
      <c r="AH172" s="1471">
        <f>0</f>
        <v>0</v>
      </c>
      <c r="AI172" s="1471">
        <f>0</f>
        <v>0</v>
      </c>
      <c r="AJ172" s="1471">
        <f>0</f>
        <v>0</v>
      </c>
      <c r="AK172" s="1471">
        <f>0</f>
        <v>0</v>
      </c>
      <c r="AL172" s="1471">
        <f>0</f>
        <v>0</v>
      </c>
      <c r="AM172" s="1471">
        <f>0</f>
        <v>0</v>
      </c>
      <c r="AN172" s="1470">
        <f>0</f>
        <v>0</v>
      </c>
      <c r="AO172" s="1471">
        <f>0</f>
        <v>0</v>
      </c>
      <c r="AP172" s="1471">
        <f>0</f>
        <v>0</v>
      </c>
      <c r="AQ172" s="1471">
        <f>0</f>
        <v>0</v>
      </c>
      <c r="AR172" s="1471">
        <f>0</f>
        <v>0</v>
      </c>
      <c r="AS172" s="1471">
        <f>0</f>
        <v>0</v>
      </c>
      <c r="AT172" s="1471">
        <f>0</f>
        <v>0</v>
      </c>
      <c r="AU172" s="1471">
        <f>0</f>
        <v>0</v>
      </c>
      <c r="AV172" s="2356">
        <f>i_CIT_VFA-i_CIT_PHA</f>
        <v>4.1999999999999982E-2</v>
      </c>
      <c r="AW172" s="1470">
        <f>0</f>
        <v>0</v>
      </c>
      <c r="AX172" s="1470">
        <f>0</f>
        <v>0</v>
      </c>
      <c r="AY172" s="1470">
        <f>0</f>
        <v>0</v>
      </c>
      <c r="AZ172" s="1470">
        <f>0</f>
        <v>0</v>
      </c>
      <c r="BA172" s="1470">
        <f>0</f>
        <v>0</v>
      </c>
      <c r="BB172" s="1470">
        <f>0</f>
        <v>0</v>
      </c>
      <c r="BC172" s="1471">
        <f>0</f>
        <v>0</v>
      </c>
      <c r="BD172" s="1471">
        <f>0</f>
        <v>0</v>
      </c>
      <c r="BE172" s="1471">
        <f>0</f>
        <v>0</v>
      </c>
      <c r="BF172" s="1471">
        <f>0</f>
        <v>0</v>
      </c>
      <c r="BG172" s="1471">
        <f>0</f>
        <v>0</v>
      </c>
      <c r="BH172" s="1471">
        <f>0</f>
        <v>0</v>
      </c>
      <c r="BI172" s="1471">
        <f>0</f>
        <v>0</v>
      </c>
      <c r="BJ172" s="1471">
        <f>0</f>
        <v>0</v>
      </c>
      <c r="BK172" s="1471">
        <f>0</f>
        <v>0</v>
      </c>
      <c r="BL172" s="1471">
        <f>0</f>
        <v>0</v>
      </c>
      <c r="BM172" s="1471">
        <f>0</f>
        <v>0</v>
      </c>
      <c r="BN172" s="1471">
        <f>0</f>
        <v>0</v>
      </c>
      <c r="BO172" s="1471">
        <f>0</f>
        <v>0</v>
      </c>
      <c r="BP172" s="1471">
        <f>0</f>
        <v>0</v>
      </c>
      <c r="BQ172" s="1471">
        <f>0</f>
        <v>0</v>
      </c>
      <c r="BR172" s="1471">
        <f>0</f>
        <v>0</v>
      </c>
      <c r="BS172" s="1471">
        <f>0</f>
        <v>0</v>
      </c>
      <c r="BT172" s="1471">
        <f>0</f>
        <v>0</v>
      </c>
      <c r="BU172" s="1471">
        <f>0</f>
        <v>0</v>
      </c>
      <c r="BV172" s="1471">
        <f>0</f>
        <v>0</v>
      </c>
      <c r="BW172" s="2356">
        <f>0</f>
        <v>0</v>
      </c>
      <c r="BX172" s="2356">
        <f>0</f>
        <v>0</v>
      </c>
      <c r="BY172" s="2356">
        <f>0</f>
        <v>0</v>
      </c>
      <c r="BZ172" s="2356">
        <f>0</f>
        <v>0</v>
      </c>
      <c r="CA172" s="1471">
        <f>0</f>
        <v>0</v>
      </c>
      <c r="CB172" s="1471">
        <f>0</f>
        <v>0</v>
      </c>
      <c r="CC172" s="1471">
        <f>0</f>
        <v>0</v>
      </c>
      <c r="CD172" s="1471">
        <f>0</f>
        <v>0</v>
      </c>
      <c r="CE172" s="1471">
        <f>0</f>
        <v>0</v>
      </c>
      <c r="CF172" s="1471">
        <f>0</f>
        <v>0</v>
      </c>
      <c r="CG172" s="1471">
        <f>0</f>
        <v>0</v>
      </c>
      <c r="CH172" s="1471">
        <f>0</f>
        <v>0</v>
      </c>
      <c r="CI172" s="1471">
        <f>0</f>
        <v>0</v>
      </c>
      <c r="CJ172" s="1471">
        <f>0</f>
        <v>0</v>
      </c>
      <c r="CK172" s="1471">
        <f>0</f>
        <v>0</v>
      </c>
      <c r="CL172" s="1471">
        <f>0</f>
        <v>0</v>
      </c>
      <c r="CM172" s="1471">
        <f>0</f>
        <v>0</v>
      </c>
      <c r="CN172" s="1471">
        <f>0</f>
        <v>0</v>
      </c>
      <c r="CO172" s="1471">
        <f>0</f>
        <v>0</v>
      </c>
      <c r="CP172" s="1471">
        <f>0</f>
        <v>0</v>
      </c>
      <c r="CQ172" s="1471">
        <f>0</f>
        <v>0</v>
      </c>
      <c r="CR172" s="1471">
        <f>0</f>
        <v>0</v>
      </c>
      <c r="CS172" s="1471">
        <f>0</f>
        <v>0</v>
      </c>
      <c r="CT172" s="2483">
        <f>q_GAO_PHA_T*X_CASTO*actsto_GAO_ORP*M_satSVFA_KVFA_CASTO*L_oginhXPHA_XGAO_max</f>
        <v>3.7838181114634031</v>
      </c>
      <c r="CV172" s="2502">
        <f>E266*E172+F266*F172+G266*G172+H266*H172+I266*I172+J266*J172+K266*K172+L266*L172+M266*M172+N266*N172+O266*O172+P266*P172+Q266*Q172+R266*R172+S266*S172+T266*T172+U266*U172+V266*V172+W266*W172+X266*X172+Y266*Y172+Z266*Z172+AA266*AA172+AB266*AB172+AC266*AC172+AD266*AD172+AE266*AE172+AF266*AF172+AG266*AG172+AH266*AH172+AI266*AI172+AJ266*AJ172+AK266*AK172+AL266*AL172+AM266*AM172+AN266*AN172+AO266*AO172+AP266*AP172+AQ266*AQ172+AR266*AR172+AS266*AS172+AT266*AT172+AU266*AU172+AV266*AV172+AW266*AW172+AX266*AX172+AY266*AY172+AZ266*AZ172+BA266*BA172+BB266*BB172+BC266*BC172+BD266*BD172+BE266*BE172+BF266*BF172+BG266*BG172+BH266*BH172+BI266*BI172+BJ266*BJ172+BK266*BK172+BL266*BL172+BM266*BM172+BN266*BN172+BO266*BO172+BP266*BP172+BQ266*BQ172+BR266*BR172+BS266*BS172+BT266*BT172+BU266*BU172+BV266*BV172+BW266*BW172+BX266*BX172+BY266*BY172+BZ266*BZ172+CA266*CA172+CB266*CB172+CC266*CC172+CD266*CD172+CE266*CE172+CF266*CF172+CG266*CG172+CH266*CH172+CI266*CI172+CJ266*CJ172+CK266*CK172+CL266*CL172+CM266*CM172+CN266*CN172+CO266*CO172+CP266*CP172+CQ266*CQ172+CR266*CR172+CS266*CS172</f>
        <v>0</v>
      </c>
      <c r="CW172" s="2502">
        <f>E267*E172+F267*F172+G267*G172+H267*H172+I267*I172+J267*J172+K267*K172+L267*L172+M267*M172+N267*N172+O267*O172+P267*P172+Q267*Q172+R267*R172+S267*S172+T267*T172+U267*U172+V267*V172+W267*W172+X267*X172+Y267*Y172+Z267*Z172+AA267*AA172+AB267*AB172+AC267*AC172+AD267*AD172+AE267*AE172+AF267*AF172+AG267*AG172+AH267*AH172+AI267*AI172+AJ267*AJ172+AK267*AK172+AL267*AL172+AM267*AM172+AN267*AN172+AO267*AO172+AP267*AP172+AQ267*AQ172+AR267*AR172+AS267*AS172+AT267*AT172+AU267*AU172+AV267*AV172+AW267*AW172+AX267*AX172+AY267*AY172+AZ267*AZ172+BA267*BA172+BB267*BB172+BC267*BC172+BD267*BD172+BE267*BE172+BF267*BF172+BG267*BG172+BH267*BH172+BI267*BI172+BJ267*BJ172+BK267*BK172+BL267*BL172+BM267*BM172+BN267*BN172+BO267*BO172+BP267*BP172+BQ267*BQ172+BR267*BR172+BS267*BS172+BT267*BT172+BU267*BU172+BV267*BV172+BW267*BW172+BX267*BX172+BY267*BY172+BZ267*BZ172+CA267*CA172+CB267*CB172+CC267*CC172+CD267*CD172+CE267*CE172+CF267*CF172+CG267*CG172+CH267*CH172+CI267*CI172+CJ267*CJ172+CK267*CK172+CL267*CL172+CM267*CM172+CN267*CN172+CO267*CO172+CP267*CP172+CQ267*CQ172+CR267*CR172+CS267*CS172</f>
        <v>0</v>
      </c>
      <c r="CX172" s="2503">
        <f>E268*E172+F268*F172+G268*G172+H268*H172+I268*I172+J268*J172+K268*K172+L268*L172+M268*M172+N268*N172+O268*O172+P268*P172+Q268*Q172+R268*R172+S268*S172+T268*T172+U268*U172+V268*V172+W268*W172+X268*X172+Y268*Y172+Z268*Z172+AA268*AA172+AB268*AB172+AC268*AC172+AD268*AD172+AE268*AE172+AF268*AF172+AG268*AG172+AH268*AH172+AI268*AI172+AJ268*AJ172+AK268*AK172+AL268*AL172+AM268*AM172+AN268*AN172+AO268*AO172+AP268*AP172+AQ268*AQ172+AR268*AR172+AS268*AS172+AT268*AT172+AU268*AU172+AV268*AV172+AW268*AW172+AX268*AX172+AY268*AY172+AZ268*AZ172+BA268*BA172+BB268*BB172+BC268*BC172+BD268*BD172+BE268*BE172+BF268*BF172+BG268*BG172+BH268*BH172+BI268*BI172+BJ268*BJ172+BK268*BK172+BL268*BL172+BM268*BM172+BN268*BN172+BO268*BO172+BP268*BP172+BQ268*BQ172+BR268*BR172+BS268*BS172+BT268*BT172+BU268*BU172+BV268*BV172+BW268*BW172+BX268*BX172+BY268*BY172+BZ268*BZ172+CA268*CA172+CB268*CB172+CC268*CC172+CD268*CD172+CE268*CE172+CF268*CF172+CG268*CG172+CH268*CH172+CI268*CI172+CJ268*CJ172+CK268*CK172+CL268*CL172+CM268*CM172+CN268*CN172+CO268*CO172+CP268*CP172+CQ268*CQ172+CR268*CR172+CS268*CS172</f>
        <v>0</v>
      </c>
      <c r="CY172" s="2504">
        <f>E269*E172+F269*F172+G269*G172+H269*H172+I269*I172+J269*J172+K269*K172+L269*L172+M269*M172+N269*N172+O269*O172+P269*P172+Q269*Q172+R269*R172+S269*S172+T269*T172+U269*U172+V269*V172+W269*W172+X269*X172+Y269*Y172+Z269*Z172+AA269*AA172+AB269*AB172+AC269*AC172+AD269*AD172+AE269*AE172+AF269*AF172+AG269*AG172+AH269*AH172+AI269*AI172+AJ269*AJ172+AK269*AK172+AL269*AL172+AM269*AM172+AN269*AN172+AO269*AO172+AP269*AP172+AQ269*AQ172+AR269*AR172+AS269*AS172+AT269*AT172+AU269*AU172+AV269*AV172+AW269*AW172+AX269*AX172+AY269*AY172+AZ269*AZ172+BA269*BA172+BB269*BB172+BC269*BC172+BD269*BD172+BE269*BE172+BF269*BF172+BG269*BG172+BH269*BH172+BI269*BI172+BJ269*BJ172+BK269*BK172+BL269*BL172+BM269*BM172+BN269*BN172+BO269*BO172+BP269*BP172+BQ269*BQ172+BR269*BR172+BS269*BS172+BT269*BT172+BU269*BU172+BV269*BV172+BW269*BW172+BX269*BX172+BY269*BY172+BZ269*BZ172+CA269*CA172+CB269*CB172+CC269*CC172+CD269*CD172+CE269*CE172+CF269*CF172+CG269*CG172+CH269*CH172+CI269*CI172+CJ269*CJ172+CK269*CK172+CL269*CL172+CM269*CM172+CN269*CN172+CO269*CO172+CP269*CP172+CQ269*CQ172+CR269*CR172+CS269*CS172</f>
        <v>0</v>
      </c>
      <c r="CZ172" s="2504">
        <f>E270*E172+F270*F172+G270*G172+H270*H172+I270*I172+J270*J172+K270*K172+L270*L172+M270*M172+N270*N172+O270*O172+P270*P172+Q270*Q172+R270*R172+S270*S172+T270*T172+U270*U172+V270*V172+W270*W172+X270*X172+Y270*Y172+Z270*Z172+AA270*AA172+AB270*AB172+AC270*AC172+AD270*AD172+AE270*AE172+AF270*AF172+AG270*AG172+AH270*AH172+AI270*AI172+AJ270*AJ172+AK270*AK172+AL270*AL172+AM270*AM172+AN270*AN172+AO270*AO172+AP270*AP172+AQ270*AQ172+AR270*AR172+AS270*AS172+AT270*AT172+AU270*AU172+AV270*AV172+AW270*AW172+AX270*AX172+AY270*AY172+AZ270*AZ172+BA270*BA172+BB270*BB172+BC270*BC172+BD270*BD172+BE270*BE172+BF270*BF172+BG270*BG172+BH270*BH172+BI270*BI172+BJ270*BJ172+BK270*BK172+BL270*BL172+BM270*BM172+BN270*BN172+BO270*BO172+BP270*BP172+BQ270*BQ172+BR270*BR172+BS270*BS172+BT270*BT172+BU270*BU172+BV270*BV172+BW270*BW172+BX270*BX172+BY270*BY172+BZ270*BZ172+CA270*CA172+CB270*CB172+CC270*CC172+CD270*CD172+CE270*CE172+CF270*CF172+CG270*CG172+CH270*CH172+CI270*CI172+CJ270*CJ172+CK270*CK172+CL270*CL172+CM270*CM172+CN270*CN172+CO270*CO172+CP270*CP172+CQ270*CQ172+CR270*CR172+CS270*CS172</f>
        <v>0</v>
      </c>
      <c r="DA172" s="2504">
        <f>E271*E172+F271*F172+G271*G172+H271*H172+I271*I172+J271*J172+K271*K172+L271*L172+M271*M172+N271*N172+O271*O172+P271*P172+Q271*Q172+R271*R172+S271*S172+T271*T172+U271*U172+V271*V172+W271*W172+X271*X172+Y271*Y172+Z271*Z172+AA271*AA172+AB271*AB172+AC271*AC172+AD271*AD172+AE271*AE172+AF271*AF172+AG271*AG172+AH271*AH172+AI271*AI172+AJ271*AJ172+AK271*AK172+AL271*AL172+AM271*AM172+AN271*AN172+AO271*AO172+AP271*AP172+AQ271*AQ172+AR271*AR172+AS271*AS172+AT271*AT172+AU271*AU172+AV271*AV172+AW271*AW172+AX271*AX172+AY271*AY172+AZ271*AZ172+BA271*BA172+BB271*BB172+BC271*BC172+BD271*BD172+BE271*BE172+BF271*BF172+BG271*BG172+BH271*BH172+BI271*BI172+BJ271*BJ172+BK271*BK172+BL271*BL172+BM271*BM172+BN271*BN172+BO271*BO172+BP271*BP172+BQ271*BQ172+BR271*BR172+BS271*BS172+BT271*BT172+BU271*BU172+BV271*BV172+BW271*BW172+BX271*BX172+BY271*BY172+BZ271*BZ172+CA271*CA172+CB271*CB172+CC271*CC172+CD271*CD172+CE271*CE172+CF271*CF172+CG271*CG172+CH271*CH172+CI271*CI172+CJ271*CJ172+CK271*CK172+CL271*CL172+CM271*CM172+CN271*CN172+CO271*CO172+CP271*CP172+CQ271*CQ172+CR271*CR172+CS271*CS172</f>
        <v>0</v>
      </c>
      <c r="DB172" s="2504">
        <f>E272*E172+F272*F172+G272*G172+H272*H172+I272*I172+J272*J172+K272*K172+L272*L172+M272*M172+N272*N172+O272*O172+P272*P172+Q272*Q172+R272*R172+S272*S172+T272*T172+U272*U172+V272*V172+W272*W172+X272*X172+Y272*Y172+Z272*Z172+AA272*AA172+AB272*AB172+AC272*AC172+AD272*AD172+AE272*AE172+AF272*AF172+AG272*AG172+AH272*AH172+AI272*AI172+AJ272*AJ172+AK272*AK172+AL272*AL172+AM272*AM172+AN272*AN172+AO272*AO172+AP272*AP172+AQ272*AQ172+AR272*AR172+AS272*AS172+AT272*AT172+AU272*AU172+AV272*AV172+AW272*AW172+AX272*AX172+AY272*AY172+AZ272*AZ172+BA272*BA172+BB272*BB172+BC272*BC172+BD272*BD172+BE272*BE172+BF272*BF172+BG272*BG172+BH272*BH172+BI272*BI172+BJ272*BJ172+BK272*BK172+BL272*BL172+BM272*BM172+BN272*BN172+BO272*BO172+BP272*BP172+BQ272*BQ172+BR272*BR172+BS272*BS172+BT272*BT172+BU272*BU172+BV272*BV172+BW272*BW172+BX272*BX172+BY272*BY172+BZ272*BZ172+CA272*CA172+CB272*CB172+CC272*CC172+CD272*CD172+CE272*CE172+CF272*CF172+CG272*CG172+CH272*CH172+CI272*CI172+CJ272*CJ172+CK272*CK172+CL272*CL172+CM272*CM172+CN272*CN172+CO272*CO172+CP272*CP172+CQ272*CQ172+CR272*CR172+CS272*CS172</f>
        <v>0</v>
      </c>
      <c r="DC172" s="2504">
        <f>E273*E172+F273*F172+G273*G172+H273*H172+I273*I172+J273*J172+K273*K172+L273*L172+M273*M172+N273*N172+O273*O172+P273*P172+Q273*Q172+R273*R172+S273*S172+T273*T172+U273*U172+V273*V172+W273*W172+X273*X172+Y273*Y172+Z273*Z172+AA273*AA172+AB273*AB172+AC273*AC172+AD273*AD172+AE273*AE172+AF273*AF172+AG273*AG172+AH273*AH172+AI273*AI172+AJ273*AJ172+AK273*AK172+AL273*AL172+AM273*AM172+AN273*AN172+AO273*AO172+AP273*AP172+AQ273*AQ172+AR273*AR172+AS273*AS172+AT273*AT172+AU273*AU172+AV273*AV172+AW273*AW172+AX273*AX172+AY273*AY172+AZ273*AZ172+BA273*BA172+BB273*BB172+BC273*BC172+BD273*BD172+BE273*BE172+BF273*BF172+BG273*BG172+BH273*BH172+BI273*BI172+BJ273*BJ172+BK273*BK172+BL273*BL172+BM273*BM172+BN273*BN172+BO273*BO172+BP273*BP172+BQ273*BQ172+BR273*BR172+BS273*BS172+BT273*BT172+BU273*BU172+BV273*BV172+BW273*BW172+BX273*BX172+BY273*BY172+BZ273*BZ172+CA273*CA172+CB273*CB172+CC273*CC172+CD273*CD172+CE273*CE172+CF273*CF172+CG273*CG172+CH273*CH172+CI273*CI172+CJ273*CJ172+CK273*CK172+CL273*CL172+CM273*CM172+CN273*CN172+CO273*CO172+CP273*CP172+CQ273*CQ172+CR273*CR172+CS273*CS172</f>
        <v>0</v>
      </c>
      <c r="DD172" s="2504">
        <f>E274*E172+F274*F172+G274*G172+H274*H172+I274*I172+J274*J172+K274*K172+L274*L172+M274*M172+N274*N172+O274*O172+P274*P172+Q274*Q172+R274*R172+S274*S172+T274*T172+U274*U172+V274*V172+W274*W172+X274*X172+Y274*Y172+Z274*Z172+AA274*AA172+AB274*AB172+AC274*AC172+AD274*AD172+AE274*AE172+AF274*AF172+AG274*AG172+AH274*AH172+AI274*AI172+AJ274*AJ172+AK274*AK172+AL274*AL172+AM274*AM172+AN274*AN172+AO274*AO172+AP274*AP172+AQ274*AQ172+AR274*AR172+AS274*AS172+AT274*AT172+AU274*AU172+AV274*AV172+AW274*AW172+AX274*AX172+AY274*AY172+AZ274*AZ172+BA274*BA172+BB274*BB172+BC274*BC172+BD274*BD172+BE274*BE172+BF274*BF172+BG274*BG172+BH274*BH172+BI274*BI172+BJ274*BJ172+BK274*BK172+BL274*BL172+BM274*BM172+BN274*BN172+BO274*BO172+BP274*BP172+BQ274*BQ172+BR274*BR172+BS274*BS172+BT274*BT172+BU274*BU172+BV274*BV172+BW274*BW172+BX274*BX172+BY274*BY172+BZ274*BZ172+CA274*CA172+CB274*CB172+CC274*CC172+CD274*CD172+CE274*CE172+CF274*CF172+CG274*CG172+CH274*CH172+CI274*CI172+CJ274*CJ172+CK274*CK172+CL274*CL172+CM274*CM172+CN274*CN172+CO274*CO172+CP274*CP172+CQ274*CQ172+CR274*CR172+CS274*CS172</f>
        <v>0</v>
      </c>
      <c r="DE172" s="2504">
        <f>E275*E172+F275*F172+G275*G172+H275*H172+I275*I172+J275*J172+K275*K172+L275*L172+M275*M172+N275*N172+O275*O172+P275*P172+Q275*Q172+R275*R172+S275*S172+T275*T172+U275*U172+V275*V172+W275*W172+X275*X172+Y275*Y172+Z275*Z172+AA275*AA172+AB275*AB172+AC275*AC172+AD275*AD172+AE275*AE172+AF275*AF172+AG275*AG172+AH275*AH172+AI275*AI172+AJ275*AJ172+AK275*AK172+AL275*AL172+AM275*AM172+AN275*AN172+AO275*AO172+AP275*AP172+AQ275*AQ172+AR275*AR172+AS275*AS172+AT275*AT172+AU275*AU172+AV275*AV172+AW275*AW172+AX275*AX172+AY275*AY172+AZ275*AZ172+BA275*BA172+BB275*BB172+BC275*BC172+BD275*BD172+BE275*BE172+BF275*BF172+BG275*BG172+BH275*BH172+BI275*BI172+BJ275*BJ172+BK275*BK172+BL275*BL172+BM275*BM172+BN275*BN172+BO275*BO172+BP275*BP172+BQ275*BQ172+BR275*BR172+BS275*BS172+BT275*BT172+BU275*BU172+BV275*BV172+BW275*BW172+BX275*BX172+BY275*BY172+BZ275*BZ172+CA275*CA172+CB275*CB172+CC275*CC172+CD275*CD172+CE275*CE172+CF275*CF172+CG275*CG172+CH275*CH172+CI275*CI172+CJ275*CJ172+CK275*CK172+CL275*CL172+CM275*CM172+CN275*CN172+CO275*CO172+CP275*CP172+CQ275*CQ172+CR275*CR172+CS275*CS172</f>
        <v>0</v>
      </c>
      <c r="DF172" s="2504">
        <f>E276*E172+F276*F172+G276*G172+H276*H172+I276*I172+J276*J172+K276*K172+L276*L172+M276*M172+N276*N172+O276*O172+P276*P172+Q276*Q172+R276*R172+S276*S172+T276*T172+U276*U172+V276*V172+W276*W172+X276*X172+Y276*Y172+Z276*Z172+AA276*AA172+AB276*AB172+AC276*AC172+AD276*AD172+AE276*AE172+AF276*AF172+AG276*AG172+AH276*AH172+AI276*AI172+AJ276*AJ172+AK276*AK172+AL276*AL172+AM276*AM172+AN276*AN172+AO276*AO172+AP276*AP172+AQ276*AQ172+AR276*AR172+AS276*AS172+AT276*AT172+AU276*AU172+AV276*AV172+AW276*AW172+AX276*AX172+AY276*AY172+AZ276*AZ172+BA276*BA172+BB276*BB172+BC276*BC172+BD276*BD172+BE276*BE172+BF276*BF172+BG276*BG172+BH276*BH172+BI276*BI172+BJ276*BJ172+BK276*BK172+BL276*BL172+BM276*BM172+BN276*BN172+BO276*BO172+BP276*BP172+BQ276*BQ172+BR276*BR172+BS276*BS172+BT276*BT172+BU276*BU172+BV276*BV172+BW276*BW172+BX276*BX172+BY276*BY172+BZ276*BZ172+CA276*CA172+CB276*CB172+CC276*CC172+CD276*CD172+CE276*CE172+CF276*CF172+CG276*CG172+CH276*CH172+CI276*CI172+CJ276*CJ172+CK276*CK172+CL276*CL172+CM276*CM172+CN276*CN172+CO276*CO172+CP276*CP172+CQ276*CQ172+CR276*CR172+CS276*CS172</f>
        <v>0</v>
      </c>
    </row>
    <row r="173" spans="2:110" x14ac:dyDescent="0.25">
      <c r="B173" s="1565">
        <v>31</v>
      </c>
      <c r="C173" s="1566" t="s">
        <v>1360</v>
      </c>
      <c r="D173" s="1567" t="s">
        <v>4159</v>
      </c>
      <c r="E173" s="1471">
        <f>0</f>
        <v>0</v>
      </c>
      <c r="F173" s="1471">
        <f>0</f>
        <v>0</v>
      </c>
      <c r="G173" s="1471">
        <f>0</f>
        <v>0</v>
      </c>
      <c r="H173" s="1471">
        <f>0</f>
        <v>0</v>
      </c>
      <c r="I173" s="1471">
        <f>0</f>
        <v>0</v>
      </c>
      <c r="J173" s="1471">
        <f>0</f>
        <v>0</v>
      </c>
      <c r="K173" s="1471">
        <f>0</f>
        <v>0</v>
      </c>
      <c r="L173" s="1471">
        <f>0</f>
        <v>0</v>
      </c>
      <c r="M173" s="1471">
        <f>0</f>
        <v>0</v>
      </c>
      <c r="N173" s="2355">
        <f>-X_PHA_PAO/X_STC</f>
        <v>-0.86956521739130432</v>
      </c>
      <c r="O173" s="2355">
        <f>-X_PHA_GAO/X_STC</f>
        <v>-0.13043478260869565</v>
      </c>
      <c r="P173" s="1471">
        <f>0</f>
        <v>0</v>
      </c>
      <c r="Q173" s="1471">
        <f>0</f>
        <v>0</v>
      </c>
      <c r="R173" s="1471">
        <f>0</f>
        <v>0</v>
      </c>
      <c r="S173" s="1471">
        <f>0</f>
        <v>0</v>
      </c>
      <c r="T173" s="1471">
        <f>0</f>
        <v>0</v>
      </c>
      <c r="U173" s="1471">
        <f>0</f>
        <v>0</v>
      </c>
      <c r="V173" s="1471">
        <f>0</f>
        <v>0</v>
      </c>
      <c r="W173" s="1471">
        <f>0</f>
        <v>0</v>
      </c>
      <c r="X173" s="1471">
        <f>0</f>
        <v>0</v>
      </c>
      <c r="Y173" s="1471">
        <f>0</f>
        <v>0</v>
      </c>
      <c r="Z173" s="1471">
        <f>0</f>
        <v>0</v>
      </c>
      <c r="AA173" s="1471">
        <f>0</f>
        <v>0</v>
      </c>
      <c r="AB173" s="1471">
        <f>0</f>
        <v>0</v>
      </c>
      <c r="AC173" s="1471">
        <f>0</f>
        <v>0</v>
      </c>
      <c r="AD173" s="1471">
        <f>0</f>
        <v>0</v>
      </c>
      <c r="AE173" s="1471">
        <f>0</f>
        <v>0</v>
      </c>
      <c r="AF173" s="1471">
        <f>0</f>
        <v>0</v>
      </c>
      <c r="AG173" s="1471">
        <f>0</f>
        <v>0</v>
      </c>
      <c r="AH173" s="1471">
        <f>0</f>
        <v>0</v>
      </c>
      <c r="AI173" s="1471">
        <f>0</f>
        <v>0</v>
      </c>
      <c r="AJ173" s="1471">
        <f>0</f>
        <v>0</v>
      </c>
      <c r="AK173" s="1471">
        <f>0</f>
        <v>0</v>
      </c>
      <c r="AL173" s="1471">
        <f>0</f>
        <v>0</v>
      </c>
      <c r="AM173" s="1471">
        <f>0</f>
        <v>0</v>
      </c>
      <c r="AN173" s="1470">
        <f>0</f>
        <v>0</v>
      </c>
      <c r="AO173" s="1471">
        <f>0</f>
        <v>0</v>
      </c>
      <c r="AP173" s="1471">
        <f>0</f>
        <v>0</v>
      </c>
      <c r="AQ173" s="1471">
        <f>0</f>
        <v>0</v>
      </c>
      <c r="AR173" s="1471">
        <f>0</f>
        <v>0</v>
      </c>
      <c r="AS173" s="1471">
        <f>-1</f>
        <v>-1</v>
      </c>
      <c r="AT173" s="1471">
        <f>0</f>
        <v>0</v>
      </c>
      <c r="AU173" s="1471">
        <f>0</f>
        <v>0</v>
      </c>
      <c r="AV173" s="1471">
        <f>i_CIT_STC</f>
        <v>0.33300000000000002</v>
      </c>
      <c r="AW173" s="1471">
        <f>0</f>
        <v>0</v>
      </c>
      <c r="AX173" s="1471">
        <f>0</f>
        <v>0</v>
      </c>
      <c r="AY173" s="1471">
        <f>0</f>
        <v>0</v>
      </c>
      <c r="AZ173" s="1470">
        <f>0</f>
        <v>0</v>
      </c>
      <c r="BA173" s="1470">
        <f>0</f>
        <v>0</v>
      </c>
      <c r="BB173" s="1470">
        <f>0</f>
        <v>0</v>
      </c>
      <c r="BC173" s="1471">
        <f>0</f>
        <v>0</v>
      </c>
      <c r="BD173" s="1471">
        <f>0</f>
        <v>0</v>
      </c>
      <c r="BE173" s="1471">
        <f>0</f>
        <v>0</v>
      </c>
      <c r="BF173" s="1471">
        <f>0</f>
        <v>0</v>
      </c>
      <c r="BG173" s="1471">
        <f>0</f>
        <v>0</v>
      </c>
      <c r="BH173" s="1471">
        <f>0</f>
        <v>0</v>
      </c>
      <c r="BI173" s="1471">
        <f>0</f>
        <v>0</v>
      </c>
      <c r="BJ173" s="1471">
        <f>0</f>
        <v>0</v>
      </c>
      <c r="BK173" s="1471">
        <f>0</f>
        <v>0</v>
      </c>
      <c r="BL173" s="1471">
        <f>0</f>
        <v>0</v>
      </c>
      <c r="BM173" s="1471">
        <f>0</f>
        <v>0</v>
      </c>
      <c r="BN173" s="1471">
        <f>0</f>
        <v>0</v>
      </c>
      <c r="BO173" s="1471">
        <f>0</f>
        <v>0</v>
      </c>
      <c r="BP173" s="1471">
        <f>0</f>
        <v>0</v>
      </c>
      <c r="BQ173" s="1471">
        <f>0</f>
        <v>0</v>
      </c>
      <c r="BR173" s="1471">
        <f>0</f>
        <v>0</v>
      </c>
      <c r="BS173" s="1471">
        <f>0</f>
        <v>0</v>
      </c>
      <c r="BT173" s="1471">
        <f>0</f>
        <v>0</v>
      </c>
      <c r="BU173" s="1471">
        <f>0</f>
        <v>0</v>
      </c>
      <c r="BV173" s="1471">
        <f>0</f>
        <v>0</v>
      </c>
      <c r="BW173" s="2356">
        <f>0</f>
        <v>0</v>
      </c>
      <c r="BX173" s="2356">
        <f>0</f>
        <v>0</v>
      </c>
      <c r="BY173" s="2356">
        <f>0</f>
        <v>0</v>
      </c>
      <c r="BZ173" s="2356">
        <f>0</f>
        <v>0</v>
      </c>
      <c r="CA173" s="1471">
        <f>0</f>
        <v>0</v>
      </c>
      <c r="CB173" s="1471">
        <f>0</f>
        <v>0</v>
      </c>
      <c r="CC173" s="1471">
        <f>0</f>
        <v>0</v>
      </c>
      <c r="CD173" s="1471">
        <f>0</f>
        <v>0</v>
      </c>
      <c r="CE173" s="1471">
        <f>0</f>
        <v>0</v>
      </c>
      <c r="CF173" s="1471">
        <f>0</f>
        <v>0</v>
      </c>
      <c r="CG173" s="1471">
        <f>0</f>
        <v>0</v>
      </c>
      <c r="CH173" s="1471">
        <f>0</f>
        <v>0</v>
      </c>
      <c r="CI173" s="1471">
        <f>0</f>
        <v>0</v>
      </c>
      <c r="CJ173" s="1471">
        <f>0</f>
        <v>0</v>
      </c>
      <c r="CK173" s="1471">
        <f>0</f>
        <v>0</v>
      </c>
      <c r="CL173" s="1471">
        <f>0</f>
        <v>0</v>
      </c>
      <c r="CM173" s="1471">
        <f>0</f>
        <v>0</v>
      </c>
      <c r="CN173" s="1471">
        <f>0</f>
        <v>0</v>
      </c>
      <c r="CO173" s="1471">
        <f>0</f>
        <v>0</v>
      </c>
      <c r="CP173" s="1471">
        <f>0</f>
        <v>0</v>
      </c>
      <c r="CQ173" s="1471">
        <f>0</f>
        <v>0</v>
      </c>
      <c r="CR173" s="1471">
        <f>0</f>
        <v>0</v>
      </c>
      <c r="CS173" s="1471">
        <f>0</f>
        <v>0</v>
      </c>
      <c r="CT173" s="2482">
        <f>b_STC_T*X_CASTO*M_satSO2_KO2_CASTO*M_RsatXSTC_XCASTO_KSTC</f>
        <v>10.7584363514868</v>
      </c>
      <c r="CV173" s="2502">
        <f>E266*E173+F266*F173+G266*G173+H266*H173+I266*I173+J266*J173+K266*K173+L266*L173+M266*M173+N266*N173+O266*O173+P266*P173+Q266*Q173+R266*R173+S266*S173+T266*T173+U266*U173+V266*V173+W266*W173+X266*X173+Y266*Y173+Z266*Z173+AA266*AA173+AB266*AB173+AC266*AC173+AD266*AD173+AE266*AE173+AF266*AF173+AG266*AG173+AH266*AH173+AI266*AI173+AJ266*AJ173+AK266*AK173+AL266*AL173+AM266*AM173+AN266*AN173+AO266*AO173+AP266*AP173+AQ266*AQ173+AR266*AR173+AS266*AS173+AT266*AT173+AU266*AU173+AV266*AV173+AW266*AW173+AX266*AX173+AY266*AY173+AZ266*AZ173+BA266*BA173+BB266*BB173+BC266*BC173+BD266*BD173+BE266*BE173+BF266*BF173+BG266*BG173+BH266*BH173+BI266*BI173+BJ266*BJ173+BK266*BK173+BL266*BL173+BM266*BM173+BN266*BN173+BO266*BO173+BP266*BP173+BQ266*BQ173+BR266*BR173+BS266*BS173+BT266*BT173+BU266*BU173+BV266*BV173+BW266*BW173+BX266*BX173+BY266*BY173+BZ266*BZ173+CA266*CA173+CB266*CB173+CC266*CC173+CD266*CD173+CE266*CE173+CF266*CF173+CG266*CG173+CH266*CH173+CI266*CI173+CJ266*CJ173+CK266*CK173+CL266*CL173+CM266*CM173+CN266*CN173+CO266*CO173+CP266*CP173+CQ266*CQ173+CR266*CR173+CS266*CS173</f>
        <v>0</v>
      </c>
      <c r="CW173" s="2502">
        <f>E267*E173+F267*F173+G267*G173+H267*H173+I267*I173+J267*J173+K267*K173+L267*L173+M267*M173+N267*N173+O267*O173+P267*P173+Q267*Q173+R267*R173+S267*S173+T267*T173+U267*U173+V267*V173+W267*W173+X267*X173+Y267*Y173+Z267*Z173+AA267*AA173+AB267*AB173+AC267*AC173+AD267*AD173+AE267*AE173+AF267*AF173+AG267*AG173+AH267*AH173+AI267*AI173+AJ267*AJ173+AK267*AK173+AL267*AL173+AM267*AM173+AN267*AN173+AO267*AO173+AP267*AP173+AQ267*AQ173+AR267*AR173+AS267*AS173+AT267*AT173+AU267*AU173+AV267*AV173+AW267*AW173+AX267*AX173+AY267*AY173+AZ267*AZ173+BA267*BA173+BB267*BB173+BC267*BC173+BD267*BD173+BE267*BE173+BF267*BF173+BG267*BG173+BH267*BH173+BI267*BI173+BJ267*BJ173+BK267*BK173+BL267*BL173+BM267*BM173+BN267*BN173+BO267*BO173+BP267*BP173+BQ267*BQ173+BR267*BR173+BS267*BS173+BT267*BT173+BU267*BU173+BV267*BV173+BW267*BW173+BX267*BX173+BY267*BY173+BZ267*BZ173+CA267*CA173+CB267*CB173+CC267*CC173+CD267*CD173+CE267*CE173+CF267*CF173+CG267*CG173+CH267*CH173+CI267*CI173+CJ267*CJ173+CK267*CK173+CL267*CL173+CM267*CM173+CN267*CN173+CO267*CO173+CP267*CP173+CQ267*CQ173+CR267*CR173+CS267*CS173</f>
        <v>0</v>
      </c>
      <c r="CX173" s="2503">
        <f>E268*E173+F268*F173+G268*G173+H268*H173+I268*I173+J268*J173+K268*K173+L268*L173+M268*M173+N268*N173+O268*O173+P268*P173+Q268*Q173+R268*R173+S268*S173+T268*T173+U268*U173+V268*V173+W268*W173+X268*X173+Y268*Y173+Z268*Z173+AA268*AA173+AB268*AB173+AC268*AC173+AD268*AD173+AE268*AE173+AF268*AF173+AG268*AG173+AH268*AH173+AI268*AI173+AJ268*AJ173+AK268*AK173+AL268*AL173+AM268*AM173+AN268*AN173+AO268*AO173+AP268*AP173+AQ268*AQ173+AR268*AR173+AS268*AS173+AT268*AT173+AU268*AU173+AV268*AV173+AW268*AW173+AX268*AX173+AY268*AY173+AZ268*AZ173+BA268*BA173+BB268*BB173+BC268*BC173+BD268*BD173+BE268*BE173+BF268*BF173+BG268*BG173+BH268*BH173+BI268*BI173+BJ268*BJ173+BK268*BK173+BL268*BL173+BM268*BM173+BN268*BN173+BO268*BO173+BP268*BP173+BQ268*BQ173+BR268*BR173+BS268*BS173+BT268*BT173+BU268*BU173+BV268*BV173+BW268*BW173+BX268*BX173+BY268*BY173+BZ268*BZ173+CA268*CA173+CB268*CB173+CC268*CC173+CD268*CD173+CE268*CE173+CF268*CF173+CG268*CG173+CH268*CH173+CI268*CI173+CJ268*CJ173+CK268*CK173+CL268*CL173+CM268*CM173+CN268*CN173+CO268*CO173+CP268*CP173+CQ268*CQ173+CR268*CR173+CS268*CS173</f>
        <v>0</v>
      </c>
      <c r="CY173" s="2504">
        <f>E269*E173+F269*F173+G269*G173+H269*H173+I269*I173+J269*J173+K269*K173+L269*L173+M269*M173+N269*N173+O269*O173+P269*P173+Q269*Q173+R269*R173+S269*S173+T269*T173+U269*U173+V269*V173+W269*W173+X269*X173+Y269*Y173+Z269*Z173+AA269*AA173+AB269*AB173+AC269*AC173+AD269*AD173+AE269*AE173+AF269*AF173+AG269*AG173+AH269*AH173+AI269*AI173+AJ269*AJ173+AK269*AK173+AL269*AL173+AM269*AM173+AN269*AN173+AO269*AO173+AP269*AP173+AQ269*AQ173+AR269*AR173+AS269*AS173+AT269*AT173+AU269*AU173+AV269*AV173+AW269*AW173+AX269*AX173+AY269*AY173+AZ269*AZ173+BA269*BA173+BB269*BB173+BC269*BC173+BD269*BD173+BE269*BE173+BF269*BF173+BG269*BG173+BH269*BH173+BI269*BI173+BJ269*BJ173+BK269*BK173+BL269*BL173+BM269*BM173+BN269*BN173+BO269*BO173+BP269*BP173+BQ269*BQ173+BR269*BR173+BS269*BS173+BT269*BT173+BU269*BU173+BV269*BV173+BW269*BW173+BX269*BX173+BY269*BY173+BZ269*BZ173+CA269*CA173+CB269*CB173+CC269*CC173+CD269*CD173+CE269*CE173+CF269*CF173+CG269*CG173+CH269*CH173+CI269*CI173+CJ269*CJ173+CK269*CK173+CL269*CL173+CM269*CM173+CN269*CN173+CO269*CO173+CP269*CP173+CQ269*CQ173+CR269*CR173+CS269*CS173</f>
        <v>0</v>
      </c>
      <c r="CZ173" s="2504">
        <f>E270*E173+F270*F173+G270*G173+H270*H173+I270*I173+J270*J173+K270*K173+L270*L173+M270*M173+N270*N173+O270*O173+P270*P173+Q270*Q173+R270*R173+S270*S173+T270*T173+U270*U173+V270*V173+W270*W173+X270*X173+Y270*Y173+Z270*Z173+AA270*AA173+AB270*AB173+AC270*AC173+AD270*AD173+AE270*AE173+AF270*AF173+AG270*AG173+AH270*AH173+AI270*AI173+AJ270*AJ173+AK270*AK173+AL270*AL173+AM270*AM173+AN270*AN173+AO270*AO173+AP270*AP173+AQ270*AQ173+AR270*AR173+AS270*AS173+AT270*AT173+AU270*AU173+AV270*AV173+AW270*AW173+AX270*AX173+AY270*AY173+AZ270*AZ173+BA270*BA173+BB270*BB173+BC270*BC173+BD270*BD173+BE270*BE173+BF270*BF173+BG270*BG173+BH270*BH173+BI270*BI173+BJ270*BJ173+BK270*BK173+BL270*BL173+BM270*BM173+BN270*BN173+BO270*BO173+BP270*BP173+BQ270*BQ173+BR270*BR173+BS270*BS173+BT270*BT173+BU270*BU173+BV270*BV173+BW270*BW173+BX270*BX173+BY270*BY173+BZ270*BZ173+CA270*CA173+CB270*CB173+CC270*CC173+CD270*CD173+CE270*CE173+CF270*CF173+CG270*CG173+CH270*CH173+CI270*CI173+CJ270*CJ173+CK270*CK173+CL270*CL173+CM270*CM173+CN270*CN173+CO270*CO173+CP270*CP173+CQ270*CQ173+CR270*CR173+CS270*CS173</f>
        <v>0</v>
      </c>
      <c r="DA173" s="2504">
        <f>E271*E173+F271*F173+G271*G173+H271*H173+I271*I173+J271*J173+K271*K173+L271*L173+M271*M173+N271*N173+O271*O173+P271*P173+Q271*Q173+R271*R173+S271*S173+T271*T173+U271*U173+V271*V173+W271*W173+X271*X173+Y271*Y173+Z271*Z173+AA271*AA173+AB271*AB173+AC271*AC173+AD271*AD173+AE271*AE173+AF271*AF173+AG271*AG173+AH271*AH173+AI271*AI173+AJ271*AJ173+AK271*AK173+AL271*AL173+AM271*AM173+AN271*AN173+AO271*AO173+AP271*AP173+AQ271*AQ173+AR271*AR173+AS271*AS173+AT271*AT173+AU271*AU173+AV271*AV173+AW271*AW173+AX271*AX173+AY271*AY173+AZ271*AZ173+BA271*BA173+BB271*BB173+BC271*BC173+BD271*BD173+BE271*BE173+BF271*BF173+BG271*BG173+BH271*BH173+BI271*BI173+BJ271*BJ173+BK271*BK173+BL271*BL173+BM271*BM173+BN271*BN173+BO271*BO173+BP271*BP173+BQ271*BQ173+BR271*BR173+BS271*BS173+BT271*BT173+BU271*BU173+BV271*BV173+BW271*BW173+BX271*BX173+BY271*BY173+BZ271*BZ173+CA271*CA173+CB271*CB173+CC271*CC173+CD271*CD173+CE271*CE173+CF271*CF173+CG271*CG173+CH271*CH173+CI271*CI173+CJ271*CJ173+CK271*CK173+CL271*CL173+CM271*CM173+CN271*CN173+CO271*CO173+CP271*CP173+CQ271*CQ173+CR271*CR173+CS271*CS173</f>
        <v>0</v>
      </c>
      <c r="DB173" s="2504">
        <f>E272*E173+F272*F173+G272*G173+H272*H173+I272*I173+J272*J173+K272*K173+L272*L173+M272*M173+N272*N173+O272*O173+P272*P173+Q272*Q173+R272*R173+S272*S173+T272*T173+U272*U173+V272*V173+W272*W173+X272*X173+Y272*Y173+Z272*Z173+AA272*AA173+AB272*AB173+AC272*AC173+AD272*AD173+AE272*AE173+AF272*AF173+AG272*AG173+AH272*AH173+AI272*AI173+AJ272*AJ173+AK272*AK173+AL272*AL173+AM272*AM173+AN272*AN173+AO272*AO173+AP272*AP173+AQ272*AQ173+AR272*AR173+AS272*AS173+AT272*AT173+AU272*AU173+AV272*AV173+AW272*AW173+AX272*AX173+AY272*AY173+AZ272*AZ173+BA272*BA173+BB272*BB173+BC272*BC173+BD272*BD173+BE272*BE173+BF272*BF173+BG272*BG173+BH272*BH173+BI272*BI173+BJ272*BJ173+BK272*BK173+BL272*BL173+BM272*BM173+BN272*BN173+BO272*BO173+BP272*BP173+BQ272*BQ173+BR272*BR173+BS272*BS173+BT272*BT173+BU272*BU173+BV272*BV173+BW272*BW173+BX272*BX173+BY272*BY173+BZ272*BZ173+CA272*CA173+CB272*CB173+CC272*CC173+CD272*CD173+CE272*CE173+CF272*CF173+CG272*CG173+CH272*CH173+CI272*CI173+CJ272*CJ173+CK272*CK173+CL272*CL173+CM272*CM173+CN272*CN173+CO272*CO173+CP272*CP173+CQ272*CQ173+CR272*CR173+CS272*CS173</f>
        <v>0</v>
      </c>
      <c r="DC173" s="2504">
        <f>E273*E173+F273*F173+G273*G173+H273*H173+I273*I173+J273*J173+K273*K173+L273*L173+M273*M173+N273*N173+O273*O173+P273*P173+Q273*Q173+R273*R173+S273*S173+T273*T173+U273*U173+V273*V173+W273*W173+X273*X173+Y273*Y173+Z273*Z173+AA273*AA173+AB273*AB173+AC273*AC173+AD273*AD173+AE273*AE173+AF273*AF173+AG273*AG173+AH273*AH173+AI273*AI173+AJ273*AJ173+AK273*AK173+AL273*AL173+AM273*AM173+AN273*AN173+AO273*AO173+AP273*AP173+AQ273*AQ173+AR273*AR173+AS273*AS173+AT273*AT173+AU273*AU173+AV273*AV173+AW273*AW173+AX273*AX173+AY273*AY173+AZ273*AZ173+BA273*BA173+BB273*BB173+BC273*BC173+BD273*BD173+BE273*BE173+BF273*BF173+BG273*BG173+BH273*BH173+BI273*BI173+BJ273*BJ173+BK273*BK173+BL273*BL173+BM273*BM173+BN273*BN173+BO273*BO173+BP273*BP173+BQ273*BQ173+BR273*BR173+BS273*BS173+BT273*BT173+BU273*BU173+BV273*BV173+BW273*BW173+BX273*BX173+BY273*BY173+BZ273*BZ173+CA273*CA173+CB273*CB173+CC273*CC173+CD273*CD173+CE273*CE173+CF273*CF173+CG273*CG173+CH273*CH173+CI273*CI173+CJ273*CJ173+CK273*CK173+CL273*CL173+CM273*CM173+CN273*CN173+CO273*CO173+CP273*CP173+CQ273*CQ173+CR273*CR173+CS273*CS173</f>
        <v>0</v>
      </c>
      <c r="DD173" s="2504">
        <f>E274*E173+F274*F173+G274*G173+H274*H173+I274*I173+J274*J173+K274*K173+L274*L173+M274*M173+N274*N173+O274*O173+P274*P173+Q274*Q173+R274*R173+S274*S173+T274*T173+U274*U173+V274*V173+W274*W173+X274*X173+Y274*Y173+Z274*Z173+AA274*AA173+AB274*AB173+AC274*AC173+AD274*AD173+AE274*AE173+AF274*AF173+AG274*AG173+AH274*AH173+AI274*AI173+AJ274*AJ173+AK274*AK173+AL274*AL173+AM274*AM173+AN274*AN173+AO274*AO173+AP274*AP173+AQ274*AQ173+AR274*AR173+AS274*AS173+AT274*AT173+AU274*AU173+AV274*AV173+AW274*AW173+AX274*AX173+AY274*AY173+AZ274*AZ173+BA274*BA173+BB274*BB173+BC274*BC173+BD274*BD173+BE274*BE173+BF274*BF173+BG274*BG173+BH274*BH173+BI274*BI173+BJ274*BJ173+BK274*BK173+BL274*BL173+BM274*BM173+BN274*BN173+BO274*BO173+BP274*BP173+BQ274*BQ173+BR274*BR173+BS274*BS173+BT274*BT173+BU274*BU173+BV274*BV173+BW274*BW173+BX274*BX173+BY274*BY173+BZ274*BZ173+CA274*CA173+CB274*CB173+CC274*CC173+CD274*CD173+CE274*CE173+CF274*CF173+CG274*CG173+CH274*CH173+CI274*CI173+CJ274*CJ173+CK274*CK173+CL274*CL173+CM274*CM173+CN274*CN173+CO274*CO173+CP274*CP173+CQ274*CQ173+CR274*CR173+CS274*CS173</f>
        <v>0</v>
      </c>
      <c r="DE173" s="2504">
        <f>E275*E173+F275*F173+G275*G173+H275*H173+I275*I173+J275*J173+K275*K173+L275*L173+M275*M173+N275*N173+O275*O173+P275*P173+Q275*Q173+R275*R173+S275*S173+T275*T173+U275*U173+V275*V173+W275*W173+X275*X173+Y275*Y173+Z275*Z173+AA275*AA173+AB275*AB173+AC275*AC173+AD275*AD173+AE275*AE173+AF275*AF173+AG275*AG173+AH275*AH173+AI275*AI173+AJ275*AJ173+AK275*AK173+AL275*AL173+AM275*AM173+AN275*AN173+AO275*AO173+AP275*AP173+AQ275*AQ173+AR275*AR173+AS275*AS173+AT275*AT173+AU275*AU173+AV275*AV173+AW275*AW173+AX275*AX173+AY275*AY173+AZ275*AZ173+BA275*BA173+BB275*BB173+BC275*BC173+BD275*BD173+BE275*BE173+BF275*BF173+BG275*BG173+BH275*BH173+BI275*BI173+BJ275*BJ173+BK275*BK173+BL275*BL173+BM275*BM173+BN275*BN173+BO275*BO173+BP275*BP173+BQ275*BQ173+BR275*BR173+BS275*BS173+BT275*BT173+BU275*BU173+BV275*BV173+BW275*BW173+BX275*BX173+BY275*BY173+BZ275*BZ173+CA275*CA173+CB275*CB173+CC275*CC173+CD275*CD173+CE275*CE173+CF275*CF173+CG275*CG173+CH275*CH173+CI275*CI173+CJ275*CJ173+CK275*CK173+CL275*CL173+CM275*CM173+CN275*CN173+CO275*CO173+CP275*CP173+CQ275*CQ173+CR275*CR173+CS275*CS173</f>
        <v>0</v>
      </c>
      <c r="DF173" s="2504">
        <f>E276*E173+F276*F173+G276*G173+H276*H173+I276*I173+J276*J173+K276*K173+L276*L173+M276*M173+N276*N173+O276*O173+P276*P173+Q276*Q173+R276*R173+S276*S173+T276*T173+U276*U173+V276*V173+W276*W173+X276*X173+Y276*Y173+Z276*Z173+AA276*AA173+AB276*AB173+AC276*AC173+AD276*AD173+AE276*AE173+AF276*AF173+AG276*AG173+AH276*AH173+AI276*AI173+AJ276*AJ173+AK276*AK173+AL276*AL173+AM276*AM173+AN276*AN173+AO276*AO173+AP276*AP173+AQ276*AQ173+AR276*AR173+AS276*AS173+AT276*AT173+AU276*AU173+AV276*AV173+AW276*AW173+AX276*AX173+AY276*AY173+AZ276*AZ173+BA276*BA173+BB276*BB173+BC276*BC173+BD276*BD173+BE276*BE173+BF276*BF173+BG276*BG173+BH276*BH173+BI276*BI173+BJ276*BJ173+BK276*BK173+BL276*BL173+BM276*BM173+BN276*BN173+BO276*BO173+BP276*BP173+BQ276*BQ173+BR276*BR173+BS276*BS173+BT276*BT173+BU276*BU173+BV276*BV173+BW276*BW173+BX276*BX173+BY276*BY173+BZ276*BZ173+CA276*CA173+CB276*CB173+CC276*CC173+CD276*CD173+CE276*CE173+CF276*CF173+CG276*CG173+CH276*CH173+CI276*CI173+CJ276*CJ173+CK276*CK173+CL276*CL173+CM276*CM173+CN276*CN173+CO276*CO173+CP276*CP173+CQ276*CQ173+CR276*CR173+CS276*CS173</f>
        <v>0</v>
      </c>
    </row>
    <row r="174" spans="2:110" ht="18" x14ac:dyDescent="0.25">
      <c r="B174" s="1565">
        <v>32</v>
      </c>
      <c r="C174" s="1566" t="s">
        <v>253</v>
      </c>
      <c r="D174" s="1567" t="s">
        <v>4162</v>
      </c>
      <c r="E174" s="1471">
        <f>0</f>
        <v>0</v>
      </c>
      <c r="F174" s="1471">
        <f>0</f>
        <v>0</v>
      </c>
      <c r="G174" s="1471">
        <f>0</f>
        <v>0</v>
      </c>
      <c r="H174" s="1471">
        <f>0</f>
        <v>0</v>
      </c>
      <c r="I174" s="1471">
        <f>0</f>
        <v>0</v>
      </c>
      <c r="J174" s="1471">
        <f>0</f>
        <v>0</v>
      </c>
      <c r="K174" s="1471">
        <f>0</f>
        <v>0</v>
      </c>
      <c r="L174" s="1471">
        <f>0</f>
        <v>0</v>
      </c>
      <c r="M174" s="1471">
        <f>0</f>
        <v>0</v>
      </c>
      <c r="N174" s="2355">
        <f>-X_PHA_PAO/X_STC</f>
        <v>-0.86956521739130432</v>
      </c>
      <c r="O174" s="2355">
        <f>-X_PHA_GAO/X_STC</f>
        <v>-0.13043478260869565</v>
      </c>
      <c r="P174" s="1471">
        <f>0</f>
        <v>0</v>
      </c>
      <c r="Q174" s="1471">
        <f>0</f>
        <v>0</v>
      </c>
      <c r="R174" s="1471">
        <f>0</f>
        <v>0</v>
      </c>
      <c r="S174" s="1471">
        <f>0</f>
        <v>0</v>
      </c>
      <c r="T174" s="1471">
        <f>0</f>
        <v>0</v>
      </c>
      <c r="U174" s="1471">
        <f>0</f>
        <v>0</v>
      </c>
      <c r="V174" s="1471">
        <f>0</f>
        <v>0</v>
      </c>
      <c r="W174" s="1471">
        <f>0</f>
        <v>0</v>
      </c>
      <c r="X174" s="1471">
        <f>0</f>
        <v>0</v>
      </c>
      <c r="Y174" s="1471">
        <f>0</f>
        <v>0</v>
      </c>
      <c r="Z174" s="1471">
        <f>0</f>
        <v>0</v>
      </c>
      <c r="AA174" s="1471">
        <f>0</f>
        <v>0</v>
      </c>
      <c r="AB174" s="1470">
        <f>0</f>
        <v>0</v>
      </c>
      <c r="AC174" s="1470">
        <f>0</f>
        <v>0</v>
      </c>
      <c r="AD174" s="1470">
        <f>-1/E_EQN2_NO2</f>
        <v>-0.58363438628948594</v>
      </c>
      <c r="AE174" s="1471">
        <f>0</f>
        <v>0</v>
      </c>
      <c r="AF174" s="1471">
        <f>0</f>
        <v>0</v>
      </c>
      <c r="AG174" s="1471">
        <f>0</f>
        <v>0</v>
      </c>
      <c r="AH174" s="1470">
        <f>1/E_EQN2_NO2</f>
        <v>0.58363438628948594</v>
      </c>
      <c r="AI174" s="1470">
        <f>0</f>
        <v>0</v>
      </c>
      <c r="AJ174" s="1470">
        <f>0</f>
        <v>0</v>
      </c>
      <c r="AK174" s="1470">
        <f>0</f>
        <v>0</v>
      </c>
      <c r="AL174" s="1470">
        <f>0</f>
        <v>0</v>
      </c>
      <c r="AM174" s="1471">
        <f>0</f>
        <v>0</v>
      </c>
      <c r="AN174" s="1470">
        <f>0</f>
        <v>0</v>
      </c>
      <c r="AO174" s="1471">
        <f>0</f>
        <v>0</v>
      </c>
      <c r="AP174" s="1471">
        <f>0</f>
        <v>0</v>
      </c>
      <c r="AQ174" s="1471">
        <f>0</f>
        <v>0</v>
      </c>
      <c r="AR174" s="1471">
        <f>0</f>
        <v>0</v>
      </c>
      <c r="AS174" s="1471">
        <f>0</f>
        <v>0</v>
      </c>
      <c r="AT174" s="1471">
        <f>0</f>
        <v>0</v>
      </c>
      <c r="AU174" s="1471">
        <f>0</f>
        <v>0</v>
      </c>
      <c r="AV174" s="1471">
        <f>i_CIT_STC</f>
        <v>0.33300000000000002</v>
      </c>
      <c r="AW174" s="1471">
        <f>0</f>
        <v>0</v>
      </c>
      <c r="AX174" s="1471">
        <f>0</f>
        <v>0</v>
      </c>
      <c r="AY174" s="1471">
        <f>0</f>
        <v>0</v>
      </c>
      <c r="AZ174" s="1470">
        <f>0</f>
        <v>0</v>
      </c>
      <c r="BA174" s="1470">
        <f>0</f>
        <v>0</v>
      </c>
      <c r="BB174" s="1470">
        <f>0</f>
        <v>0</v>
      </c>
      <c r="BC174" s="1471">
        <f>0</f>
        <v>0</v>
      </c>
      <c r="BD174" s="1471">
        <f>0</f>
        <v>0</v>
      </c>
      <c r="BE174" s="1471">
        <f>0</f>
        <v>0</v>
      </c>
      <c r="BF174" s="1471">
        <f>0</f>
        <v>0</v>
      </c>
      <c r="BG174" s="1471">
        <f>0</f>
        <v>0</v>
      </c>
      <c r="BH174" s="1471">
        <f>0</f>
        <v>0</v>
      </c>
      <c r="BI174" s="1471">
        <f>0</f>
        <v>0</v>
      </c>
      <c r="BJ174" s="1471">
        <f>0</f>
        <v>0</v>
      </c>
      <c r="BK174" s="1471">
        <f>0</f>
        <v>0</v>
      </c>
      <c r="BL174" s="1471">
        <f>0</f>
        <v>0</v>
      </c>
      <c r="BM174" s="1471">
        <f>0</f>
        <v>0</v>
      </c>
      <c r="BN174" s="1471">
        <f>0</f>
        <v>0</v>
      </c>
      <c r="BO174" s="1471">
        <f>0</f>
        <v>0</v>
      </c>
      <c r="BP174" s="1471">
        <f>0</f>
        <v>0</v>
      </c>
      <c r="BQ174" s="1471">
        <f>0</f>
        <v>0</v>
      </c>
      <c r="BR174" s="1471">
        <f>0</f>
        <v>0</v>
      </c>
      <c r="BS174" s="1471">
        <f>0</f>
        <v>0</v>
      </c>
      <c r="BT174" s="1471">
        <f>0</f>
        <v>0</v>
      </c>
      <c r="BU174" s="1471">
        <f>0</f>
        <v>0</v>
      </c>
      <c r="BV174" s="1471">
        <f>0</f>
        <v>0</v>
      </c>
      <c r="BW174" s="2356">
        <f>0</f>
        <v>0</v>
      </c>
      <c r="BX174" s="2356">
        <f>0</f>
        <v>0</v>
      </c>
      <c r="BY174" s="2356">
        <f>0</f>
        <v>0</v>
      </c>
      <c r="BZ174" s="2356">
        <f>0</f>
        <v>0</v>
      </c>
      <c r="CA174" s="1471">
        <f>0</f>
        <v>0</v>
      </c>
      <c r="CB174" s="1471">
        <f>0</f>
        <v>0</v>
      </c>
      <c r="CC174" s="1471">
        <f>0</f>
        <v>0</v>
      </c>
      <c r="CD174" s="1471">
        <f>0</f>
        <v>0</v>
      </c>
      <c r="CE174" s="1471">
        <f>0</f>
        <v>0</v>
      </c>
      <c r="CF174" s="1471">
        <f>0</f>
        <v>0</v>
      </c>
      <c r="CG174" s="1471">
        <f>0</f>
        <v>0</v>
      </c>
      <c r="CH174" s="1471">
        <f>0</f>
        <v>0</v>
      </c>
      <c r="CI174" s="1471">
        <f>0</f>
        <v>0</v>
      </c>
      <c r="CJ174" s="1471">
        <f>0</f>
        <v>0</v>
      </c>
      <c r="CK174" s="1471">
        <f>0</f>
        <v>0</v>
      </c>
      <c r="CL174" s="1471">
        <f>0</f>
        <v>0</v>
      </c>
      <c r="CM174" s="1471">
        <f>0</f>
        <v>0</v>
      </c>
      <c r="CN174" s="1471">
        <f>0</f>
        <v>0</v>
      </c>
      <c r="CO174" s="1471">
        <f>0</f>
        <v>0</v>
      </c>
      <c r="CP174" s="1471">
        <f>0</f>
        <v>0</v>
      </c>
      <c r="CQ174" s="1471">
        <f>0</f>
        <v>0</v>
      </c>
      <c r="CR174" s="1471">
        <f>0</f>
        <v>0</v>
      </c>
      <c r="CS174" s="1471">
        <f>0</f>
        <v>0</v>
      </c>
      <c r="CT174" s="2482">
        <f>b_STC_T*η_bSTC_anox*X_CASTO*M_inhSO2_KO2_CASTO*M_satSNO2_KNO2_CASTO*M_RsatXSTC_XCASTO_KSTC</f>
        <v>0.11834279986635483</v>
      </c>
      <c r="CV174" s="2502">
        <f>E266*E174+F266*F174+G266*G174+H266*H174+I266*I174+J266*J174+K266*K174+L266*L174+M266*M174+N266*N174+O266*O174+P266*P174+Q266*Q174+R266*R174+S266*S174+T266*T174+U266*U174+V266*V174+W266*W174+X266*X174+Y266*Y174+Z266*Z174+AA266*AA174+AB266*AB174+AC266*AC174+AD266*AD174+AE266*AE174+AF266*AF174+AG266*AG174+AH266*AH174+AI266*AI174+AJ266*AJ174+AK266*AK174+AL266*AL174+AM266*AM174+AN266*AN174+AO266*AO174+AP266*AP174+AQ266*AQ174+AR266*AR174+AS266*AS174+AT266*AT174+AU266*AU174+AV266*AV174+AW266*AW174+AX266*AX174+AY266*AY174+AZ266*AZ174+BA266*BA174+BB266*BB174+BC266*BC174+BD266*BD174+BE266*BE174+BF266*BF174+BG266*BG174+BH266*BH174+BI266*BI174+BJ266*BJ174+BK266*BK174+BL266*BL174+BM266*BM174+BN266*BN174+BO266*BO174+BP266*BP174+BQ266*BQ174+BR266*BR174+BS266*BS174+BT266*BT174+BU266*BU174+BV266*BV174+BW266*BW174+BX266*BX174+BY266*BY174+BZ266*BZ174+CA266*CA174+CB266*CB174+CC266*CC174+CD266*CD174+CE266*CE174+CF266*CF174+CG266*CG174+CH266*CH174+CI266*CI174+CJ266*CJ174+CK266*CK174+CL266*CL174+CM266*CM174+CN266*CN174+CO266*CO174+CP266*CP174+CQ266*CQ174+CR266*CR174+CS266*CS174</f>
        <v>0</v>
      </c>
      <c r="CW174" s="2502">
        <f>E267*E174+F267*F174+G267*G174+H267*H174+I267*I174+J267*J174+K267*K174+L267*L174+M267*M174+N267*N174+O267*O174+P267*P174+Q267*Q174+R267*R174+S267*S174+T267*T174+U267*U174+V267*V174+W267*W174+X267*X174+Y267*Y174+Z267*Z174+AA267*AA174+AB267*AB174+AC267*AC174+AD267*AD174+AE267*AE174+AF267*AF174+AG267*AG174+AH267*AH174+AI267*AI174+AJ267*AJ174+AK267*AK174+AL267*AL174+AM267*AM174+AN267*AN174+AO267*AO174+AP267*AP174+AQ267*AQ174+AR267*AR174+AS267*AS174+AT267*AT174+AU267*AU174+AV267*AV174+AW267*AW174+AX267*AX174+AY267*AY174+AZ267*AZ174+BA267*BA174+BB267*BB174+BC267*BC174+BD267*BD174+BE267*BE174+BF267*BF174+BG267*BG174+BH267*BH174+BI267*BI174+BJ267*BJ174+BK267*BK174+BL267*BL174+BM267*BM174+BN267*BN174+BO267*BO174+BP267*BP174+BQ267*BQ174+BR267*BR174+BS267*BS174+BT267*BT174+BU267*BU174+BV267*BV174+BW267*BW174+BX267*BX174+BY267*BY174+BZ267*BZ174+CA267*CA174+CB267*CB174+CC267*CC174+CD267*CD174+CE267*CE174+CF267*CF174+CG267*CG174+CH267*CH174+CI267*CI174+CJ267*CJ174+CK267*CK174+CL267*CL174+CM267*CM174+CN267*CN174+CO267*CO174+CP267*CP174+CQ267*CQ174+CR267*CR174+CS267*CS174</f>
        <v>0</v>
      </c>
      <c r="CX174" s="2503">
        <f>E268*E174+F268*F174+G268*G174+H268*H174+I268*I174+J268*J174+K268*K174+L268*L174+M268*M174+N268*N174+O268*O174+P268*P174+Q268*Q174+R268*R174+S268*S174+T268*T174+U268*U174+V268*V174+W268*W174+X268*X174+Y268*Y174+Z268*Z174+AA268*AA174+AB268*AB174+AC268*AC174+AD268*AD174+AE268*AE174+AF268*AF174+AG268*AG174+AH268*AH174+AI268*AI174+AJ268*AJ174+AK268*AK174+AL268*AL174+AM268*AM174+AN268*AN174+AO268*AO174+AP268*AP174+AQ268*AQ174+AR268*AR174+AS268*AS174+AT268*AT174+AU268*AU174+AV268*AV174+AW268*AW174+AX268*AX174+AY268*AY174+AZ268*AZ174+BA268*BA174+BB268*BB174+BC268*BC174+BD268*BD174+BE268*BE174+BF268*BF174+BG268*BG174+BH268*BH174+BI268*BI174+BJ268*BJ174+BK268*BK174+BL268*BL174+BM268*BM174+BN268*BN174+BO268*BO174+BP268*BP174+BQ268*BQ174+BR268*BR174+BS268*BS174+BT268*BT174+BU268*BU174+BV268*BV174+BW268*BW174+BX268*BX174+BY268*BY174+BZ268*BZ174+CA268*CA174+CB268*CB174+CC268*CC174+CD268*CD174+CE268*CE174+CF268*CF174+CG268*CG174+CH268*CH174+CI268*CI174+CJ268*CJ174+CK268*CK174+CL268*CL174+CM268*CM174+CN268*CN174+CO268*CO174+CP268*CP174+CQ268*CQ174+CR268*CR174+CS268*CS174</f>
        <v>0</v>
      </c>
      <c r="CY174" s="2504">
        <f>E269*E174+F269*F174+G269*G174+H269*H174+I269*I174+J269*J174+K269*K174+L269*L174+M269*M174+N269*N174+O269*O174+P269*P174+Q269*Q174+R269*R174+S269*S174+T269*T174+U269*U174+V269*V174+W269*W174+X269*X174+Y269*Y174+Z269*Z174+AA269*AA174+AB269*AB174+AC269*AC174+AD269*AD174+AE269*AE174+AF269*AF174+AG269*AG174+AH269*AH174+AI269*AI174+AJ269*AJ174+AK269*AK174+AL269*AL174+AM269*AM174+AN269*AN174+AO269*AO174+AP269*AP174+AQ269*AQ174+AR269*AR174+AS269*AS174+AT269*AT174+AU269*AU174+AV269*AV174+AW269*AW174+AX269*AX174+AY269*AY174+AZ269*AZ174+BA269*BA174+BB269*BB174+BC269*BC174+BD269*BD174+BE269*BE174+BF269*BF174+BG269*BG174+BH269*BH174+BI269*BI174+BJ269*BJ174+BK269*BK174+BL269*BL174+BM269*BM174+BN269*BN174+BO269*BO174+BP269*BP174+BQ269*BQ174+BR269*BR174+BS269*BS174+BT269*BT174+BU269*BU174+BV269*BV174+BW269*BW174+BX269*BX174+BY269*BY174+BZ269*BZ174+CA269*CA174+CB269*CB174+CC269*CC174+CD269*CD174+CE269*CE174+CF269*CF174+CG269*CG174+CH269*CH174+CI269*CI174+CJ269*CJ174+CK269*CK174+CL269*CL174+CM269*CM174+CN269*CN174+CO269*CO174+CP269*CP174+CQ269*CQ174+CR269*CR174+CS269*CS174</f>
        <v>0</v>
      </c>
      <c r="CZ174" s="2504">
        <f>E270*E174+F270*F174+G270*G174+H270*H174+I270*I174+J270*J174+K270*K174+L270*L174+M270*M174+N270*N174+O270*O174+P270*P174+Q270*Q174+R270*R174+S270*S174+T270*T174+U270*U174+V270*V174+W270*W174+X270*X174+Y270*Y174+Z270*Z174+AA270*AA174+AB270*AB174+AC270*AC174+AD270*AD174+AE270*AE174+AF270*AF174+AG270*AG174+AH270*AH174+AI270*AI174+AJ270*AJ174+AK270*AK174+AL270*AL174+AM270*AM174+AN270*AN174+AO270*AO174+AP270*AP174+AQ270*AQ174+AR270*AR174+AS270*AS174+AT270*AT174+AU270*AU174+AV270*AV174+AW270*AW174+AX270*AX174+AY270*AY174+AZ270*AZ174+BA270*BA174+BB270*BB174+BC270*BC174+BD270*BD174+BE270*BE174+BF270*BF174+BG270*BG174+BH270*BH174+BI270*BI174+BJ270*BJ174+BK270*BK174+BL270*BL174+BM270*BM174+BN270*BN174+BO270*BO174+BP270*BP174+BQ270*BQ174+BR270*BR174+BS270*BS174+BT270*BT174+BU270*BU174+BV270*BV174+BW270*BW174+BX270*BX174+BY270*BY174+BZ270*BZ174+CA270*CA174+CB270*CB174+CC270*CC174+CD270*CD174+CE270*CE174+CF270*CF174+CG270*CG174+CH270*CH174+CI270*CI174+CJ270*CJ174+CK270*CK174+CL270*CL174+CM270*CM174+CN270*CN174+CO270*CO174+CP270*CP174+CQ270*CQ174+CR270*CR174+CS270*CS174</f>
        <v>0</v>
      </c>
      <c r="DA174" s="2504">
        <f>E271*E174+F271*F174+G271*G174+H271*H174+I271*I174+J271*J174+K271*K174+L271*L174+M271*M174+N271*N174+O271*O174+P271*P174+Q271*Q174+R271*R174+S271*S174+T271*T174+U271*U174+V271*V174+W271*W174+X271*X174+Y271*Y174+Z271*Z174+AA271*AA174+AB271*AB174+AC271*AC174+AD271*AD174+AE271*AE174+AF271*AF174+AG271*AG174+AH271*AH174+AI271*AI174+AJ271*AJ174+AK271*AK174+AL271*AL174+AM271*AM174+AN271*AN174+AO271*AO174+AP271*AP174+AQ271*AQ174+AR271*AR174+AS271*AS174+AT271*AT174+AU271*AU174+AV271*AV174+AW271*AW174+AX271*AX174+AY271*AY174+AZ271*AZ174+BA271*BA174+BB271*BB174+BC271*BC174+BD271*BD174+BE271*BE174+BF271*BF174+BG271*BG174+BH271*BH174+BI271*BI174+BJ271*BJ174+BK271*BK174+BL271*BL174+BM271*BM174+BN271*BN174+BO271*BO174+BP271*BP174+BQ271*BQ174+BR271*BR174+BS271*BS174+BT271*BT174+BU271*BU174+BV271*BV174+BW271*BW174+BX271*BX174+BY271*BY174+BZ271*BZ174+CA271*CA174+CB271*CB174+CC271*CC174+CD271*CD174+CE271*CE174+CF271*CF174+CG271*CG174+CH271*CH174+CI271*CI174+CJ271*CJ174+CK271*CK174+CL271*CL174+CM271*CM174+CN271*CN174+CO271*CO174+CP271*CP174+CQ271*CQ174+CR271*CR174+CS271*CS174</f>
        <v>0</v>
      </c>
      <c r="DB174" s="2504">
        <f>E272*E174+F272*F174+G272*G174+H272*H174+I272*I174+J272*J174+K272*K174+L272*L174+M272*M174+N272*N174+O272*O174+P272*P174+Q272*Q174+R272*R174+S272*S174+T272*T174+U272*U174+V272*V174+W272*W174+X272*X174+Y272*Y174+Z272*Z174+AA272*AA174+AB272*AB174+AC272*AC174+AD272*AD174+AE272*AE174+AF272*AF174+AG272*AG174+AH272*AH174+AI272*AI174+AJ272*AJ174+AK272*AK174+AL272*AL174+AM272*AM174+AN272*AN174+AO272*AO174+AP272*AP174+AQ272*AQ174+AR272*AR174+AS272*AS174+AT272*AT174+AU272*AU174+AV272*AV174+AW272*AW174+AX272*AX174+AY272*AY174+AZ272*AZ174+BA272*BA174+BB272*BB174+BC272*BC174+BD272*BD174+BE272*BE174+BF272*BF174+BG272*BG174+BH272*BH174+BI272*BI174+BJ272*BJ174+BK272*BK174+BL272*BL174+BM272*BM174+BN272*BN174+BO272*BO174+BP272*BP174+BQ272*BQ174+BR272*BR174+BS272*BS174+BT272*BT174+BU272*BU174+BV272*BV174+BW272*BW174+BX272*BX174+BY272*BY174+BZ272*BZ174+CA272*CA174+CB272*CB174+CC272*CC174+CD272*CD174+CE272*CE174+CF272*CF174+CG272*CG174+CH272*CH174+CI272*CI174+CJ272*CJ174+CK272*CK174+CL272*CL174+CM272*CM174+CN272*CN174+CO272*CO174+CP272*CP174+CQ272*CQ174+CR272*CR174+CS272*CS174</f>
        <v>0</v>
      </c>
      <c r="DC174" s="2504">
        <f>E273*E174+F273*F174+G273*G174+H273*H174+I273*I174+J273*J174+K273*K174+L273*L174+M273*M174+N273*N174+O273*O174+P273*P174+Q273*Q174+R273*R174+S273*S174+T273*T174+U273*U174+V273*V174+W273*W174+X273*X174+Y273*Y174+Z273*Z174+AA273*AA174+AB273*AB174+AC273*AC174+AD273*AD174+AE273*AE174+AF273*AF174+AG273*AG174+AH273*AH174+AI273*AI174+AJ273*AJ174+AK273*AK174+AL273*AL174+AM273*AM174+AN273*AN174+AO273*AO174+AP273*AP174+AQ273*AQ174+AR273*AR174+AS273*AS174+AT273*AT174+AU273*AU174+AV273*AV174+AW273*AW174+AX273*AX174+AY273*AY174+AZ273*AZ174+BA273*BA174+BB273*BB174+BC273*BC174+BD273*BD174+BE273*BE174+BF273*BF174+BG273*BG174+BH273*BH174+BI273*BI174+BJ273*BJ174+BK273*BK174+BL273*BL174+BM273*BM174+BN273*BN174+BO273*BO174+BP273*BP174+BQ273*BQ174+BR273*BR174+BS273*BS174+BT273*BT174+BU273*BU174+BV273*BV174+BW273*BW174+BX273*BX174+BY273*BY174+BZ273*BZ174+CA273*CA174+CB273*CB174+CC273*CC174+CD273*CD174+CE273*CE174+CF273*CF174+CG273*CG174+CH273*CH174+CI273*CI174+CJ273*CJ174+CK273*CK174+CL273*CL174+CM273*CM174+CN273*CN174+CO273*CO174+CP273*CP174+CQ273*CQ174+CR273*CR174+CS273*CS174</f>
        <v>0</v>
      </c>
      <c r="DD174" s="2504">
        <f>E274*E174+F274*F174+G274*G174+H274*H174+I274*I174+J274*J174+K274*K174+L274*L174+M274*M174+N274*N174+O274*O174+P274*P174+Q274*Q174+R274*R174+S274*S174+T274*T174+U274*U174+V274*V174+W274*W174+X274*X174+Y274*Y174+Z274*Z174+AA274*AA174+AB274*AB174+AC274*AC174+AD274*AD174+AE274*AE174+AF274*AF174+AG274*AG174+AH274*AH174+AI274*AI174+AJ274*AJ174+AK274*AK174+AL274*AL174+AM274*AM174+AN274*AN174+AO274*AO174+AP274*AP174+AQ274*AQ174+AR274*AR174+AS274*AS174+AT274*AT174+AU274*AU174+AV274*AV174+AW274*AW174+AX274*AX174+AY274*AY174+AZ274*AZ174+BA274*BA174+BB274*BB174+BC274*BC174+BD274*BD174+BE274*BE174+BF274*BF174+BG274*BG174+BH274*BH174+BI274*BI174+BJ274*BJ174+BK274*BK174+BL274*BL174+BM274*BM174+BN274*BN174+BO274*BO174+BP274*BP174+BQ274*BQ174+BR274*BR174+BS274*BS174+BT274*BT174+BU274*BU174+BV274*BV174+BW274*BW174+BX274*BX174+BY274*BY174+BZ274*BZ174+CA274*CA174+CB274*CB174+CC274*CC174+CD274*CD174+CE274*CE174+CF274*CF174+CG274*CG174+CH274*CH174+CI274*CI174+CJ274*CJ174+CK274*CK174+CL274*CL174+CM274*CM174+CN274*CN174+CO274*CO174+CP274*CP174+CQ274*CQ174+CR274*CR174+CS274*CS174</f>
        <v>0</v>
      </c>
      <c r="DE174" s="2504">
        <f>E275*E174+F275*F174+G275*G174+H275*H174+I275*I174+J275*J174+K275*K174+L275*L174+M275*M174+N275*N174+O275*O174+P275*P174+Q275*Q174+R275*R174+S275*S174+T275*T174+U275*U174+V275*V174+W275*W174+X275*X174+Y275*Y174+Z275*Z174+AA275*AA174+AB275*AB174+AC275*AC174+AD275*AD174+AE275*AE174+AF275*AF174+AG275*AG174+AH275*AH174+AI275*AI174+AJ275*AJ174+AK275*AK174+AL275*AL174+AM275*AM174+AN275*AN174+AO275*AO174+AP275*AP174+AQ275*AQ174+AR275*AR174+AS275*AS174+AT275*AT174+AU275*AU174+AV275*AV174+AW275*AW174+AX275*AX174+AY275*AY174+AZ275*AZ174+BA275*BA174+BB275*BB174+BC275*BC174+BD275*BD174+BE275*BE174+BF275*BF174+BG275*BG174+BH275*BH174+BI275*BI174+BJ275*BJ174+BK275*BK174+BL275*BL174+BM275*BM174+BN275*BN174+BO275*BO174+BP275*BP174+BQ275*BQ174+BR275*BR174+BS275*BS174+BT275*BT174+BU275*BU174+BV275*BV174+BW275*BW174+BX275*BX174+BY275*BY174+BZ275*BZ174+CA275*CA174+CB275*CB174+CC275*CC174+CD275*CD174+CE275*CE174+CF275*CF174+CG275*CG174+CH275*CH174+CI275*CI174+CJ275*CJ174+CK275*CK174+CL275*CL174+CM275*CM174+CN275*CN174+CO275*CO174+CP275*CP174+CQ275*CQ174+CR275*CR174+CS275*CS174</f>
        <v>0</v>
      </c>
      <c r="DF174" s="2504">
        <f>E276*E174+F276*F174+G276*G174+H276*H174+I276*I174+J276*J174+K276*K174+L276*L174+M276*M174+N276*N174+O276*O174+P276*P174+Q276*Q174+R276*R174+S276*S174+T276*T174+U276*U174+V276*V174+W276*W174+X276*X174+Y276*Y174+Z276*Z174+AA276*AA174+AB276*AB174+AC276*AC174+AD276*AD174+AE276*AE174+AF276*AF174+AG276*AG174+AH276*AH174+AI276*AI174+AJ276*AJ174+AK276*AK174+AL276*AL174+AM276*AM174+AN276*AN174+AO276*AO174+AP276*AP174+AQ276*AQ174+AR276*AR174+AS276*AS174+AT276*AT174+AU276*AU174+AV276*AV174+AW276*AW174+AX276*AX174+AY276*AY174+AZ276*AZ174+BA276*BA174+BB276*BB174+BC276*BC174+BD276*BD174+BE276*BE174+BF276*BF174+BG276*BG174+BH276*BH174+BI276*BI174+BJ276*BJ174+BK276*BK174+BL276*BL174+BM276*BM174+BN276*BN174+BO276*BO174+BP276*BP174+BQ276*BQ174+BR276*BR174+BS276*BS174+BT276*BT174+BU276*BU174+BV276*BV174+BW276*BW174+BX276*BX174+BY276*BY174+BZ276*BZ174+CA276*CA174+CB276*CB174+CC276*CC174+CD276*CD174+CE276*CE174+CF276*CF174+CG276*CG174+CH276*CH174+CI276*CI174+CJ276*CJ174+CK276*CK174+CL276*CL174+CM276*CM174+CN276*CN174+CO276*CO174+CP276*CP174+CQ276*CQ174+CR276*CR174+CS276*CS174</f>
        <v>0</v>
      </c>
    </row>
    <row r="175" spans="2:110" ht="18" x14ac:dyDescent="0.25">
      <c r="B175" s="1565">
        <v>33</v>
      </c>
      <c r="C175" s="1566" t="s">
        <v>254</v>
      </c>
      <c r="D175" s="1567" t="s">
        <v>4164</v>
      </c>
      <c r="E175" s="1471">
        <f>0</f>
        <v>0</v>
      </c>
      <c r="F175" s="1471">
        <f>0</f>
        <v>0</v>
      </c>
      <c r="G175" s="1471">
        <f>0</f>
        <v>0</v>
      </c>
      <c r="H175" s="1471">
        <f>0</f>
        <v>0</v>
      </c>
      <c r="I175" s="1471">
        <f>0</f>
        <v>0</v>
      </c>
      <c r="J175" s="1471">
        <f>0</f>
        <v>0</v>
      </c>
      <c r="K175" s="1471">
        <f>0</f>
        <v>0</v>
      </c>
      <c r="L175" s="1471">
        <f>0</f>
        <v>0</v>
      </c>
      <c r="M175" s="1471">
        <f>0</f>
        <v>0</v>
      </c>
      <c r="N175" s="2355">
        <f>-X_PHA_PAO/X_STC</f>
        <v>-0.86956521739130432</v>
      </c>
      <c r="O175" s="2355">
        <f>-X_PHA_GAO/X_STC</f>
        <v>-0.13043478260869565</v>
      </c>
      <c r="P175" s="1471">
        <f>0</f>
        <v>0</v>
      </c>
      <c r="Q175" s="1471">
        <f>0</f>
        <v>0</v>
      </c>
      <c r="R175" s="1471">
        <f>0</f>
        <v>0</v>
      </c>
      <c r="S175" s="1471">
        <f>0</f>
        <v>0</v>
      </c>
      <c r="T175" s="1471">
        <f>0</f>
        <v>0</v>
      </c>
      <c r="U175" s="1471">
        <f>0</f>
        <v>0</v>
      </c>
      <c r="V175" s="1471">
        <f>0</f>
        <v>0</v>
      </c>
      <c r="W175" s="1471">
        <f>0</f>
        <v>0</v>
      </c>
      <c r="X175" s="1471">
        <f>0</f>
        <v>0</v>
      </c>
      <c r="Y175" s="1471">
        <f>0</f>
        <v>0</v>
      </c>
      <c r="Z175" s="1471">
        <f>0</f>
        <v>0</v>
      </c>
      <c r="AA175" s="1471">
        <f>0</f>
        <v>0</v>
      </c>
      <c r="AB175" s="1470">
        <f>0</f>
        <v>0</v>
      </c>
      <c r="AC175" s="1470">
        <f>-1/E_EQNO2_NO3</f>
        <v>-0.87545157943422891</v>
      </c>
      <c r="AD175" s="1470">
        <f>1/E_EQNO2_NO3</f>
        <v>0.87545157943422891</v>
      </c>
      <c r="AE175" s="1471">
        <f>0</f>
        <v>0</v>
      </c>
      <c r="AF175" s="1471">
        <f>0</f>
        <v>0</v>
      </c>
      <c r="AG175" s="1471">
        <f>0</f>
        <v>0</v>
      </c>
      <c r="AH175" s="1470">
        <f>0</f>
        <v>0</v>
      </c>
      <c r="AI175" s="1470">
        <f>0</f>
        <v>0</v>
      </c>
      <c r="AJ175" s="1470">
        <f>0</f>
        <v>0</v>
      </c>
      <c r="AK175" s="1470">
        <f>0</f>
        <v>0</v>
      </c>
      <c r="AL175" s="1470">
        <f>0</f>
        <v>0</v>
      </c>
      <c r="AM175" s="1471">
        <f>0</f>
        <v>0</v>
      </c>
      <c r="AN175" s="1470">
        <f>0</f>
        <v>0</v>
      </c>
      <c r="AO175" s="1471">
        <f>0</f>
        <v>0</v>
      </c>
      <c r="AP175" s="1471">
        <f>0</f>
        <v>0</v>
      </c>
      <c r="AQ175" s="1471">
        <f>0</f>
        <v>0</v>
      </c>
      <c r="AR175" s="1471">
        <f>0</f>
        <v>0</v>
      </c>
      <c r="AS175" s="1471">
        <f>0</f>
        <v>0</v>
      </c>
      <c r="AT175" s="1471">
        <f>0</f>
        <v>0</v>
      </c>
      <c r="AU175" s="1471">
        <f>0</f>
        <v>0</v>
      </c>
      <c r="AV175" s="1471">
        <f>i_CIT_STC</f>
        <v>0.33300000000000002</v>
      </c>
      <c r="AW175" s="1471">
        <f>0</f>
        <v>0</v>
      </c>
      <c r="AX175" s="1471">
        <f>0</f>
        <v>0</v>
      </c>
      <c r="AY175" s="1471">
        <f>0</f>
        <v>0</v>
      </c>
      <c r="AZ175" s="1470">
        <f>0</f>
        <v>0</v>
      </c>
      <c r="BA175" s="1470">
        <f>0</f>
        <v>0</v>
      </c>
      <c r="BB175" s="1470">
        <f>0</f>
        <v>0</v>
      </c>
      <c r="BC175" s="1471">
        <f>0</f>
        <v>0</v>
      </c>
      <c r="BD175" s="1471">
        <f>0</f>
        <v>0</v>
      </c>
      <c r="BE175" s="1471">
        <f>0</f>
        <v>0</v>
      </c>
      <c r="BF175" s="1471">
        <f>0</f>
        <v>0</v>
      </c>
      <c r="BG175" s="1471">
        <f>0</f>
        <v>0</v>
      </c>
      <c r="BH175" s="1471">
        <f>0</f>
        <v>0</v>
      </c>
      <c r="BI175" s="1471">
        <f>0</f>
        <v>0</v>
      </c>
      <c r="BJ175" s="1471">
        <f>0</f>
        <v>0</v>
      </c>
      <c r="BK175" s="1471">
        <f>0</f>
        <v>0</v>
      </c>
      <c r="BL175" s="1471">
        <f>0</f>
        <v>0</v>
      </c>
      <c r="BM175" s="1471">
        <f>0</f>
        <v>0</v>
      </c>
      <c r="BN175" s="1471">
        <f>0</f>
        <v>0</v>
      </c>
      <c r="BO175" s="1471">
        <f>0</f>
        <v>0</v>
      </c>
      <c r="BP175" s="1471">
        <f>0</f>
        <v>0</v>
      </c>
      <c r="BQ175" s="1471">
        <f>0</f>
        <v>0</v>
      </c>
      <c r="BR175" s="1471">
        <f>0</f>
        <v>0</v>
      </c>
      <c r="BS175" s="1471">
        <f>0</f>
        <v>0</v>
      </c>
      <c r="BT175" s="1471">
        <f>0</f>
        <v>0</v>
      </c>
      <c r="BU175" s="1471">
        <f>0</f>
        <v>0</v>
      </c>
      <c r="BV175" s="1471">
        <f>0</f>
        <v>0</v>
      </c>
      <c r="BW175" s="2356">
        <f>0</f>
        <v>0</v>
      </c>
      <c r="BX175" s="2356">
        <f>0</f>
        <v>0</v>
      </c>
      <c r="BY175" s="2356">
        <f>0</f>
        <v>0</v>
      </c>
      <c r="BZ175" s="2356">
        <f>0</f>
        <v>0</v>
      </c>
      <c r="CA175" s="1471">
        <f>0</f>
        <v>0</v>
      </c>
      <c r="CB175" s="1471">
        <f>0</f>
        <v>0</v>
      </c>
      <c r="CC175" s="1471">
        <f>0</f>
        <v>0</v>
      </c>
      <c r="CD175" s="1471">
        <f>0</f>
        <v>0</v>
      </c>
      <c r="CE175" s="1471">
        <f>0</f>
        <v>0</v>
      </c>
      <c r="CF175" s="1471">
        <f>0</f>
        <v>0</v>
      </c>
      <c r="CG175" s="1471">
        <f>0</f>
        <v>0</v>
      </c>
      <c r="CH175" s="1471">
        <f>0</f>
        <v>0</v>
      </c>
      <c r="CI175" s="1471">
        <f>0</f>
        <v>0</v>
      </c>
      <c r="CJ175" s="1471">
        <f>0</f>
        <v>0</v>
      </c>
      <c r="CK175" s="1471">
        <f>0</f>
        <v>0</v>
      </c>
      <c r="CL175" s="1471">
        <f>0</f>
        <v>0</v>
      </c>
      <c r="CM175" s="1471">
        <f>0</f>
        <v>0</v>
      </c>
      <c r="CN175" s="1471">
        <f>0</f>
        <v>0</v>
      </c>
      <c r="CO175" s="1471">
        <f>0</f>
        <v>0</v>
      </c>
      <c r="CP175" s="1471">
        <f>0</f>
        <v>0</v>
      </c>
      <c r="CQ175" s="1471">
        <f>0</f>
        <v>0</v>
      </c>
      <c r="CR175" s="1471">
        <f>0</f>
        <v>0</v>
      </c>
      <c r="CS175" s="1471">
        <f>0</f>
        <v>0</v>
      </c>
      <c r="CT175" s="2482">
        <f>b_STC_T*η_bSTC_anox*X_CASTO*M_inhSO2_KO2_CASTO*M_satSNO3_KNO3_CASTO*M_inhSNO2_KNO2_CASTO*M_RsatXSTC_XCASTO_KSTC</f>
        <v>5.8011176405075908E-2</v>
      </c>
      <c r="CV175" s="2502">
        <f>E266*E175+F266*F175+G266*G175+H266*H175+I266*I175+J266*J175+K266*K175+L266*L175+M266*M175+N266*N175+O266*O175+P266*P175+Q266*Q175+R266*R175+S266*S175+T266*T175+U266*U175+V266*V175+W266*W175+X266*X175+Y266*Y175+Z266*Z175+AA266*AA175+AB266*AB175+AC266*AC175+AD266*AD175+AE266*AE175+AF266*AF175+AG266*AG175+AH266*AH175+AI266*AI175+AJ266*AJ175+AK266*AK175+AL266*AL175+AM266*AM175+AN266*AN175+AO266*AO175+AP266*AP175+AQ266*AQ175+AR266*AR175+AS266*AS175+AT266*AT175+AU266*AU175+AV266*AV175+AW266*AW175+AX266*AX175+AY266*AY175+AZ266*AZ175+BA266*BA175+BB266*BB175+BC266*BC175+BD266*BD175+BE266*BE175+BF266*BF175+BG266*BG175+BH266*BH175+BI266*BI175+BJ266*BJ175+BK266*BK175+BL266*BL175+BM266*BM175+BN266*BN175+BO266*BO175+BP266*BP175+BQ266*BQ175+BR266*BR175+BS266*BS175+BT266*BT175+BU266*BU175+BV266*BV175+BW266*BW175+BX266*BX175+BY266*BY175+BZ266*BZ175+CA266*CA175+CB266*CB175+CC266*CC175+CD266*CD175+CE266*CE175+CF266*CF175+CG266*CG175+CH266*CH175+CI266*CI175+CJ266*CJ175+CK266*CK175+CL266*CL175+CM266*CM175+CN266*CN175+CO266*CO175+CP266*CP175+CQ266*CQ175+CR266*CR175+CS266*CS175</f>
        <v>0</v>
      </c>
      <c r="CW175" s="2502">
        <f>E267*E175+F267*F175+G267*G175+H267*H175+I267*I175+J267*J175+K267*K175+L267*L175+M267*M175+N267*N175+O267*O175+P267*P175+Q267*Q175+R267*R175+S267*S175+T267*T175+U267*U175+V267*V175+W267*W175+X267*X175+Y267*Y175+Z267*Z175+AA267*AA175+AB267*AB175+AC267*AC175+AD267*AD175+AE267*AE175+AF267*AF175+AG267*AG175+AH267*AH175+AI267*AI175+AJ267*AJ175+AK267*AK175+AL267*AL175+AM267*AM175+AN267*AN175+AO267*AO175+AP267*AP175+AQ267*AQ175+AR267*AR175+AS267*AS175+AT267*AT175+AU267*AU175+AV267*AV175+AW267*AW175+AX267*AX175+AY267*AY175+AZ267*AZ175+BA267*BA175+BB267*BB175+BC267*BC175+BD267*BD175+BE267*BE175+BF267*BF175+BG267*BG175+BH267*BH175+BI267*BI175+BJ267*BJ175+BK267*BK175+BL267*BL175+BM267*BM175+BN267*BN175+BO267*BO175+BP267*BP175+BQ267*BQ175+BR267*BR175+BS267*BS175+BT267*BT175+BU267*BU175+BV267*BV175+BW267*BW175+BX267*BX175+BY267*BY175+BZ267*BZ175+CA267*CA175+CB267*CB175+CC267*CC175+CD267*CD175+CE267*CE175+CF267*CF175+CG267*CG175+CH267*CH175+CI267*CI175+CJ267*CJ175+CK267*CK175+CL267*CL175+CM267*CM175+CN267*CN175+CO267*CO175+CP267*CP175+CQ267*CQ175+CR267*CR175+CS267*CS175</f>
        <v>0</v>
      </c>
      <c r="CX175" s="2503">
        <f>E268*E175+F268*F175+G268*G175+H268*H175+I268*I175+J268*J175+K268*K175+L268*L175+M268*M175+N268*N175+O268*O175+P268*P175+Q268*Q175+R268*R175+S268*S175+T268*T175+U268*U175+V268*V175+W268*W175+X268*X175+Y268*Y175+Z268*Z175+AA268*AA175+AB268*AB175+AC268*AC175+AD268*AD175+AE268*AE175+AF268*AF175+AG268*AG175+AH268*AH175+AI268*AI175+AJ268*AJ175+AK268*AK175+AL268*AL175+AM268*AM175+AN268*AN175+AO268*AO175+AP268*AP175+AQ268*AQ175+AR268*AR175+AS268*AS175+AT268*AT175+AU268*AU175+AV268*AV175+AW268*AW175+AX268*AX175+AY268*AY175+AZ268*AZ175+BA268*BA175+BB268*BB175+BC268*BC175+BD268*BD175+BE268*BE175+BF268*BF175+BG268*BG175+BH268*BH175+BI268*BI175+BJ268*BJ175+BK268*BK175+BL268*BL175+BM268*BM175+BN268*BN175+BO268*BO175+BP268*BP175+BQ268*BQ175+BR268*BR175+BS268*BS175+BT268*BT175+BU268*BU175+BV268*BV175+BW268*BW175+BX268*BX175+BY268*BY175+BZ268*BZ175+CA268*CA175+CB268*CB175+CC268*CC175+CD268*CD175+CE268*CE175+CF268*CF175+CG268*CG175+CH268*CH175+CI268*CI175+CJ268*CJ175+CK268*CK175+CL268*CL175+CM268*CM175+CN268*CN175+CO268*CO175+CP268*CP175+CQ268*CQ175+CR268*CR175+CS268*CS175</f>
        <v>0</v>
      </c>
      <c r="CY175" s="2504">
        <f>E269*E175+F269*F175+G269*G175+H269*H175+I269*I175+J269*J175+K269*K175+L269*L175+M269*M175+N269*N175+O269*O175+P269*P175+Q269*Q175+R269*R175+S269*S175+T269*T175+U269*U175+V269*V175+W269*W175+X269*X175+Y269*Y175+Z269*Z175+AA269*AA175+AB269*AB175+AC269*AC175+AD269*AD175+AE269*AE175+AF269*AF175+AG269*AG175+AH269*AH175+AI269*AI175+AJ269*AJ175+AK269*AK175+AL269*AL175+AM269*AM175+AN269*AN175+AO269*AO175+AP269*AP175+AQ269*AQ175+AR269*AR175+AS269*AS175+AT269*AT175+AU269*AU175+AV269*AV175+AW269*AW175+AX269*AX175+AY269*AY175+AZ269*AZ175+BA269*BA175+BB269*BB175+BC269*BC175+BD269*BD175+BE269*BE175+BF269*BF175+BG269*BG175+BH269*BH175+BI269*BI175+BJ269*BJ175+BK269*BK175+BL269*BL175+BM269*BM175+BN269*BN175+BO269*BO175+BP269*BP175+BQ269*BQ175+BR269*BR175+BS269*BS175+BT269*BT175+BU269*BU175+BV269*BV175+BW269*BW175+BX269*BX175+BY269*BY175+BZ269*BZ175+CA269*CA175+CB269*CB175+CC269*CC175+CD269*CD175+CE269*CE175+CF269*CF175+CG269*CG175+CH269*CH175+CI269*CI175+CJ269*CJ175+CK269*CK175+CL269*CL175+CM269*CM175+CN269*CN175+CO269*CO175+CP269*CP175+CQ269*CQ175+CR269*CR175+CS269*CS175</f>
        <v>0</v>
      </c>
      <c r="CZ175" s="2504">
        <f>E270*E175+F270*F175+G270*G175+H270*H175+I270*I175+J270*J175+K270*K175+L270*L175+M270*M175+N270*N175+O270*O175+P270*P175+Q270*Q175+R270*R175+S270*S175+T270*T175+U270*U175+V270*V175+W270*W175+X270*X175+Y270*Y175+Z270*Z175+AA270*AA175+AB270*AB175+AC270*AC175+AD270*AD175+AE270*AE175+AF270*AF175+AG270*AG175+AH270*AH175+AI270*AI175+AJ270*AJ175+AK270*AK175+AL270*AL175+AM270*AM175+AN270*AN175+AO270*AO175+AP270*AP175+AQ270*AQ175+AR270*AR175+AS270*AS175+AT270*AT175+AU270*AU175+AV270*AV175+AW270*AW175+AX270*AX175+AY270*AY175+AZ270*AZ175+BA270*BA175+BB270*BB175+BC270*BC175+BD270*BD175+BE270*BE175+BF270*BF175+BG270*BG175+BH270*BH175+BI270*BI175+BJ270*BJ175+BK270*BK175+BL270*BL175+BM270*BM175+BN270*BN175+BO270*BO175+BP270*BP175+BQ270*BQ175+BR270*BR175+BS270*BS175+BT270*BT175+BU270*BU175+BV270*BV175+BW270*BW175+BX270*BX175+BY270*BY175+BZ270*BZ175+CA270*CA175+CB270*CB175+CC270*CC175+CD270*CD175+CE270*CE175+CF270*CF175+CG270*CG175+CH270*CH175+CI270*CI175+CJ270*CJ175+CK270*CK175+CL270*CL175+CM270*CM175+CN270*CN175+CO270*CO175+CP270*CP175+CQ270*CQ175+CR270*CR175+CS270*CS175</f>
        <v>0</v>
      </c>
      <c r="DA175" s="2504">
        <f>E271*E175+F271*F175+G271*G175+H271*H175+I271*I175+J271*J175+K271*K175+L271*L175+M271*M175+N271*N175+O271*O175+P271*P175+Q271*Q175+R271*R175+S271*S175+T271*T175+U271*U175+V271*V175+W271*W175+X271*X175+Y271*Y175+Z271*Z175+AA271*AA175+AB271*AB175+AC271*AC175+AD271*AD175+AE271*AE175+AF271*AF175+AG271*AG175+AH271*AH175+AI271*AI175+AJ271*AJ175+AK271*AK175+AL271*AL175+AM271*AM175+AN271*AN175+AO271*AO175+AP271*AP175+AQ271*AQ175+AR271*AR175+AS271*AS175+AT271*AT175+AU271*AU175+AV271*AV175+AW271*AW175+AX271*AX175+AY271*AY175+AZ271*AZ175+BA271*BA175+BB271*BB175+BC271*BC175+BD271*BD175+BE271*BE175+BF271*BF175+BG271*BG175+BH271*BH175+BI271*BI175+BJ271*BJ175+BK271*BK175+BL271*BL175+BM271*BM175+BN271*BN175+BO271*BO175+BP271*BP175+BQ271*BQ175+BR271*BR175+BS271*BS175+BT271*BT175+BU271*BU175+BV271*BV175+BW271*BW175+BX271*BX175+BY271*BY175+BZ271*BZ175+CA271*CA175+CB271*CB175+CC271*CC175+CD271*CD175+CE271*CE175+CF271*CF175+CG271*CG175+CH271*CH175+CI271*CI175+CJ271*CJ175+CK271*CK175+CL271*CL175+CM271*CM175+CN271*CN175+CO271*CO175+CP271*CP175+CQ271*CQ175+CR271*CR175+CS271*CS175</f>
        <v>0</v>
      </c>
      <c r="DB175" s="2504">
        <f>E272*E175+F272*F175+G272*G175+H272*H175+I272*I175+J272*J175+K272*K175+L272*L175+M272*M175+N272*N175+O272*O175+P272*P175+Q272*Q175+R272*R175+S272*S175+T272*T175+U272*U175+V272*V175+W272*W175+X272*X175+Y272*Y175+Z272*Z175+AA272*AA175+AB272*AB175+AC272*AC175+AD272*AD175+AE272*AE175+AF272*AF175+AG272*AG175+AH272*AH175+AI272*AI175+AJ272*AJ175+AK272*AK175+AL272*AL175+AM272*AM175+AN272*AN175+AO272*AO175+AP272*AP175+AQ272*AQ175+AR272*AR175+AS272*AS175+AT272*AT175+AU272*AU175+AV272*AV175+AW272*AW175+AX272*AX175+AY272*AY175+AZ272*AZ175+BA272*BA175+BB272*BB175+BC272*BC175+BD272*BD175+BE272*BE175+BF272*BF175+BG272*BG175+BH272*BH175+BI272*BI175+BJ272*BJ175+BK272*BK175+BL272*BL175+BM272*BM175+BN272*BN175+BO272*BO175+BP272*BP175+BQ272*BQ175+BR272*BR175+BS272*BS175+BT272*BT175+BU272*BU175+BV272*BV175+BW272*BW175+BX272*BX175+BY272*BY175+BZ272*BZ175+CA272*CA175+CB272*CB175+CC272*CC175+CD272*CD175+CE272*CE175+CF272*CF175+CG272*CG175+CH272*CH175+CI272*CI175+CJ272*CJ175+CK272*CK175+CL272*CL175+CM272*CM175+CN272*CN175+CO272*CO175+CP272*CP175+CQ272*CQ175+CR272*CR175+CS272*CS175</f>
        <v>0</v>
      </c>
      <c r="DC175" s="2504">
        <f>E273*E175+F273*F175+G273*G175+H273*H175+I273*I175+J273*J175+K273*K175+L273*L175+M273*M175+N273*N175+O273*O175+P273*P175+Q273*Q175+R273*R175+S273*S175+T273*T175+U273*U175+V273*V175+W273*W175+X273*X175+Y273*Y175+Z273*Z175+AA273*AA175+AB273*AB175+AC273*AC175+AD273*AD175+AE273*AE175+AF273*AF175+AG273*AG175+AH273*AH175+AI273*AI175+AJ273*AJ175+AK273*AK175+AL273*AL175+AM273*AM175+AN273*AN175+AO273*AO175+AP273*AP175+AQ273*AQ175+AR273*AR175+AS273*AS175+AT273*AT175+AU273*AU175+AV273*AV175+AW273*AW175+AX273*AX175+AY273*AY175+AZ273*AZ175+BA273*BA175+BB273*BB175+BC273*BC175+BD273*BD175+BE273*BE175+BF273*BF175+BG273*BG175+BH273*BH175+BI273*BI175+BJ273*BJ175+BK273*BK175+BL273*BL175+BM273*BM175+BN273*BN175+BO273*BO175+BP273*BP175+BQ273*BQ175+BR273*BR175+BS273*BS175+BT273*BT175+BU273*BU175+BV273*BV175+BW273*BW175+BX273*BX175+BY273*BY175+BZ273*BZ175+CA273*CA175+CB273*CB175+CC273*CC175+CD273*CD175+CE273*CE175+CF273*CF175+CG273*CG175+CH273*CH175+CI273*CI175+CJ273*CJ175+CK273*CK175+CL273*CL175+CM273*CM175+CN273*CN175+CO273*CO175+CP273*CP175+CQ273*CQ175+CR273*CR175+CS273*CS175</f>
        <v>0</v>
      </c>
      <c r="DD175" s="2504">
        <f>E274*E175+F274*F175+G274*G175+H274*H175+I274*I175+J274*J175+K274*K175+L274*L175+M274*M175+N274*N175+O274*O175+P274*P175+Q274*Q175+R274*R175+S274*S175+T274*T175+U274*U175+V274*V175+W274*W175+X274*X175+Y274*Y175+Z274*Z175+AA274*AA175+AB274*AB175+AC274*AC175+AD274*AD175+AE274*AE175+AF274*AF175+AG274*AG175+AH274*AH175+AI274*AI175+AJ274*AJ175+AK274*AK175+AL274*AL175+AM274*AM175+AN274*AN175+AO274*AO175+AP274*AP175+AQ274*AQ175+AR274*AR175+AS274*AS175+AT274*AT175+AU274*AU175+AV274*AV175+AW274*AW175+AX274*AX175+AY274*AY175+AZ274*AZ175+BA274*BA175+BB274*BB175+BC274*BC175+BD274*BD175+BE274*BE175+BF274*BF175+BG274*BG175+BH274*BH175+BI274*BI175+BJ274*BJ175+BK274*BK175+BL274*BL175+BM274*BM175+BN274*BN175+BO274*BO175+BP274*BP175+BQ274*BQ175+BR274*BR175+BS274*BS175+BT274*BT175+BU274*BU175+BV274*BV175+BW274*BW175+BX274*BX175+BY274*BY175+BZ274*BZ175+CA274*CA175+CB274*CB175+CC274*CC175+CD274*CD175+CE274*CE175+CF274*CF175+CG274*CG175+CH274*CH175+CI274*CI175+CJ274*CJ175+CK274*CK175+CL274*CL175+CM274*CM175+CN274*CN175+CO274*CO175+CP274*CP175+CQ274*CQ175+CR274*CR175+CS274*CS175</f>
        <v>0</v>
      </c>
      <c r="DE175" s="2504">
        <f>E275*E175+F275*F175+G275*G175+H275*H175+I275*I175+J275*J175+K275*K175+L275*L175+M275*M175+N275*N175+O275*O175+P275*P175+Q275*Q175+R275*R175+S275*S175+T275*T175+U275*U175+V275*V175+W275*W175+X275*X175+Y275*Y175+Z275*Z175+AA275*AA175+AB275*AB175+AC275*AC175+AD275*AD175+AE275*AE175+AF275*AF175+AG275*AG175+AH275*AH175+AI275*AI175+AJ275*AJ175+AK275*AK175+AL275*AL175+AM275*AM175+AN275*AN175+AO275*AO175+AP275*AP175+AQ275*AQ175+AR275*AR175+AS275*AS175+AT275*AT175+AU275*AU175+AV275*AV175+AW275*AW175+AX275*AX175+AY275*AY175+AZ275*AZ175+BA275*BA175+BB275*BB175+BC275*BC175+BD275*BD175+BE275*BE175+BF275*BF175+BG275*BG175+BH275*BH175+BI275*BI175+BJ275*BJ175+BK275*BK175+BL275*BL175+BM275*BM175+BN275*BN175+BO275*BO175+BP275*BP175+BQ275*BQ175+BR275*BR175+BS275*BS175+BT275*BT175+BU275*BU175+BV275*BV175+BW275*BW175+BX275*BX175+BY275*BY175+BZ275*BZ175+CA275*CA175+CB275*CB175+CC275*CC175+CD275*CD175+CE275*CE175+CF275*CF175+CG275*CG175+CH275*CH175+CI275*CI175+CJ275*CJ175+CK275*CK175+CL275*CL175+CM275*CM175+CN275*CN175+CO275*CO175+CP275*CP175+CQ275*CQ175+CR275*CR175+CS275*CS175</f>
        <v>0</v>
      </c>
      <c r="DF175" s="2504">
        <f>E276*E175+F276*F175+G276*G175+H276*H175+I276*I175+J276*J175+K276*K175+L276*L175+M276*M175+N276*N175+O276*O175+P276*P175+Q276*Q175+R276*R175+S276*S175+T276*T175+U276*U175+V276*V175+W276*W175+X276*X175+Y276*Y175+Z276*Z175+AA276*AA175+AB276*AB175+AC276*AC175+AD276*AD175+AE276*AE175+AF276*AF175+AG276*AG175+AH276*AH175+AI276*AI175+AJ276*AJ175+AK276*AK175+AL276*AL175+AM276*AM175+AN276*AN175+AO276*AO175+AP276*AP175+AQ276*AQ175+AR276*AR175+AS276*AS175+AT276*AT175+AU276*AU175+AV276*AV175+AW276*AW175+AX276*AX175+AY276*AY175+AZ276*AZ175+BA276*BA175+BB276*BB175+BC276*BC175+BD276*BD175+BE276*BE175+BF276*BF175+BG276*BG175+BH276*BH175+BI276*BI175+BJ276*BJ175+BK276*BK175+BL276*BL175+BM276*BM175+BN276*BN175+BO276*BO175+BP276*BP175+BQ276*BQ175+BR276*BR175+BS276*BS175+BT276*BT175+BU276*BU175+BV276*BV175+BW276*BW175+BX276*BX175+BY276*BY175+BZ276*BZ175+CA276*CA175+CB276*CB175+CC276*CC175+CD276*CD175+CE276*CE175+CF276*CF175+CG276*CG175+CH276*CH175+CI276*CI175+CJ276*CJ175+CK276*CK175+CL276*CL175+CM276*CM175+CN276*CN175+CO276*CO175+CP276*CP175+CQ276*CQ175+CR276*CR175+CS276*CS175</f>
        <v>0</v>
      </c>
    </row>
    <row r="176" spans="2:110" x14ac:dyDescent="0.25">
      <c r="B176" s="1565">
        <v>34</v>
      </c>
      <c r="C176" s="1566" t="s">
        <v>292</v>
      </c>
      <c r="D176" s="1567" t="s">
        <v>2174</v>
      </c>
      <c r="E176" s="1471">
        <f>1</f>
        <v>1</v>
      </c>
      <c r="F176" s="1471">
        <f>0</f>
        <v>0</v>
      </c>
      <c r="G176" s="1471">
        <f>0</f>
        <v>0</v>
      </c>
      <c r="H176" s="1471">
        <f>0</f>
        <v>0</v>
      </c>
      <c r="I176" s="1471">
        <f>0</f>
        <v>0</v>
      </c>
      <c r="J176" s="1471">
        <f>0</f>
        <v>0</v>
      </c>
      <c r="K176" s="1471">
        <f>0</f>
        <v>0</v>
      </c>
      <c r="L176" s="1471">
        <f>0</f>
        <v>0</v>
      </c>
      <c r="M176" s="1471">
        <f>0</f>
        <v>0</v>
      </c>
      <c r="N176" s="1471">
        <f>0</f>
        <v>0</v>
      </c>
      <c r="O176" s="1471">
        <f>-1</f>
        <v>-1</v>
      </c>
      <c r="P176" s="1471">
        <f>0</f>
        <v>0</v>
      </c>
      <c r="Q176" s="1471">
        <f>0</f>
        <v>0</v>
      </c>
      <c r="R176" s="1471">
        <f>0</f>
        <v>0</v>
      </c>
      <c r="S176" s="1471">
        <f>0</f>
        <v>0</v>
      </c>
      <c r="T176" s="1471">
        <f>0</f>
        <v>0</v>
      </c>
      <c r="U176" s="1471">
        <f>0</f>
        <v>0</v>
      </c>
      <c r="V176" s="1471">
        <f>0</f>
        <v>0</v>
      </c>
      <c r="W176" s="1471">
        <f>0</f>
        <v>0</v>
      </c>
      <c r="X176" s="1471">
        <f>0</f>
        <v>0</v>
      </c>
      <c r="Y176" s="1471">
        <f>0</f>
        <v>0</v>
      </c>
      <c r="Z176" s="1471">
        <f>0</f>
        <v>0</v>
      </c>
      <c r="AA176" s="1471">
        <f>0</f>
        <v>0</v>
      </c>
      <c r="AB176" s="1470">
        <f>0</f>
        <v>0</v>
      </c>
      <c r="AC176" s="1470">
        <f>0</f>
        <v>0</v>
      </c>
      <c r="AD176" s="1470">
        <f>0</f>
        <v>0</v>
      </c>
      <c r="AE176" s="1471">
        <f>0</f>
        <v>0</v>
      </c>
      <c r="AF176" s="1471">
        <f>0</f>
        <v>0</v>
      </c>
      <c r="AG176" s="1471">
        <f>0</f>
        <v>0</v>
      </c>
      <c r="AH176" s="1470">
        <f>0</f>
        <v>0</v>
      </c>
      <c r="AI176" s="1470">
        <f>0</f>
        <v>0</v>
      </c>
      <c r="AJ176" s="1470">
        <f>0</f>
        <v>0</v>
      </c>
      <c r="AK176" s="1470">
        <f>0</f>
        <v>0</v>
      </c>
      <c r="AL176" s="1470">
        <f>0</f>
        <v>0</v>
      </c>
      <c r="AM176" s="1471">
        <f>0</f>
        <v>0</v>
      </c>
      <c r="AN176" s="1470">
        <f>0</f>
        <v>0</v>
      </c>
      <c r="AO176" s="1471">
        <f>0</f>
        <v>0</v>
      </c>
      <c r="AP176" s="1471">
        <f>0</f>
        <v>0</v>
      </c>
      <c r="AQ176" s="1471">
        <f>0</f>
        <v>0</v>
      </c>
      <c r="AR176" s="1471">
        <f>0</f>
        <v>0</v>
      </c>
      <c r="AS176" s="1471">
        <f>0</f>
        <v>0</v>
      </c>
      <c r="AT176" s="1471">
        <f>0</f>
        <v>0</v>
      </c>
      <c r="AU176" s="1471">
        <f>0</f>
        <v>0</v>
      </c>
      <c r="AV176" s="2473">
        <f>i_CIT_PHA-i_CIT_VFA</f>
        <v>-4.1999999999999982E-2</v>
      </c>
      <c r="AW176" s="1470">
        <f>0</f>
        <v>0</v>
      </c>
      <c r="AX176" s="1470">
        <f>0</f>
        <v>0</v>
      </c>
      <c r="AY176" s="1470">
        <f>0</f>
        <v>0</v>
      </c>
      <c r="AZ176" s="1470">
        <f>0</f>
        <v>0</v>
      </c>
      <c r="BA176" s="1470">
        <f>0</f>
        <v>0</v>
      </c>
      <c r="BB176" s="1470">
        <f>0</f>
        <v>0</v>
      </c>
      <c r="BC176" s="1471">
        <f>0</f>
        <v>0</v>
      </c>
      <c r="BD176" s="1471">
        <f>0</f>
        <v>0</v>
      </c>
      <c r="BE176" s="1471">
        <f>0</f>
        <v>0</v>
      </c>
      <c r="BF176" s="1471">
        <f>0</f>
        <v>0</v>
      </c>
      <c r="BG176" s="1471">
        <f>0</f>
        <v>0</v>
      </c>
      <c r="BH176" s="1471">
        <f>0</f>
        <v>0</v>
      </c>
      <c r="BI176" s="1471">
        <f>0</f>
        <v>0</v>
      </c>
      <c r="BJ176" s="1471">
        <f>0</f>
        <v>0</v>
      </c>
      <c r="BK176" s="1471">
        <f>0</f>
        <v>0</v>
      </c>
      <c r="BL176" s="1471">
        <f>0</f>
        <v>0</v>
      </c>
      <c r="BM176" s="1471">
        <f>0</f>
        <v>0</v>
      </c>
      <c r="BN176" s="1471">
        <f>0</f>
        <v>0</v>
      </c>
      <c r="BO176" s="1471">
        <f>0</f>
        <v>0</v>
      </c>
      <c r="BP176" s="1471">
        <f>0</f>
        <v>0</v>
      </c>
      <c r="BQ176" s="1471">
        <f>0</f>
        <v>0</v>
      </c>
      <c r="BR176" s="1471">
        <f>0</f>
        <v>0</v>
      </c>
      <c r="BS176" s="1471">
        <f>0</f>
        <v>0</v>
      </c>
      <c r="BT176" s="1471">
        <f>0</f>
        <v>0</v>
      </c>
      <c r="BU176" s="1471">
        <f>0</f>
        <v>0</v>
      </c>
      <c r="BV176" s="1471">
        <f>0</f>
        <v>0</v>
      </c>
      <c r="BW176" s="2356">
        <f>0</f>
        <v>0</v>
      </c>
      <c r="BX176" s="2356">
        <f>0</f>
        <v>0</v>
      </c>
      <c r="BY176" s="2356">
        <f>0</f>
        <v>0</v>
      </c>
      <c r="BZ176" s="2356">
        <f>0</f>
        <v>0</v>
      </c>
      <c r="CA176" s="1471">
        <f>0</f>
        <v>0</v>
      </c>
      <c r="CB176" s="1471">
        <f>0</f>
        <v>0</v>
      </c>
      <c r="CC176" s="1471">
        <f>0</f>
        <v>0</v>
      </c>
      <c r="CD176" s="1471">
        <f>0</f>
        <v>0</v>
      </c>
      <c r="CE176" s="1471">
        <f>0</f>
        <v>0</v>
      </c>
      <c r="CF176" s="1471">
        <f>0</f>
        <v>0</v>
      </c>
      <c r="CG176" s="1471">
        <f>0</f>
        <v>0</v>
      </c>
      <c r="CH176" s="1471">
        <f>0</f>
        <v>0</v>
      </c>
      <c r="CI176" s="1471">
        <f>0</f>
        <v>0</v>
      </c>
      <c r="CJ176" s="1471">
        <f>0</f>
        <v>0</v>
      </c>
      <c r="CK176" s="1471">
        <f>0</f>
        <v>0</v>
      </c>
      <c r="CL176" s="1471">
        <f>0</f>
        <v>0</v>
      </c>
      <c r="CM176" s="1471">
        <f>0</f>
        <v>0</v>
      </c>
      <c r="CN176" s="1471">
        <f>0</f>
        <v>0</v>
      </c>
      <c r="CO176" s="1471">
        <f>0</f>
        <v>0</v>
      </c>
      <c r="CP176" s="1471">
        <f>0</f>
        <v>0</v>
      </c>
      <c r="CQ176" s="1471">
        <f>0</f>
        <v>0</v>
      </c>
      <c r="CR176" s="1471">
        <f>0</f>
        <v>0</v>
      </c>
      <c r="CS176" s="1471">
        <f>0</f>
        <v>0</v>
      </c>
      <c r="CT176" s="2483">
        <f>b_STC_T*η_bPHA_ana*X_GAO*M_inhSO2_KO2_CASTO*M_inhSNO3_KNO3_CASTO*M_inhSNO2_KNO2_CASTO*M_RsatXPHA_XGAO_KPHA</f>
        <v>3.4871672246134239E-5</v>
      </c>
      <c r="CV176" s="2502">
        <f>E266*E176+F266*F176+G266*G176+H266*H176+I266*I176+J266*J176+K266*K176+L266*L176+M266*M176+N266*N176+O266*O176+P266*P176+Q266*Q176+R266*R176+S266*S176+T266*T176+U266*U176+V266*V176+W266*W176+X266*X176+Y266*Y176+Z266*Z176+AA266*AA176+AB266*AB176+AC266*AC176+AD266*AD176+AE266*AE176+AF266*AF176+AG266*AG176+AH266*AH176+AI266*AI176+AJ266*AJ176+AK266*AK176+AL266*AL176+AM266*AM176+AN266*AN176+AO266*AO176+AP266*AP176+AQ266*AQ176+AR266*AR176+AS266*AS176+AT266*AT176+AU266*AU176+AV266*AV176+AW266*AW176+AX266*AX176+AY266*AY176+AZ266*AZ176+BA266*BA176+BB266*BB176+BC266*BC176+BD266*BD176+BE266*BE176+BF266*BF176+BG266*BG176+BH266*BH176+BI266*BI176+BJ266*BJ176+BK266*BK176+BL266*BL176+BM266*BM176+BN266*BN176+BO266*BO176+BP266*BP176+BQ266*BQ176+BR266*BR176+BS266*BS176+BT266*BT176+BU266*BU176+BV266*BV176+BW266*BW176+BX266*BX176+BY266*BY176+BZ266*BZ176+CA266*CA176+CB266*CB176+CC266*CC176+CD266*CD176+CE266*CE176+CF266*CF176+CG266*CG176+CH266*CH176+CI266*CI176+CJ266*CJ176+CK266*CK176+CL266*CL176+CM266*CM176+CN266*CN176+CO266*CO176+CP266*CP176+CQ266*CQ176+CR266*CR176+CS266*CS176</f>
        <v>0</v>
      </c>
      <c r="CW176" s="2502">
        <f>E267*E176+F267*F176+G267*G176+H267*H176+I267*I176+J267*J176+K267*K176+L267*L176+M267*M176+N267*N176+O267*O176+P267*P176+Q267*Q176+R267*R176+S267*S176+T267*T176+U267*U176+V267*V176+W267*W176+X267*X176+Y267*Y176+Z267*Z176+AA267*AA176+AB267*AB176+AC267*AC176+AD267*AD176+AE267*AE176+AF267*AF176+AG267*AG176+AH267*AH176+AI267*AI176+AJ267*AJ176+AK267*AK176+AL267*AL176+AM267*AM176+AN267*AN176+AO267*AO176+AP267*AP176+AQ267*AQ176+AR267*AR176+AS267*AS176+AT267*AT176+AU267*AU176+AV267*AV176+AW267*AW176+AX267*AX176+AY267*AY176+AZ267*AZ176+BA267*BA176+BB267*BB176+BC267*BC176+BD267*BD176+BE267*BE176+BF267*BF176+BG267*BG176+BH267*BH176+BI267*BI176+BJ267*BJ176+BK267*BK176+BL267*BL176+BM267*BM176+BN267*BN176+BO267*BO176+BP267*BP176+BQ267*BQ176+BR267*BR176+BS267*BS176+BT267*BT176+BU267*BU176+BV267*BV176+BW267*BW176+BX267*BX176+BY267*BY176+BZ267*BZ176+CA267*CA176+CB267*CB176+CC267*CC176+CD267*CD176+CE267*CE176+CF267*CF176+CG267*CG176+CH267*CH176+CI267*CI176+CJ267*CJ176+CK267*CK176+CL267*CL176+CM267*CM176+CN267*CN176+CO267*CO176+CP267*CP176+CQ267*CQ176+CR267*CR176+CS267*CS176</f>
        <v>0</v>
      </c>
      <c r="CX176" s="2503">
        <f>E268*E176+F268*F176+G268*G176+H268*H176+I268*I176+J268*J176+K268*K176+L268*L176+M268*M176+N268*N176+O268*O176+P268*P176+Q268*Q176+R268*R176+S268*S176+T268*T176+U268*U176+V268*V176+W268*W176+X268*X176+Y268*Y176+Z268*Z176+AA268*AA176+AB268*AB176+AC268*AC176+AD268*AD176+AE268*AE176+AF268*AF176+AG268*AG176+AH268*AH176+AI268*AI176+AJ268*AJ176+AK268*AK176+AL268*AL176+AM268*AM176+AN268*AN176+AO268*AO176+AP268*AP176+AQ268*AQ176+AR268*AR176+AS268*AS176+AT268*AT176+AU268*AU176+AV268*AV176+AW268*AW176+AX268*AX176+AY268*AY176+AZ268*AZ176+BA268*BA176+BB268*BB176+BC268*BC176+BD268*BD176+BE268*BE176+BF268*BF176+BG268*BG176+BH268*BH176+BI268*BI176+BJ268*BJ176+BK268*BK176+BL268*BL176+BM268*BM176+BN268*BN176+BO268*BO176+BP268*BP176+BQ268*BQ176+BR268*BR176+BS268*BS176+BT268*BT176+BU268*BU176+BV268*BV176+BW268*BW176+BX268*BX176+BY268*BY176+BZ268*BZ176+CA268*CA176+CB268*CB176+CC268*CC176+CD268*CD176+CE268*CE176+CF268*CF176+CG268*CG176+CH268*CH176+CI268*CI176+CJ268*CJ176+CK268*CK176+CL268*CL176+CM268*CM176+CN268*CN176+CO268*CO176+CP268*CP176+CQ268*CQ176+CR268*CR176+CS268*CS176</f>
        <v>0</v>
      </c>
      <c r="CY176" s="2504">
        <f>E269*E176+F269*F176+G269*G176+H269*H176+I269*I176+J269*J176+K269*K176+L269*L176+M269*M176+N269*N176+O269*O176+P269*P176+Q269*Q176+R269*R176+S269*S176+T269*T176+U269*U176+V269*V176+W269*W176+X269*X176+Y269*Y176+Z269*Z176+AA269*AA176+AB269*AB176+AC269*AC176+AD269*AD176+AE269*AE176+AF269*AF176+AG269*AG176+AH269*AH176+AI269*AI176+AJ269*AJ176+AK269*AK176+AL269*AL176+AM269*AM176+AN269*AN176+AO269*AO176+AP269*AP176+AQ269*AQ176+AR269*AR176+AS269*AS176+AT269*AT176+AU269*AU176+AV269*AV176+AW269*AW176+AX269*AX176+AY269*AY176+AZ269*AZ176+BA269*BA176+BB269*BB176+BC269*BC176+BD269*BD176+BE269*BE176+BF269*BF176+BG269*BG176+BH269*BH176+BI269*BI176+BJ269*BJ176+BK269*BK176+BL269*BL176+BM269*BM176+BN269*BN176+BO269*BO176+BP269*BP176+BQ269*BQ176+BR269*BR176+BS269*BS176+BT269*BT176+BU269*BU176+BV269*BV176+BW269*BW176+BX269*BX176+BY269*BY176+BZ269*BZ176+CA269*CA176+CB269*CB176+CC269*CC176+CD269*CD176+CE269*CE176+CF269*CF176+CG269*CG176+CH269*CH176+CI269*CI176+CJ269*CJ176+CK269*CK176+CL269*CL176+CM269*CM176+CN269*CN176+CO269*CO176+CP269*CP176+CQ269*CQ176+CR269*CR176+CS269*CS176</f>
        <v>0</v>
      </c>
      <c r="CZ176" s="2504">
        <f>E270*E176+F270*F176+G270*G176+H270*H176+I270*I176+J270*J176+K270*K176+L270*L176+M270*M176+N270*N176+O270*O176+P270*P176+Q270*Q176+R270*R176+S270*S176+T270*T176+U270*U176+V270*V176+W270*W176+X270*X176+Y270*Y176+Z270*Z176+AA270*AA176+AB270*AB176+AC270*AC176+AD270*AD176+AE270*AE176+AF270*AF176+AG270*AG176+AH270*AH176+AI270*AI176+AJ270*AJ176+AK270*AK176+AL270*AL176+AM270*AM176+AN270*AN176+AO270*AO176+AP270*AP176+AQ270*AQ176+AR270*AR176+AS270*AS176+AT270*AT176+AU270*AU176+AV270*AV176+AW270*AW176+AX270*AX176+AY270*AY176+AZ270*AZ176+BA270*BA176+BB270*BB176+BC270*BC176+BD270*BD176+BE270*BE176+BF270*BF176+BG270*BG176+BH270*BH176+BI270*BI176+BJ270*BJ176+BK270*BK176+BL270*BL176+BM270*BM176+BN270*BN176+BO270*BO176+BP270*BP176+BQ270*BQ176+BR270*BR176+BS270*BS176+BT270*BT176+BU270*BU176+BV270*BV176+BW270*BW176+BX270*BX176+BY270*BY176+BZ270*BZ176+CA270*CA176+CB270*CB176+CC270*CC176+CD270*CD176+CE270*CE176+CF270*CF176+CG270*CG176+CH270*CH176+CI270*CI176+CJ270*CJ176+CK270*CK176+CL270*CL176+CM270*CM176+CN270*CN176+CO270*CO176+CP270*CP176+CQ270*CQ176+CR270*CR176+CS270*CS176</f>
        <v>0</v>
      </c>
      <c r="DA176" s="2504">
        <f>E271*E176+F271*F176+G271*G176+H271*H176+I271*I176+J271*J176+K271*K176+L271*L176+M271*M176+N271*N176+O271*O176+P271*P176+Q271*Q176+R271*R176+S271*S176+T271*T176+U271*U176+V271*V176+W271*W176+X271*X176+Y271*Y176+Z271*Z176+AA271*AA176+AB271*AB176+AC271*AC176+AD271*AD176+AE271*AE176+AF271*AF176+AG271*AG176+AH271*AH176+AI271*AI176+AJ271*AJ176+AK271*AK176+AL271*AL176+AM271*AM176+AN271*AN176+AO271*AO176+AP271*AP176+AQ271*AQ176+AR271*AR176+AS271*AS176+AT271*AT176+AU271*AU176+AV271*AV176+AW271*AW176+AX271*AX176+AY271*AY176+AZ271*AZ176+BA271*BA176+BB271*BB176+BC271*BC176+BD271*BD176+BE271*BE176+BF271*BF176+BG271*BG176+BH271*BH176+BI271*BI176+BJ271*BJ176+BK271*BK176+BL271*BL176+BM271*BM176+BN271*BN176+BO271*BO176+BP271*BP176+BQ271*BQ176+BR271*BR176+BS271*BS176+BT271*BT176+BU271*BU176+BV271*BV176+BW271*BW176+BX271*BX176+BY271*BY176+BZ271*BZ176+CA271*CA176+CB271*CB176+CC271*CC176+CD271*CD176+CE271*CE176+CF271*CF176+CG271*CG176+CH271*CH176+CI271*CI176+CJ271*CJ176+CK271*CK176+CL271*CL176+CM271*CM176+CN271*CN176+CO271*CO176+CP271*CP176+CQ271*CQ176+CR271*CR176+CS271*CS176</f>
        <v>0</v>
      </c>
      <c r="DB176" s="2504">
        <f>E272*E176+F272*F176+G272*G176+H272*H176+I272*I176+J272*J176+K272*K176+L272*L176+M272*M176+N272*N176+O272*O176+P272*P176+Q272*Q176+R272*R176+S272*S176+T272*T176+U272*U176+V272*V176+W272*W176+X272*X176+Y272*Y176+Z272*Z176+AA272*AA176+AB272*AB176+AC272*AC176+AD272*AD176+AE272*AE176+AF272*AF176+AG272*AG176+AH272*AH176+AI272*AI176+AJ272*AJ176+AK272*AK176+AL272*AL176+AM272*AM176+AN272*AN176+AO272*AO176+AP272*AP176+AQ272*AQ176+AR272*AR176+AS272*AS176+AT272*AT176+AU272*AU176+AV272*AV176+AW272*AW176+AX272*AX176+AY272*AY176+AZ272*AZ176+BA272*BA176+BB272*BB176+BC272*BC176+BD272*BD176+BE272*BE176+BF272*BF176+BG272*BG176+BH272*BH176+BI272*BI176+BJ272*BJ176+BK272*BK176+BL272*BL176+BM272*BM176+BN272*BN176+BO272*BO176+BP272*BP176+BQ272*BQ176+BR272*BR176+BS272*BS176+BT272*BT176+BU272*BU176+BV272*BV176+BW272*BW176+BX272*BX176+BY272*BY176+BZ272*BZ176+CA272*CA176+CB272*CB176+CC272*CC176+CD272*CD176+CE272*CE176+CF272*CF176+CG272*CG176+CH272*CH176+CI272*CI176+CJ272*CJ176+CK272*CK176+CL272*CL176+CM272*CM176+CN272*CN176+CO272*CO176+CP272*CP176+CQ272*CQ176+CR272*CR176+CS272*CS176</f>
        <v>0</v>
      </c>
      <c r="DC176" s="2504">
        <f>E273*E176+F273*F176+G273*G176+H273*H176+I273*I176+J273*J176+K273*K176+L273*L176+M273*M176+N273*N176+O273*O176+P273*P176+Q273*Q176+R273*R176+S273*S176+T273*T176+U273*U176+V273*V176+W273*W176+X273*X176+Y273*Y176+Z273*Z176+AA273*AA176+AB273*AB176+AC273*AC176+AD273*AD176+AE273*AE176+AF273*AF176+AG273*AG176+AH273*AH176+AI273*AI176+AJ273*AJ176+AK273*AK176+AL273*AL176+AM273*AM176+AN273*AN176+AO273*AO176+AP273*AP176+AQ273*AQ176+AR273*AR176+AS273*AS176+AT273*AT176+AU273*AU176+AV273*AV176+AW273*AW176+AX273*AX176+AY273*AY176+AZ273*AZ176+BA273*BA176+BB273*BB176+BC273*BC176+BD273*BD176+BE273*BE176+BF273*BF176+BG273*BG176+BH273*BH176+BI273*BI176+BJ273*BJ176+BK273*BK176+BL273*BL176+BM273*BM176+BN273*BN176+BO273*BO176+BP273*BP176+BQ273*BQ176+BR273*BR176+BS273*BS176+BT273*BT176+BU273*BU176+BV273*BV176+BW273*BW176+BX273*BX176+BY273*BY176+BZ273*BZ176+CA273*CA176+CB273*CB176+CC273*CC176+CD273*CD176+CE273*CE176+CF273*CF176+CG273*CG176+CH273*CH176+CI273*CI176+CJ273*CJ176+CK273*CK176+CL273*CL176+CM273*CM176+CN273*CN176+CO273*CO176+CP273*CP176+CQ273*CQ176+CR273*CR176+CS273*CS176</f>
        <v>0</v>
      </c>
      <c r="DD176" s="2504">
        <f>E274*E176+F274*F176+G274*G176+H274*H176+I274*I176+J274*J176+K274*K176+L274*L176+M274*M176+N274*N176+O274*O176+P274*P176+Q274*Q176+R274*R176+S274*S176+T274*T176+U274*U176+V274*V176+W274*W176+X274*X176+Y274*Y176+Z274*Z176+AA274*AA176+AB274*AB176+AC274*AC176+AD274*AD176+AE274*AE176+AF274*AF176+AG274*AG176+AH274*AH176+AI274*AI176+AJ274*AJ176+AK274*AK176+AL274*AL176+AM274*AM176+AN274*AN176+AO274*AO176+AP274*AP176+AQ274*AQ176+AR274*AR176+AS274*AS176+AT274*AT176+AU274*AU176+AV274*AV176+AW274*AW176+AX274*AX176+AY274*AY176+AZ274*AZ176+BA274*BA176+BB274*BB176+BC274*BC176+BD274*BD176+BE274*BE176+BF274*BF176+BG274*BG176+BH274*BH176+BI274*BI176+BJ274*BJ176+BK274*BK176+BL274*BL176+BM274*BM176+BN274*BN176+BO274*BO176+BP274*BP176+BQ274*BQ176+BR274*BR176+BS274*BS176+BT274*BT176+BU274*BU176+BV274*BV176+BW274*BW176+BX274*BX176+BY274*BY176+BZ274*BZ176+CA274*CA176+CB274*CB176+CC274*CC176+CD274*CD176+CE274*CE176+CF274*CF176+CG274*CG176+CH274*CH176+CI274*CI176+CJ274*CJ176+CK274*CK176+CL274*CL176+CM274*CM176+CN274*CN176+CO274*CO176+CP274*CP176+CQ274*CQ176+CR274*CR176+CS274*CS176</f>
        <v>0</v>
      </c>
      <c r="DE176" s="2504">
        <f>E275*E176+F275*F176+G275*G176+H275*H176+I275*I176+J275*J176+K275*K176+L275*L176+M275*M176+N275*N176+O275*O176+P275*P176+Q275*Q176+R275*R176+S275*S176+T275*T176+U275*U176+V275*V176+W275*W176+X275*X176+Y275*Y176+Z275*Z176+AA275*AA176+AB275*AB176+AC275*AC176+AD275*AD176+AE275*AE176+AF275*AF176+AG275*AG176+AH275*AH176+AI275*AI176+AJ275*AJ176+AK275*AK176+AL275*AL176+AM275*AM176+AN275*AN176+AO275*AO176+AP275*AP176+AQ275*AQ176+AR275*AR176+AS275*AS176+AT275*AT176+AU275*AU176+AV275*AV176+AW275*AW176+AX275*AX176+AY275*AY176+AZ275*AZ176+BA275*BA176+BB275*BB176+BC275*BC176+BD275*BD176+BE275*BE176+BF275*BF176+BG275*BG176+BH275*BH176+BI275*BI176+BJ275*BJ176+BK275*BK176+BL275*BL176+BM275*BM176+BN275*BN176+BO275*BO176+BP275*BP176+BQ275*BQ176+BR275*BR176+BS275*BS176+BT275*BT176+BU275*BU176+BV275*BV176+BW275*BW176+BX275*BX176+BY275*BY176+BZ275*BZ176+CA275*CA176+CB275*CB176+CC275*CC176+CD275*CD176+CE275*CE176+CF275*CF176+CG275*CG176+CH275*CH176+CI275*CI176+CJ275*CJ176+CK275*CK176+CL275*CL176+CM275*CM176+CN275*CN176+CO275*CO176+CP275*CP176+CQ275*CQ176+CR275*CR176+CS275*CS176</f>
        <v>0</v>
      </c>
      <c r="DF176" s="2504">
        <f>E276*E176+F276*F176+G276*G176+H276*H176+I276*I176+J276*J176+K276*K176+L276*L176+M276*M176+N276*N176+O276*O176+P276*P176+Q276*Q176+R276*R176+S276*S176+T276*T176+U276*U176+V276*V176+W276*W176+X276*X176+Y276*Y176+Z276*Z176+AA276*AA176+AB276*AB176+AC276*AC176+AD276*AD176+AE276*AE176+AF276*AF176+AG276*AG176+AH276*AH176+AI276*AI176+AJ276*AJ176+AK276*AK176+AL276*AL176+AM276*AM176+AN276*AN176+AO276*AO176+AP276*AP176+AQ276*AQ176+AR276*AR176+AS276*AS176+AT276*AT176+AU276*AU176+AV276*AV176+AW276*AW176+AX276*AX176+AY276*AY176+AZ276*AZ176+BA276*BA176+BB276*BB176+BC276*BC176+BD276*BD176+BE276*BE176+BF276*BF176+BG276*BG176+BH276*BH176+BI276*BI176+BJ276*BJ176+BK276*BK176+BL276*BL176+BM276*BM176+BN276*BN176+BO276*BO176+BP276*BP176+BQ276*BQ176+BR276*BR176+BS276*BS176+BT276*BT176+BU276*BU176+BV276*BV176+BW276*BW176+BX276*BX176+BY276*BY176+BZ276*BZ176+CA276*CA176+CB276*CB176+CC276*CC176+CD276*CD176+CE276*CE176+CF276*CF176+CG276*CG176+CH276*CH176+CI276*CI176+CJ276*CJ176+CK276*CK176+CL276*CL176+CM276*CM176+CN276*CN176+CO276*CO176+CP276*CP176+CQ276*CQ176+CR276*CR176+CS276*CS176</f>
        <v>0</v>
      </c>
    </row>
    <row r="177" spans="2:110" x14ac:dyDescent="0.25">
      <c r="B177" s="1565">
        <v>35</v>
      </c>
      <c r="C177" s="1566" t="s">
        <v>298</v>
      </c>
      <c r="D177" s="1567" t="s">
        <v>2177</v>
      </c>
      <c r="E177" s="1471">
        <f>0</f>
        <v>0</v>
      </c>
      <c r="F177" s="1471">
        <f>0</f>
        <v>0</v>
      </c>
      <c r="G177" s="1471">
        <f>0</f>
        <v>0</v>
      </c>
      <c r="H177" s="1471">
        <f>0</f>
        <v>0</v>
      </c>
      <c r="I177" s="1471">
        <f>0</f>
        <v>0</v>
      </c>
      <c r="J177" s="1471">
        <f>0</f>
        <v>0</v>
      </c>
      <c r="K177" s="1471">
        <f>0</f>
        <v>0</v>
      </c>
      <c r="L177" s="1471">
        <f>0</f>
        <v>0</v>
      </c>
      <c r="M177" s="1471">
        <f>0</f>
        <v>0</v>
      </c>
      <c r="N177" s="1471">
        <f>0</f>
        <v>0</v>
      </c>
      <c r="O177" s="1471">
        <f>0</f>
        <v>0</v>
      </c>
      <c r="P177" s="1471">
        <f>0</f>
        <v>0</v>
      </c>
      <c r="Q177" s="1471">
        <f>0</f>
        <v>0</v>
      </c>
      <c r="R177" s="1471">
        <f>0</f>
        <v>0</v>
      </c>
      <c r="S177" s="1471">
        <f>0</f>
        <v>0</v>
      </c>
      <c r="T177" s="1471">
        <f>0</f>
        <v>0</v>
      </c>
      <c r="U177" s="1471">
        <f>0</f>
        <v>0</v>
      </c>
      <c r="V177" s="1471">
        <f>0</f>
        <v>0</v>
      </c>
      <c r="W177" s="1471">
        <f>0</f>
        <v>0</v>
      </c>
      <c r="X177" s="1471">
        <f>0</f>
        <v>0</v>
      </c>
      <c r="Y177" s="1471">
        <f>0</f>
        <v>0</v>
      </c>
      <c r="Z177" s="1471">
        <f>0</f>
        <v>0</v>
      </c>
      <c r="AA177" s="1471">
        <f>0</f>
        <v>0</v>
      </c>
      <c r="AB177" s="1471">
        <f>0</f>
        <v>0</v>
      </c>
      <c r="AC177" s="1471">
        <f>0</f>
        <v>0</v>
      </c>
      <c r="AD177" s="1471">
        <f>0</f>
        <v>0</v>
      </c>
      <c r="AE177" s="1471">
        <f>0</f>
        <v>0</v>
      </c>
      <c r="AF177" s="1471">
        <f>0</f>
        <v>0</v>
      </c>
      <c r="AG177" s="1471">
        <f>0</f>
        <v>0</v>
      </c>
      <c r="AH177" s="1471">
        <f>0</f>
        <v>0</v>
      </c>
      <c r="AI177" s="1471">
        <f>0</f>
        <v>0</v>
      </c>
      <c r="AJ177" s="1471">
        <f>0</f>
        <v>0</v>
      </c>
      <c r="AK177" s="1471">
        <f>0</f>
        <v>0</v>
      </c>
      <c r="AL177" s="1471">
        <f>0</f>
        <v>0</v>
      </c>
      <c r="AM177" s="1471">
        <f>1</f>
        <v>1</v>
      </c>
      <c r="AN177" s="1471">
        <f>-1</f>
        <v>-1</v>
      </c>
      <c r="AO177" s="1471">
        <f>0</f>
        <v>0</v>
      </c>
      <c r="AP177" s="1471">
        <f>0</f>
        <v>0</v>
      </c>
      <c r="AQ177" s="1471">
        <f>0</f>
        <v>0</v>
      </c>
      <c r="AR177" s="1471">
        <f>0</f>
        <v>0</v>
      </c>
      <c r="AS177" s="1471">
        <f>0</f>
        <v>0</v>
      </c>
      <c r="AT177" s="1471">
        <f>0</f>
        <v>0</v>
      </c>
      <c r="AU177" s="1471">
        <f>0</f>
        <v>0</v>
      </c>
      <c r="AV177" s="1471">
        <f>0</f>
        <v>0</v>
      </c>
      <c r="AW177" s="1471">
        <f>0</f>
        <v>0</v>
      </c>
      <c r="AX177" s="1471">
        <f>0</f>
        <v>0</v>
      </c>
      <c r="AY177" s="1471">
        <f>0</f>
        <v>0</v>
      </c>
      <c r="AZ177" s="1470">
        <f>i_Ca_PP*A_MCa/A_MP</f>
        <v>0.12939338702613273</v>
      </c>
      <c r="BA177" s="1470">
        <f>i_Mg_PP*A_MMg/A_MP</f>
        <v>0.27464374347136938</v>
      </c>
      <c r="BB177" s="1470">
        <f>i_K_PP*A_MK/A_MP</f>
        <v>0.12623038734377579</v>
      </c>
      <c r="BC177" s="1471">
        <f>0</f>
        <v>0</v>
      </c>
      <c r="BD177" s="1471">
        <f>0</f>
        <v>0</v>
      </c>
      <c r="BE177" s="1471">
        <f>0</f>
        <v>0</v>
      </c>
      <c r="BF177" s="1471">
        <f>0</f>
        <v>0</v>
      </c>
      <c r="BG177" s="1471">
        <f>0</f>
        <v>0</v>
      </c>
      <c r="BH177" s="1471">
        <f>0</f>
        <v>0</v>
      </c>
      <c r="BI177" s="1471">
        <f>0</f>
        <v>0</v>
      </c>
      <c r="BJ177" s="1471">
        <f>0</f>
        <v>0</v>
      </c>
      <c r="BK177" s="1471">
        <f>0</f>
        <v>0</v>
      </c>
      <c r="BL177" s="1471">
        <f>0</f>
        <v>0</v>
      </c>
      <c r="BM177" s="1471">
        <f>0</f>
        <v>0</v>
      </c>
      <c r="BN177" s="1471">
        <f>0</f>
        <v>0</v>
      </c>
      <c r="BO177" s="1471">
        <f>0</f>
        <v>0</v>
      </c>
      <c r="BP177" s="1471">
        <f>0</f>
        <v>0</v>
      </c>
      <c r="BQ177" s="1471">
        <f>0</f>
        <v>0</v>
      </c>
      <c r="BR177" s="1471">
        <f>0</f>
        <v>0</v>
      </c>
      <c r="BS177" s="1471">
        <f>0</f>
        <v>0</v>
      </c>
      <c r="BT177" s="1471">
        <f>0</f>
        <v>0</v>
      </c>
      <c r="BU177" s="1471">
        <f>0</f>
        <v>0</v>
      </c>
      <c r="BV177" s="1471">
        <f>0</f>
        <v>0</v>
      </c>
      <c r="BW177" s="2356">
        <f>0</f>
        <v>0</v>
      </c>
      <c r="BX177" s="2356">
        <f>0</f>
        <v>0</v>
      </c>
      <c r="BY177" s="2356">
        <f>0</f>
        <v>0</v>
      </c>
      <c r="BZ177" s="2356">
        <f>0</f>
        <v>0</v>
      </c>
      <c r="CA177" s="1471">
        <f>0</f>
        <v>0</v>
      </c>
      <c r="CB177" s="1471">
        <f>0</f>
        <v>0</v>
      </c>
      <c r="CC177" s="1471">
        <f>0</f>
        <v>0</v>
      </c>
      <c r="CD177" s="1471">
        <f>0</f>
        <v>0</v>
      </c>
      <c r="CE177" s="1471">
        <f>0</f>
        <v>0</v>
      </c>
      <c r="CF177" s="1471">
        <f>0</f>
        <v>0</v>
      </c>
      <c r="CG177" s="1471">
        <f>0</f>
        <v>0</v>
      </c>
      <c r="CH177" s="1471">
        <f>0</f>
        <v>0</v>
      </c>
      <c r="CI177" s="1471">
        <f>0</f>
        <v>0</v>
      </c>
      <c r="CJ177" s="1471">
        <f>0</f>
        <v>0</v>
      </c>
      <c r="CK177" s="1471">
        <f>0</f>
        <v>0</v>
      </c>
      <c r="CL177" s="1471">
        <f>0</f>
        <v>0</v>
      </c>
      <c r="CM177" s="1471">
        <f>0</f>
        <v>0</v>
      </c>
      <c r="CN177" s="1471">
        <f>0</f>
        <v>0</v>
      </c>
      <c r="CO177" s="1471">
        <f>0</f>
        <v>0</v>
      </c>
      <c r="CP177" s="1471">
        <f>0</f>
        <v>0</v>
      </c>
      <c r="CQ177" s="1471">
        <f>0</f>
        <v>0</v>
      </c>
      <c r="CR177" s="1471">
        <f>0</f>
        <v>0</v>
      </c>
      <c r="CS177" s="1471">
        <f>0</f>
        <v>0</v>
      </c>
      <c r="CT177" s="2482">
        <f>b_PP_ana_T*X_PAO*L_ogsatXPP_KPO4_PAO*(η_bPP_aer*M_RinhXPHA_XPAO_KPHA_cle*M_satSO2_KO2_CASTO+η_bPP_anox*M_inhSO2_KO2_CASTO*M_satSNO2_KNO2_CASTO+η_bPP_anox*M_inhSO2_KO2_CASTO*M_satSNO3_KNO3_CASTO*M_inhSNO2_KNO2_CASTO+M_inhSO2_KO2_CASTO*M_inhSNO3_KNO3_CASTO*M_inhSNO2_KNO2_CASTO)</f>
        <v>0.38985063851269147</v>
      </c>
      <c r="CV177" s="2502">
        <f>E266*E177+F266*F177+G266*G177+H266*H177+I266*I177+J266*J177+K266*K177+L266*L177+M266*M177+N266*N177+O266*O177+P266*P177+Q266*Q177+R266*R177+S266*S177+T266*T177+U266*U177+V266*V177+W266*W177+X266*X177+Y266*Y177+Z266*Z177+AA266*AA177+AB266*AB177+AC266*AC177+AD266*AD177+AE266*AE177+AF266*AF177+AG266*AG177+AH266*AH177+AI266*AI177+AJ266*AJ177+AK266*AK177+AL266*AL177+AM266*AM177+AN266*AN177+AO266*AO177+AP266*AP177+AQ266*AQ177+AR266*AR177+AS266*AS177+AT266*AT177+AU266*AU177+AV266*AV177+AW266*AW177+AX266*AX177+AY266*AY177+AZ266*AZ177+BA266*BA177+BB266*BB177+BC266*BC177+BD266*BD177+BE266*BE177+BF266*BF177+BG266*BG177+BH266*BH177+BI266*BI177+BJ266*BJ177+BK266*BK177+BL266*BL177+BM266*BM177+BN266*BN177+BO266*BO177+BP266*BP177+BQ266*BQ177+BR266*BR177+BS266*BS177+BT266*BT177+BU266*BU177+BV266*BV177+BW266*BW177+BX266*BX177+BY266*BY177+BZ266*BZ177+CA266*CA177+CB266*CB177+CC266*CC177+CD266*CD177+CE266*CE177+CF266*CF177+CG266*CG177+CH266*CH177+CI266*CI177+CJ266*CJ177+CK266*CK177+CL266*CL177+CM266*CM177+CN266*CN177+CO266*CO177+CP266*CP177+CQ266*CQ177+CR266*CR177+CS266*CS177</f>
        <v>0</v>
      </c>
      <c r="CW177" s="2502">
        <f>E267*E177+F267*F177+G267*G177+H267*H177+I267*I177+J267*J177+K267*K177+L267*L177+M267*M177+N267*N177+O267*O177+P267*P177+Q267*Q177+R267*R177+S267*S177+T267*T177+U267*U177+V267*V177+W267*W177+X267*X177+Y267*Y177+Z267*Z177+AA267*AA177+AB267*AB177+AC267*AC177+AD267*AD177+AE267*AE177+AF267*AF177+AG267*AG177+AH267*AH177+AI267*AI177+AJ267*AJ177+AK267*AK177+AL267*AL177+AM267*AM177+AN267*AN177+AO267*AO177+AP267*AP177+AQ267*AQ177+AR267*AR177+AS267*AS177+AT267*AT177+AU267*AU177+AV267*AV177+AW267*AW177+AX267*AX177+AY267*AY177+AZ267*AZ177+BA267*BA177+BB267*BB177+BC267*BC177+BD267*BD177+BE267*BE177+BF267*BF177+BG267*BG177+BH267*BH177+BI267*BI177+BJ267*BJ177+BK267*BK177+BL267*BL177+BM267*BM177+BN267*BN177+BO267*BO177+BP267*BP177+BQ267*BQ177+BR267*BR177+BS267*BS177+BT267*BT177+BU267*BU177+BV267*BV177+BW267*BW177+BX267*BX177+BY267*BY177+BZ267*BZ177+CA267*CA177+CB267*CB177+CC267*CC177+CD267*CD177+CE267*CE177+CF267*CF177+CG267*CG177+CH267*CH177+CI267*CI177+CJ267*CJ177+CK267*CK177+CL267*CL177+CM267*CM177+CN267*CN177+CO267*CO177+CP267*CP177+CQ267*CQ177+CR267*CR177+CS267*CS177</f>
        <v>0</v>
      </c>
      <c r="CX177" s="2503">
        <f>E268*E177+F268*F177+G268*G177+H268*H177+I268*I177+J268*J177+K268*K177+L268*L177+M268*M177+N268*N177+O268*O177+P268*P177+Q268*Q177+R268*R177+S268*S177+T268*T177+U268*U177+V268*V177+W268*W177+X268*X177+Y268*Y177+Z268*Z177+AA268*AA177+AB268*AB177+AC268*AC177+AD268*AD177+AE268*AE177+AF268*AF177+AG268*AG177+AH268*AH177+AI268*AI177+AJ268*AJ177+AK268*AK177+AL268*AL177+AM268*AM177+AN268*AN177+AO268*AO177+AP268*AP177+AQ268*AQ177+AR268*AR177+AS268*AS177+AT268*AT177+AU268*AU177+AV268*AV177+AW268*AW177+AX268*AX177+AY268*AY177+AZ268*AZ177+BA268*BA177+BB268*BB177+BC268*BC177+BD268*BD177+BE268*BE177+BF268*BF177+BG268*BG177+BH268*BH177+BI268*BI177+BJ268*BJ177+BK268*BK177+BL268*BL177+BM268*BM177+BN268*BN177+BO268*BO177+BP268*BP177+BQ268*BQ177+BR268*BR177+BS268*BS177+BT268*BT177+BU268*BU177+BV268*BV177+BW268*BW177+BX268*BX177+BY268*BY177+BZ268*BZ177+CA268*CA177+CB268*CB177+CC268*CC177+CD268*CD177+CE268*CE177+CF268*CF177+CG268*CG177+CH268*CH177+CI268*CI177+CJ268*CJ177+CK268*CK177+CL268*CL177+CM268*CM177+CN268*CN177+CO268*CO177+CP268*CP177+CQ268*CQ177+CR268*CR177+CS268*CS177</f>
        <v>0</v>
      </c>
      <c r="CY177" s="2504">
        <f>E269*E177+F269*F177+G269*G177+H269*H177+I269*I177+J269*J177+K269*K177+L269*L177+M269*M177+N269*N177+O269*O177+P269*P177+Q269*Q177+R269*R177+S269*S177+T269*T177+U269*U177+V269*V177+W269*W177+X269*X177+Y269*Y177+Z269*Z177+AA269*AA177+AB269*AB177+AC269*AC177+AD269*AD177+AE269*AE177+AF269*AF177+AG269*AG177+AH269*AH177+AI269*AI177+AJ269*AJ177+AK269*AK177+AL269*AL177+AM269*AM177+AN269*AN177+AO269*AO177+AP269*AP177+AQ269*AQ177+AR269*AR177+AS269*AS177+AT269*AT177+AU269*AU177+AV269*AV177+AW269*AW177+AX269*AX177+AY269*AY177+AZ269*AZ177+BA269*BA177+BB269*BB177+BC269*BC177+BD269*BD177+BE269*BE177+BF269*BF177+BG269*BG177+BH269*BH177+BI269*BI177+BJ269*BJ177+BK269*BK177+BL269*BL177+BM269*BM177+BN269*BN177+BO269*BO177+BP269*BP177+BQ269*BQ177+BR269*BR177+BS269*BS177+BT269*BT177+BU269*BU177+BV269*BV177+BW269*BW177+BX269*BX177+BY269*BY177+BZ269*BZ177+CA269*CA177+CB269*CB177+CC269*CC177+CD269*CD177+CE269*CE177+CF269*CF177+CG269*CG177+CH269*CH177+CI269*CI177+CJ269*CJ177+CK269*CK177+CL269*CL177+CM269*CM177+CN269*CN177+CO269*CO177+CP269*CP177+CQ269*CQ177+CR269*CR177+CS269*CS177</f>
        <v>0</v>
      </c>
      <c r="CZ177" s="2504">
        <f>E270*E177+F270*F177+G270*G177+H270*H177+I270*I177+J270*J177+K270*K177+L270*L177+M270*M177+N270*N177+O270*O177+P270*P177+Q270*Q177+R270*R177+S270*S177+T270*T177+U270*U177+V270*V177+W270*W177+X270*X177+Y270*Y177+Z270*Z177+AA270*AA177+AB270*AB177+AC270*AC177+AD270*AD177+AE270*AE177+AF270*AF177+AG270*AG177+AH270*AH177+AI270*AI177+AJ270*AJ177+AK270*AK177+AL270*AL177+AM270*AM177+AN270*AN177+AO270*AO177+AP270*AP177+AQ270*AQ177+AR270*AR177+AS270*AS177+AT270*AT177+AU270*AU177+AV270*AV177+AW270*AW177+AX270*AX177+AY270*AY177+AZ270*AZ177+BA270*BA177+BB270*BB177+BC270*BC177+BD270*BD177+BE270*BE177+BF270*BF177+BG270*BG177+BH270*BH177+BI270*BI177+BJ270*BJ177+BK270*BK177+BL270*BL177+BM270*BM177+BN270*BN177+BO270*BO177+BP270*BP177+BQ270*BQ177+BR270*BR177+BS270*BS177+BT270*BT177+BU270*BU177+BV270*BV177+BW270*BW177+BX270*BX177+BY270*BY177+BZ270*BZ177+CA270*CA177+CB270*CB177+CC270*CC177+CD270*CD177+CE270*CE177+CF270*CF177+CG270*CG177+CH270*CH177+CI270*CI177+CJ270*CJ177+CK270*CK177+CL270*CL177+CM270*CM177+CN270*CN177+CO270*CO177+CP270*CP177+CQ270*CQ177+CR270*CR177+CS270*CS177</f>
        <v>0</v>
      </c>
      <c r="DA177" s="2504">
        <f>E271*E177+F271*F177+G271*G177+H271*H177+I271*I177+J271*J177+K271*K177+L271*L177+M271*M177+N271*N177+O271*O177+P271*P177+Q271*Q177+R271*R177+S271*S177+T271*T177+U271*U177+V271*V177+W271*W177+X271*X177+Y271*Y177+Z271*Z177+AA271*AA177+AB271*AB177+AC271*AC177+AD271*AD177+AE271*AE177+AF271*AF177+AG271*AG177+AH271*AH177+AI271*AI177+AJ271*AJ177+AK271*AK177+AL271*AL177+AM271*AM177+AN271*AN177+AO271*AO177+AP271*AP177+AQ271*AQ177+AR271*AR177+AS271*AS177+AT271*AT177+AU271*AU177+AV271*AV177+AW271*AW177+AX271*AX177+AY271*AY177+AZ271*AZ177+BA271*BA177+BB271*BB177+BC271*BC177+BD271*BD177+BE271*BE177+BF271*BF177+BG271*BG177+BH271*BH177+BI271*BI177+BJ271*BJ177+BK271*BK177+BL271*BL177+BM271*BM177+BN271*BN177+BO271*BO177+BP271*BP177+BQ271*BQ177+BR271*BR177+BS271*BS177+BT271*BT177+BU271*BU177+BV271*BV177+BW271*BW177+BX271*BX177+BY271*BY177+BZ271*BZ177+CA271*CA177+CB271*CB177+CC271*CC177+CD271*CD177+CE271*CE177+CF271*CF177+CG271*CG177+CH271*CH177+CI271*CI177+CJ271*CJ177+CK271*CK177+CL271*CL177+CM271*CM177+CN271*CN177+CO271*CO177+CP271*CP177+CQ271*CQ177+CR271*CR177+CS271*CS177</f>
        <v>0</v>
      </c>
      <c r="DB177" s="2504">
        <f>E272*E177+F272*F177+G272*G177+H272*H177+I272*I177+J272*J177+K272*K177+L272*L177+M272*M177+N272*N177+O272*O177+P272*P177+Q272*Q177+R272*R177+S272*S177+T272*T177+U272*U177+V272*V177+W272*W177+X272*X177+Y272*Y177+Z272*Z177+AA272*AA177+AB272*AB177+AC272*AC177+AD272*AD177+AE272*AE177+AF272*AF177+AG272*AG177+AH272*AH177+AI272*AI177+AJ272*AJ177+AK272*AK177+AL272*AL177+AM272*AM177+AN272*AN177+AO272*AO177+AP272*AP177+AQ272*AQ177+AR272*AR177+AS272*AS177+AT272*AT177+AU272*AU177+AV272*AV177+AW272*AW177+AX272*AX177+AY272*AY177+AZ272*AZ177+BA272*BA177+BB272*BB177+BC272*BC177+BD272*BD177+BE272*BE177+BF272*BF177+BG272*BG177+BH272*BH177+BI272*BI177+BJ272*BJ177+BK272*BK177+BL272*BL177+BM272*BM177+BN272*BN177+BO272*BO177+BP272*BP177+BQ272*BQ177+BR272*BR177+BS272*BS177+BT272*BT177+BU272*BU177+BV272*BV177+BW272*BW177+BX272*BX177+BY272*BY177+BZ272*BZ177+CA272*CA177+CB272*CB177+CC272*CC177+CD272*CD177+CE272*CE177+CF272*CF177+CG272*CG177+CH272*CH177+CI272*CI177+CJ272*CJ177+CK272*CK177+CL272*CL177+CM272*CM177+CN272*CN177+CO272*CO177+CP272*CP177+CQ272*CQ177+CR272*CR177+CS272*CS177</f>
        <v>0</v>
      </c>
      <c r="DC177" s="2504">
        <f>E273*E177+F273*F177+G273*G177+H273*H177+I273*I177+J273*J177+K273*K177+L273*L177+M273*M177+N273*N177+O273*O177+P273*P177+Q273*Q177+R273*R177+S273*S177+T273*T177+U273*U177+V273*V177+W273*W177+X273*X177+Y273*Y177+Z273*Z177+AA273*AA177+AB273*AB177+AC273*AC177+AD273*AD177+AE273*AE177+AF273*AF177+AG273*AG177+AH273*AH177+AI273*AI177+AJ273*AJ177+AK273*AK177+AL273*AL177+AM273*AM177+AN273*AN177+AO273*AO177+AP273*AP177+AQ273*AQ177+AR273*AR177+AS273*AS177+AT273*AT177+AU273*AU177+AV273*AV177+AW273*AW177+AX273*AX177+AY273*AY177+AZ273*AZ177+BA273*BA177+BB273*BB177+BC273*BC177+BD273*BD177+BE273*BE177+BF273*BF177+BG273*BG177+BH273*BH177+BI273*BI177+BJ273*BJ177+BK273*BK177+BL273*BL177+BM273*BM177+BN273*BN177+BO273*BO177+BP273*BP177+BQ273*BQ177+BR273*BR177+BS273*BS177+BT273*BT177+BU273*BU177+BV273*BV177+BW273*BW177+BX273*BX177+BY273*BY177+BZ273*BZ177+CA273*CA177+CB273*CB177+CC273*CC177+CD273*CD177+CE273*CE177+CF273*CF177+CG273*CG177+CH273*CH177+CI273*CI177+CJ273*CJ177+CK273*CK177+CL273*CL177+CM273*CM177+CN273*CN177+CO273*CO177+CP273*CP177+CQ273*CQ177+CR273*CR177+CS273*CS177</f>
        <v>0</v>
      </c>
      <c r="DD177" s="2504">
        <f>E274*E177+F274*F177+G274*G177+H274*H177+I274*I177+J274*J177+K274*K177+L274*L177+M274*M177+N274*N177+O274*O177+P274*P177+Q274*Q177+R274*R177+S274*S177+T274*T177+U274*U177+V274*V177+W274*W177+X274*X177+Y274*Y177+Z274*Z177+AA274*AA177+AB274*AB177+AC274*AC177+AD274*AD177+AE274*AE177+AF274*AF177+AG274*AG177+AH274*AH177+AI274*AI177+AJ274*AJ177+AK274*AK177+AL274*AL177+AM274*AM177+AN274*AN177+AO274*AO177+AP274*AP177+AQ274*AQ177+AR274*AR177+AS274*AS177+AT274*AT177+AU274*AU177+AV274*AV177+AW274*AW177+AX274*AX177+AY274*AY177+AZ274*AZ177+BA274*BA177+BB274*BB177+BC274*BC177+BD274*BD177+BE274*BE177+BF274*BF177+BG274*BG177+BH274*BH177+BI274*BI177+BJ274*BJ177+BK274*BK177+BL274*BL177+BM274*BM177+BN274*BN177+BO274*BO177+BP274*BP177+BQ274*BQ177+BR274*BR177+BS274*BS177+BT274*BT177+BU274*BU177+BV274*BV177+BW274*BW177+BX274*BX177+BY274*BY177+BZ274*BZ177+CA274*CA177+CB274*CB177+CC274*CC177+CD274*CD177+CE274*CE177+CF274*CF177+CG274*CG177+CH274*CH177+CI274*CI177+CJ274*CJ177+CK274*CK177+CL274*CL177+CM274*CM177+CN274*CN177+CO274*CO177+CP274*CP177+CQ274*CQ177+CR274*CR177+CS274*CS177</f>
        <v>0</v>
      </c>
      <c r="DE177" s="2504">
        <f>E275*E177+F275*F177+G275*G177+H275*H177+I275*I177+J275*J177+K275*K177+L275*L177+M275*M177+N275*N177+O275*O177+P275*P177+Q275*Q177+R275*R177+S275*S177+T275*T177+U275*U177+V275*V177+W275*W177+X275*X177+Y275*Y177+Z275*Z177+AA275*AA177+AB275*AB177+AC275*AC177+AD275*AD177+AE275*AE177+AF275*AF177+AG275*AG177+AH275*AH177+AI275*AI177+AJ275*AJ177+AK275*AK177+AL275*AL177+AM275*AM177+AN275*AN177+AO275*AO177+AP275*AP177+AQ275*AQ177+AR275*AR177+AS275*AS177+AT275*AT177+AU275*AU177+AV275*AV177+AW275*AW177+AX275*AX177+AY275*AY177+AZ275*AZ177+BA275*BA177+BB275*BB177+BC275*BC177+BD275*BD177+BE275*BE177+BF275*BF177+BG275*BG177+BH275*BH177+BI275*BI177+BJ275*BJ177+BK275*BK177+BL275*BL177+BM275*BM177+BN275*BN177+BO275*BO177+BP275*BP177+BQ275*BQ177+BR275*BR177+BS275*BS177+BT275*BT177+BU275*BU177+BV275*BV177+BW275*BW177+BX275*BX177+BY275*BY177+BZ275*BZ177+CA275*CA177+CB275*CB177+CC275*CC177+CD275*CD177+CE275*CE177+CF275*CF177+CG275*CG177+CH275*CH177+CI275*CI177+CJ275*CJ177+CK275*CK177+CL275*CL177+CM275*CM177+CN275*CN177+CO275*CO177+CP275*CP177+CQ275*CQ177+CR275*CR177+CS275*CS177</f>
        <v>0</v>
      </c>
      <c r="DF177" s="2504">
        <f>E276*E177+F276*F177+G276*G177+H276*H177+I276*I177+J276*J177+K276*K177+L276*L177+M276*M177+N276*N177+O276*O177+P276*P177+Q276*Q177+R276*R177+S276*S177+T276*T177+U276*U177+V276*V177+W276*W177+X276*X177+Y276*Y177+Z276*Z177+AA276*AA177+AB276*AB177+AC276*AC177+AD276*AD177+AE276*AE177+AF276*AF177+AG276*AG177+AH276*AH177+AI276*AI177+AJ276*AJ177+AK276*AK177+AL276*AL177+AM276*AM177+AN276*AN177+AO276*AO177+AP276*AP177+AQ276*AQ177+AR276*AR177+AS276*AS177+AT276*AT177+AU276*AU177+AV276*AV177+AW276*AW177+AX276*AX177+AY276*AY177+AZ276*AZ177+BA276*BA177+BB276*BB177+BC276*BC177+BD276*BD177+BE276*BE177+BF276*BF177+BG276*BG177+BH276*BH177+BI276*BI177+BJ276*BJ177+BK276*BK177+BL276*BL177+BM276*BM177+BN276*BN177+BO276*BO177+BP276*BP177+BQ276*BQ177+BR276*BR177+BS276*BS177+BT276*BT177+BU276*BU177+BV276*BV177+BW276*BW177+BX276*BX177+BY276*BY177+BZ276*BZ177+CA276*CA177+CB276*CB177+CC276*CC177+CD276*CD177+CE276*CE177+CF276*CF177+CG276*CG177+CH276*CH177+CI276*CI177+CJ276*CJ177+CK276*CK177+CL276*CL177+CM276*CM177+CN276*CN177+CO276*CO177+CP276*CP177+CQ276*CQ177+CR276*CR177+CS276*CS177</f>
        <v>0</v>
      </c>
    </row>
    <row r="178" spans="2:110" ht="18" x14ac:dyDescent="0.25">
      <c r="B178" s="1565">
        <v>36</v>
      </c>
      <c r="C178" s="1566" t="s">
        <v>4569</v>
      </c>
      <c r="D178" s="1567" t="s">
        <v>3043</v>
      </c>
      <c r="E178" s="1471">
        <f>(1-Y_CASTO_SB_ana-Y_CASTO_H2_ana_high)/Y_CASTO_SB_ana</f>
        <v>5.5</v>
      </c>
      <c r="F178" s="1470">
        <f>-1/Y_CASTO_SB_ana</f>
        <v>-10</v>
      </c>
      <c r="G178" s="1471">
        <f>0</f>
        <v>0</v>
      </c>
      <c r="H178" s="1471">
        <f>0</f>
        <v>0</v>
      </c>
      <c r="I178" s="1471">
        <f>0</f>
        <v>0</v>
      </c>
      <c r="J178" s="1471">
        <f>0</f>
        <v>0</v>
      </c>
      <c r="K178" s="1471">
        <f>0</f>
        <v>0</v>
      </c>
      <c r="L178" s="1471">
        <f>0</f>
        <v>0</v>
      </c>
      <c r="M178" s="1471">
        <f>0</f>
        <v>0</v>
      </c>
      <c r="N178" s="1470">
        <f>1</f>
        <v>1</v>
      </c>
      <c r="O178" s="1470">
        <f>0</f>
        <v>0</v>
      </c>
      <c r="P178" s="1471">
        <f>0</f>
        <v>0</v>
      </c>
      <c r="Q178" s="1471">
        <f>0</f>
        <v>0</v>
      </c>
      <c r="R178" s="1471">
        <f>0</f>
        <v>0</v>
      </c>
      <c r="S178" s="1471">
        <f>0</f>
        <v>0</v>
      </c>
      <c r="T178" s="1471">
        <f>0</f>
        <v>0</v>
      </c>
      <c r="U178" s="1471">
        <f>0</f>
        <v>0</v>
      </c>
      <c r="V178" s="1471">
        <f>0</f>
        <v>0</v>
      </c>
      <c r="W178" s="1471">
        <f>0</f>
        <v>0</v>
      </c>
      <c r="X178" s="1471">
        <f>0</f>
        <v>0</v>
      </c>
      <c r="Y178" s="1471">
        <f>0</f>
        <v>0</v>
      </c>
      <c r="Z178" s="1471">
        <f>0</f>
        <v>0</v>
      </c>
      <c r="AA178" s="1471">
        <f>0</f>
        <v>0</v>
      </c>
      <c r="AB178" s="1470">
        <f>0</f>
        <v>0</v>
      </c>
      <c r="AC178" s="1470">
        <f>0</f>
        <v>0</v>
      </c>
      <c r="AD178" s="1470">
        <f>0</f>
        <v>0</v>
      </c>
      <c r="AE178" s="1471">
        <f>0</f>
        <v>0</v>
      </c>
      <c r="AF178" s="1471">
        <f>0</f>
        <v>0</v>
      </c>
      <c r="AG178" s="1471">
        <f>0</f>
        <v>0</v>
      </c>
      <c r="AH178" s="1470">
        <f>0</f>
        <v>0</v>
      </c>
      <c r="AI178" s="1470">
        <f>0</f>
        <v>0</v>
      </c>
      <c r="AJ178" s="1470">
        <f>0</f>
        <v>0</v>
      </c>
      <c r="AK178" s="1470">
        <f>0</f>
        <v>0</v>
      </c>
      <c r="AL178" s="1470">
        <f>0</f>
        <v>0</v>
      </c>
      <c r="AM178" s="1471">
        <f>0</f>
        <v>0</v>
      </c>
      <c r="AN178" s="1470">
        <f>0</f>
        <v>0</v>
      </c>
      <c r="AO178" s="1471">
        <f>0</f>
        <v>0</v>
      </c>
      <c r="AP178" s="1471">
        <f>0</f>
        <v>0</v>
      </c>
      <c r="AQ178" s="1471">
        <f>0</f>
        <v>0</v>
      </c>
      <c r="AR178" s="1471">
        <f>0</f>
        <v>0</v>
      </c>
      <c r="AS178" s="1471">
        <f>0</f>
        <v>0</v>
      </c>
      <c r="AT178" s="1471">
        <f>0</f>
        <v>0</v>
      </c>
      <c r="AU178" s="1471">
        <f>Y_CASTO_H2_ana_high/Y_CASTO_SB_ana</f>
        <v>3.4999999999999996</v>
      </c>
      <c r="AV178" s="1471">
        <f>(i_CIT_SB-i_CIT_VFA*(1-Y_CASTO_SB_ana-Y_CASTO_H2_ana_high)-i_CIT_PHA*Y_CASTO_SB_ana)/Y_CASTO_SB_ana</f>
        <v>0.46449999999999952</v>
      </c>
      <c r="AW178" s="1470">
        <f>i_INORG</f>
        <v>0.11</v>
      </c>
      <c r="AX178" s="1470">
        <f>-i_INORG*(1-i_Ca_INORG*(A_MCa+2*A_MCl)/A_MCa-i_Mg_INORG*(A_MMg+2*A_MCl)/A_MMg)*f_Na</f>
        <v>-2.8804303582798466E-2</v>
      </c>
      <c r="AY178" s="1470">
        <f>-i_INORG*(i_Ca_INORG*(2*A_MCl)/A_MCa+i_Mg_INORG*(2*A_MCl)/A_MMg)-i_INORG*(1-i_Ca_INORG*(A_MCa+2*A_MCl)/A_MCa-i_Mg_INORG*(A_MMg+2*A_MCl)/A_MMg)*(1-f_Na)</f>
        <v>-7.0195696417201539E-2</v>
      </c>
      <c r="AZ178" s="1470">
        <f>-i_INORG*i_Ca_INORG</f>
        <v>-5.5000000000000005E-3</v>
      </c>
      <c r="BA178" s="1470">
        <f>-i_INORG*i_Mg_INORG</f>
        <v>-5.5000000000000005E-3</v>
      </c>
      <c r="BB178" s="1470">
        <f>0</f>
        <v>0</v>
      </c>
      <c r="BC178" s="1470">
        <f>0</f>
        <v>0</v>
      </c>
      <c r="BD178" s="1470">
        <f>0</f>
        <v>0</v>
      </c>
      <c r="BE178" s="1470">
        <f>0</f>
        <v>0</v>
      </c>
      <c r="BF178" s="1470">
        <f>0</f>
        <v>0</v>
      </c>
      <c r="BG178" s="1470">
        <f>0</f>
        <v>0</v>
      </c>
      <c r="BH178" s="1470">
        <f>0</f>
        <v>0</v>
      </c>
      <c r="BI178" s="1470">
        <f>0</f>
        <v>0</v>
      </c>
      <c r="BJ178" s="1470">
        <f>0</f>
        <v>0</v>
      </c>
      <c r="BK178" s="1470">
        <f>0</f>
        <v>0</v>
      </c>
      <c r="BL178" s="1470">
        <f>0</f>
        <v>0</v>
      </c>
      <c r="BM178" s="1470">
        <f>0</f>
        <v>0</v>
      </c>
      <c r="BN178" s="1470">
        <f>0</f>
        <v>0</v>
      </c>
      <c r="BO178" s="1470">
        <f>0</f>
        <v>0</v>
      </c>
      <c r="BP178" s="1470">
        <f>0</f>
        <v>0</v>
      </c>
      <c r="BQ178" s="1470">
        <f>0</f>
        <v>0</v>
      </c>
      <c r="BR178" s="1470">
        <f>0</f>
        <v>0</v>
      </c>
      <c r="BS178" s="1470">
        <f>0</f>
        <v>0</v>
      </c>
      <c r="BT178" s="1471">
        <f>0</f>
        <v>0</v>
      </c>
      <c r="BU178" s="1470">
        <f>0</f>
        <v>0</v>
      </c>
      <c r="BV178" s="1470">
        <f>0</f>
        <v>0</v>
      </c>
      <c r="BW178" s="2355">
        <f>0</f>
        <v>0</v>
      </c>
      <c r="BX178" s="2355">
        <f>0</f>
        <v>0</v>
      </c>
      <c r="BY178" s="2355">
        <f>0</f>
        <v>0</v>
      </c>
      <c r="BZ178" s="2355">
        <f>0</f>
        <v>0</v>
      </c>
      <c r="CA178" s="1470">
        <f>0</f>
        <v>0</v>
      </c>
      <c r="CB178" s="1470">
        <f>0</f>
        <v>0</v>
      </c>
      <c r="CC178" s="1470">
        <f>0</f>
        <v>0</v>
      </c>
      <c r="CD178" s="1470">
        <f>0</f>
        <v>0</v>
      </c>
      <c r="CE178" s="1470">
        <f>0</f>
        <v>0</v>
      </c>
      <c r="CF178" s="1470">
        <f>0</f>
        <v>0</v>
      </c>
      <c r="CG178" s="1470">
        <f>0</f>
        <v>0</v>
      </c>
      <c r="CH178" s="1470">
        <f>0</f>
        <v>0</v>
      </c>
      <c r="CI178" s="1470">
        <f>0</f>
        <v>0</v>
      </c>
      <c r="CJ178" s="1470">
        <f>0</f>
        <v>0</v>
      </c>
      <c r="CK178" s="1470">
        <f>0</f>
        <v>0</v>
      </c>
      <c r="CL178" s="1470">
        <f>0</f>
        <v>0</v>
      </c>
      <c r="CM178" s="1470">
        <f>0</f>
        <v>0</v>
      </c>
      <c r="CN178" s="1470">
        <f>0</f>
        <v>0</v>
      </c>
      <c r="CO178" s="1470">
        <f>0</f>
        <v>0</v>
      </c>
      <c r="CP178" s="1470">
        <f>0</f>
        <v>0</v>
      </c>
      <c r="CQ178" s="1470">
        <f>0</f>
        <v>0</v>
      </c>
      <c r="CR178" s="1470">
        <f>0</f>
        <v>0</v>
      </c>
      <c r="CS178" s="1470">
        <f>0</f>
        <v>0</v>
      </c>
      <c r="CT178" s="2482">
        <f>µ_FERM_PAO_T*X_CASTO*actferm_PAO_ORP*L_ogsatSVFA_KVFA_FERM*M_satSB_KSB_ana*M_satSNHx_KNHx_BIO*M_satSPO4_KPO4_BIO*M_satSCAT_KCAT*M_satSAN_KAN*M_satSCa_KCa*M_satSMg_KMg*B_ellinhpH</f>
        <v>1.7821732482926844E-225</v>
      </c>
      <c r="CV178" s="2502">
        <f>E266*E178+F266*F178+G266*G178+H266*H178+I266*I178+J266*J178+K266*K178+L266*L178+M266*M178+N266*N178+O266*O178+P266*P178+Q266*Q178+R266*R178+S266*S178+T266*T178+U266*U178+V266*V178+W266*W178+X266*X178+Y266*Y178+Z266*Z178+AA266*AA178+AB266*AB178+AC266*AC178+AD266*AD178+AE266*AE178+AF266*AF178+AG266*AG178+AH266*AH178+AI266*AI178+AJ266*AJ178+AK266*AK178+AL266*AL178+AM266*AM178+AN266*AN178+AO266*AO178+AP266*AP178+AQ266*AQ178+AR266*AR178+AS266*AS178+AT266*AT178+AU266*AU178+AV266*AV178+AW266*AW178+AX266*AX178+AY266*AY178+AZ266*AZ178+BA266*BA178+BB266*BB178+BC266*BC178+BD266*BD178+BE266*BE178+BF266*BF178+BG266*BG178+BH266*BH178+BI266*BI178+BJ266*BJ178+BK266*BK178+BL266*BL178+BM266*BM178+BN266*BN178+BO266*BO178+BP266*BP178+BQ266*BQ178+BR266*BR178+BS266*BS178+BT266*BT178+BU266*BU178+BV266*BV178+BW266*BW178+BX266*BX178+BY266*BY178+BZ266*BZ178+CA266*CA178+CB266*CB178+CC266*CC178+CD266*CD178+CE266*CE178+CF266*CF178+CG266*CG178+CH266*CH178+CI266*CI178+CJ266*CJ178+CK266*CK178+CL266*CL178+CM266*CM178+CN266*CN178+CO266*CO178+CP266*CP178+CQ266*CQ178+CR266*CR178+CS266*CS178</f>
        <v>-4.4408920985006262E-16</v>
      </c>
      <c r="CW178" s="2502">
        <f>E267*E178+F267*F178+G267*G178+H267*H178+I267*I178+J267*J178+K267*K178+L267*L178+M267*M178+N267*N178+O267*O178+P267*P178+Q267*Q178+R267*R178+S267*S178+T267*T178+U267*U178+V267*V178+W267*W178+X267*X178+Y267*Y178+Z267*Z178+AA267*AA178+AB267*AB178+AC267*AC178+AD267*AD178+AE267*AE178+AF267*AF178+AG267*AG178+AH267*AH178+AI267*AI178+AJ267*AJ178+AK267*AK178+AL267*AL178+AM267*AM178+AN267*AN178+AO267*AO178+AP267*AP178+AQ267*AQ178+AR267*AR178+AS267*AS178+AT267*AT178+AU267*AU178+AV267*AV178+AW267*AW178+AX267*AX178+AY267*AY178+AZ267*AZ178+BA267*BA178+BB267*BB178+BC267*BC178+BD267*BD178+BE267*BE178+BF267*BF178+BG267*BG178+BH267*BH178+BI267*BI178+BJ267*BJ178+BK267*BK178+BL267*BL178+BM267*BM178+BN267*BN178+BO267*BO178+BP267*BP178+BQ267*BQ178+BR267*BR178+BS267*BS178+BT267*BT178+BU267*BU178+BV267*BV178+BW267*BW178+BX267*BX178+BY267*BY178+BZ267*BZ178+CA267*CA178+CB267*CB178+CC267*CC178+CD267*CD178+CE267*CE178+CF267*CF178+CG267*CG178+CH267*CH178+CI267*CI178+CJ267*CJ178+CK267*CK178+CL267*CL178+CM267*CM178+CN267*CN178+CO267*CO178+CP267*CP178+CQ267*CQ178+CR267*CR178+CS267*CS178</f>
        <v>-3.3306690738754696E-16</v>
      </c>
      <c r="CX178" s="2503">
        <f>E268*E178+F268*F178+G268*G178+H268*H178+I268*I178+J268*J178+K268*K178+L268*L178+M268*M178+N268*N178+O268*O178+P268*P178+Q268*Q178+R268*R178+S268*S178+T268*T178+U268*U178+V268*V178+W268*W178+X268*X178+Y268*Y178+Z268*Z178+AA268*AA178+AB268*AB178+AC268*AC178+AD268*AD178+AE268*AE178+AF268*AF178+AG268*AG178+AH268*AH178+AI268*AI178+AJ268*AJ178+AK268*AK178+AL268*AL178+AM268*AM178+AN268*AN178+AO268*AO178+AP268*AP178+AQ268*AQ178+AR268*AR178+AS268*AS178+AT268*AT178+AU268*AU178+AV268*AV178+AW268*AW178+AX268*AX178+AY268*AY178+AZ268*AZ178+BA268*BA178+BB268*BB178+BC268*BC178+BD268*BD178+BE268*BE178+BF268*BF178+BG268*BG178+BH268*BH178+BI268*BI178+BJ268*BJ178+BK268*BK178+BL268*BL178+BM268*BM178+BN268*BN178+BO268*BO178+BP268*BP178+BQ268*BQ178+BR268*BR178+BS268*BS178+BT268*BT178+BU268*BU178+BV268*BV178+BW268*BW178+BX268*BX178+BY268*BY178+BZ268*BZ178+CA268*CA178+CB268*CB178+CC268*CC178+CD268*CD178+CE268*CE178+CF268*CF178+CG268*CG178+CH268*CH178+CI268*CI178+CJ268*CJ178+CK268*CK178+CL268*CL178+CM268*CM178+CN268*CN178+CO268*CO178+CP268*CP178+CQ268*CQ178+CR268*CR178+CS268*CS178</f>
        <v>0</v>
      </c>
      <c r="CY178" s="2504">
        <f>E269*E178+F269*F178+G269*G178+H269*H178+I269*I178+J269*J178+K269*K178+L269*L178+M269*M178+N269*N178+O269*O178+P269*P178+Q269*Q178+R269*R178+S269*S178+T269*T178+U269*U178+V269*V178+W269*W178+X269*X178+Y269*Y178+Z269*Z178+AA269*AA178+AB269*AB178+AC269*AC178+AD269*AD178+AE269*AE178+AF269*AF178+AG269*AG178+AH269*AH178+AI269*AI178+AJ269*AJ178+AK269*AK178+AL269*AL178+AM269*AM178+AN269*AN178+AO269*AO178+AP269*AP178+AQ269*AQ178+AR269*AR178+AS269*AS178+AT269*AT178+AU269*AU178+AV269*AV178+AW269*AW178+AX269*AX178+AY269*AY178+AZ269*AZ178+BA269*BA178+BB269*BB178+BC269*BC178+BD269*BD178+BE269*BE178+BF269*BF178+BG269*BG178+BH269*BH178+BI269*BI178+BJ269*BJ178+BK269*BK178+BL269*BL178+BM269*BM178+BN269*BN178+BO269*BO178+BP269*BP178+BQ269*BQ178+BR269*BR178+BS269*BS178+BT269*BT178+BU269*BU178+BV269*BV178+BW269*BW178+BX269*BX178+BY269*BY178+BZ269*BZ178+CA269*CA178+CB269*CB178+CC269*CC178+CD269*CD178+CE269*CE178+CF269*CF178+CG269*CG178+CH269*CH178+CI269*CI178+CJ269*CJ178+CK269*CK178+CL269*CL178+CM269*CM178+CN269*CN178+CO269*CO178+CP269*CP178+CQ269*CQ178+CR269*CR178+CS269*CS178</f>
        <v>0</v>
      </c>
      <c r="CZ178" s="2504">
        <f>E270*E178+F270*F178+G270*G178+H270*H178+I270*I178+J270*J178+K270*K178+L270*L178+M270*M178+N270*N178+O270*O178+P270*P178+Q270*Q178+R270*R178+S270*S178+T270*T178+U270*U178+V270*V178+W270*W178+X270*X178+Y270*Y178+Z270*Z178+AA270*AA178+AB270*AB178+AC270*AC178+AD270*AD178+AE270*AE178+AF270*AF178+AG270*AG178+AH270*AH178+AI270*AI178+AJ270*AJ178+AK270*AK178+AL270*AL178+AM270*AM178+AN270*AN178+AO270*AO178+AP270*AP178+AQ270*AQ178+AR270*AR178+AS270*AS178+AT270*AT178+AU270*AU178+AV270*AV178+AW270*AW178+AX270*AX178+AY270*AY178+AZ270*AZ178+BA270*BA178+BB270*BB178+BC270*BC178+BD270*BD178+BE270*BE178+BF270*BF178+BG270*BG178+BH270*BH178+BI270*BI178+BJ270*BJ178+BK270*BK178+BL270*BL178+BM270*BM178+BN270*BN178+BO270*BO178+BP270*BP178+BQ270*BQ178+BR270*BR178+BS270*BS178+BT270*BT178+BU270*BU178+BV270*BV178+BW270*BW178+BX270*BX178+BY270*BY178+BZ270*BZ178+CA270*CA178+CB270*CB178+CC270*CC178+CD270*CD178+CE270*CE178+CF270*CF178+CG270*CG178+CH270*CH178+CI270*CI178+CJ270*CJ178+CK270*CK178+CL270*CL178+CM270*CM178+CN270*CN178+CO270*CO178+CP270*CP178+CQ270*CQ178+CR270*CR178+CS270*CS178</f>
        <v>0</v>
      </c>
      <c r="DA178" s="2504">
        <f>E271*E178+F271*F178+G271*G178+H271*H178+I271*I178+J271*J178+K271*K178+L271*L178+M271*M178+N271*N178+O271*O178+P271*P178+Q271*Q178+R271*R178+S271*S178+T271*T178+U271*U178+V271*V178+W271*W178+X271*X178+Y271*Y178+Z271*Z178+AA271*AA178+AB271*AB178+AC271*AC178+AD271*AD178+AE271*AE178+AF271*AF178+AG271*AG178+AH271*AH178+AI271*AI178+AJ271*AJ178+AK271*AK178+AL271*AL178+AM271*AM178+AN271*AN178+AO271*AO178+AP271*AP178+AQ271*AQ178+AR271*AR178+AS271*AS178+AT271*AT178+AU271*AU178+AV271*AV178+AW271*AW178+AX271*AX178+AY271*AY178+AZ271*AZ178+BA271*BA178+BB271*BB178+BC271*BC178+BD271*BD178+BE271*BE178+BF271*BF178+BG271*BG178+BH271*BH178+BI271*BI178+BJ271*BJ178+BK271*BK178+BL271*BL178+BM271*BM178+BN271*BN178+BO271*BO178+BP271*BP178+BQ271*BQ178+BR271*BR178+BS271*BS178+BT271*BT178+BU271*BU178+BV271*BV178+BW271*BW178+BX271*BX178+BY271*BY178+BZ271*BZ178+CA271*CA178+CB271*CB178+CC271*CC178+CD271*CD178+CE271*CE178+CF271*CF178+CG271*CG178+CH271*CH178+CI271*CI178+CJ271*CJ178+CK271*CK178+CL271*CL178+CM271*CM178+CN271*CN178+CO271*CO178+CP271*CP178+CQ271*CQ178+CR271*CR178+CS271*CS178</f>
        <v>0</v>
      </c>
      <c r="DB178" s="2504">
        <f>E272*E178+F272*F178+G272*G178+H272*H178+I272*I178+J272*J178+K272*K178+L272*L178+M272*M178+N272*N178+O272*O178+P272*P178+Q272*Q178+R272*R178+S272*S178+T272*T178+U272*U178+V272*V178+W272*W178+X272*X178+Y272*Y178+Z272*Z178+AA272*AA178+AB272*AB178+AC272*AC178+AD272*AD178+AE272*AE178+AF272*AF178+AG272*AG178+AH272*AH178+AI272*AI178+AJ272*AJ178+AK272*AK178+AL272*AL178+AM272*AM178+AN272*AN178+AO272*AO178+AP272*AP178+AQ272*AQ178+AR272*AR178+AS272*AS178+AT272*AT178+AU272*AU178+AV272*AV178+AW272*AW178+AX272*AX178+AY272*AY178+AZ272*AZ178+BA272*BA178+BB272*BB178+BC272*BC178+BD272*BD178+BE272*BE178+BF272*BF178+BG272*BG178+BH272*BH178+BI272*BI178+BJ272*BJ178+BK272*BK178+BL272*BL178+BM272*BM178+BN272*BN178+BO272*BO178+BP272*BP178+BQ272*BQ178+BR272*BR178+BS272*BS178+BT272*BT178+BU272*BU178+BV272*BV178+BW272*BW178+BX272*BX178+BY272*BY178+BZ272*BZ178+CA272*CA178+CB272*CB178+CC272*CC178+CD272*CD178+CE272*CE178+CF272*CF178+CG272*CG178+CH272*CH178+CI272*CI178+CJ272*CJ178+CK272*CK178+CL272*CL178+CM272*CM178+CN272*CN178+CO272*CO178+CP272*CP178+CQ272*CQ178+CR272*CR178+CS272*CS178</f>
        <v>0</v>
      </c>
      <c r="DC178" s="2504">
        <f>E273*E178+F273*F178+G273*G178+H273*H178+I273*I178+J273*J178+K273*K178+L273*L178+M273*M178+N273*N178+O273*O178+P273*P178+Q273*Q178+R273*R178+S273*S178+T273*T178+U273*U178+V273*V178+W273*W178+X273*X178+Y273*Y178+Z273*Z178+AA273*AA178+AB273*AB178+AC273*AC178+AD273*AD178+AE273*AE178+AF273*AF178+AG273*AG178+AH273*AH178+AI273*AI178+AJ273*AJ178+AK273*AK178+AL273*AL178+AM273*AM178+AN273*AN178+AO273*AO178+AP273*AP178+AQ273*AQ178+AR273*AR178+AS273*AS178+AT273*AT178+AU273*AU178+AV273*AV178+AW273*AW178+AX273*AX178+AY273*AY178+AZ273*AZ178+BA273*BA178+BB273*BB178+BC273*BC178+BD273*BD178+BE273*BE178+BF273*BF178+BG273*BG178+BH273*BH178+BI273*BI178+BJ273*BJ178+BK273*BK178+BL273*BL178+BM273*BM178+BN273*BN178+BO273*BO178+BP273*BP178+BQ273*BQ178+BR273*BR178+BS273*BS178+BT273*BT178+BU273*BU178+BV273*BV178+BW273*BW178+BX273*BX178+BY273*BY178+BZ273*BZ178+CA273*CA178+CB273*CB178+CC273*CC178+CD273*CD178+CE273*CE178+CF273*CF178+CG273*CG178+CH273*CH178+CI273*CI178+CJ273*CJ178+CK273*CK178+CL273*CL178+CM273*CM178+CN273*CN178+CO273*CO178+CP273*CP178+CQ273*CQ178+CR273*CR178+CS273*CS178</f>
        <v>0</v>
      </c>
      <c r="DD178" s="2504">
        <f>E274*E178+F274*F178+G274*G178+H274*H178+I274*I178+J274*J178+K274*K178+L274*L178+M274*M178+N274*N178+O274*O178+P274*P178+Q274*Q178+R274*R178+S274*S178+T274*T178+U274*U178+V274*V178+W274*W178+X274*X178+Y274*Y178+Z274*Z178+AA274*AA178+AB274*AB178+AC274*AC178+AD274*AD178+AE274*AE178+AF274*AF178+AG274*AG178+AH274*AH178+AI274*AI178+AJ274*AJ178+AK274*AK178+AL274*AL178+AM274*AM178+AN274*AN178+AO274*AO178+AP274*AP178+AQ274*AQ178+AR274*AR178+AS274*AS178+AT274*AT178+AU274*AU178+AV274*AV178+AW274*AW178+AX274*AX178+AY274*AY178+AZ274*AZ178+BA274*BA178+BB274*BB178+BC274*BC178+BD274*BD178+BE274*BE178+BF274*BF178+BG274*BG178+BH274*BH178+BI274*BI178+BJ274*BJ178+BK274*BK178+BL274*BL178+BM274*BM178+BN274*BN178+BO274*BO178+BP274*BP178+BQ274*BQ178+BR274*BR178+BS274*BS178+BT274*BT178+BU274*BU178+BV274*BV178+BW274*BW178+BX274*BX178+BY274*BY178+BZ274*BZ178+CA274*CA178+CB274*CB178+CC274*CC178+CD274*CD178+CE274*CE178+CF274*CF178+CG274*CG178+CH274*CH178+CI274*CI178+CJ274*CJ178+CK274*CK178+CL274*CL178+CM274*CM178+CN274*CN178+CO274*CO178+CP274*CP178+CQ274*CQ178+CR274*CR178+CS274*CS178</f>
        <v>0</v>
      </c>
      <c r="DE178" s="2504">
        <f>E275*E178+F275*F178+G275*G178+H275*H178+I275*I178+J275*J178+K275*K178+L275*L178+M275*M178+N275*N178+O275*O178+P275*P178+Q275*Q178+R275*R178+S275*S178+T275*T178+U275*U178+V275*V178+W275*W178+X275*X178+Y275*Y178+Z275*Z178+AA275*AA178+AB275*AB178+AC275*AC178+AD275*AD178+AE275*AE178+AF275*AF178+AG275*AG178+AH275*AH178+AI275*AI178+AJ275*AJ178+AK275*AK178+AL275*AL178+AM275*AM178+AN275*AN178+AO275*AO178+AP275*AP178+AQ275*AQ178+AR275*AR178+AS275*AS178+AT275*AT178+AU275*AU178+AV275*AV178+AW275*AW178+AX275*AX178+AY275*AY178+AZ275*AZ178+BA275*BA178+BB275*BB178+BC275*BC178+BD275*BD178+BE275*BE178+BF275*BF178+BG275*BG178+BH275*BH178+BI275*BI178+BJ275*BJ178+BK275*BK178+BL275*BL178+BM275*BM178+BN275*BN178+BO275*BO178+BP275*BP178+BQ275*BQ178+BR275*BR178+BS275*BS178+BT275*BT178+BU275*BU178+BV275*BV178+BW275*BW178+BX275*BX178+BY275*BY178+BZ275*BZ178+CA275*CA178+CB275*CB178+CC275*CC178+CD275*CD178+CE275*CE178+CF275*CF178+CG275*CG178+CH275*CH178+CI275*CI178+CJ275*CJ178+CK275*CK178+CL275*CL178+CM275*CM178+CN275*CN178+CO275*CO178+CP275*CP178+CQ275*CQ178+CR275*CR178+CS275*CS178</f>
        <v>0</v>
      </c>
      <c r="DF178" s="2504">
        <f>E276*E178+F276*F178+G276*G178+H276*H178+I276*I178+J276*J178+K276*K178+L276*L178+M276*M178+N276*N178+O276*O178+P276*P178+Q276*Q178+R276*R178+S276*S178+T276*T178+U276*U178+V276*V178+W276*W178+X276*X178+Y276*Y178+Z276*Z178+AA276*AA178+AB276*AB178+AC276*AC178+AD276*AD178+AE276*AE178+AF276*AF178+AG276*AG178+AH276*AH178+AI276*AI178+AJ276*AJ178+AK276*AK178+AL276*AL178+AM276*AM178+AN276*AN178+AO276*AO178+AP276*AP178+AQ276*AQ178+AR276*AR178+AS276*AS178+AT276*AT178+AU276*AU178+AV276*AV178+AW276*AW178+AX276*AX178+AY276*AY178+AZ276*AZ178+BA276*BA178+BB276*BB178+BC276*BC178+BD276*BD178+BE276*BE178+BF276*BF178+BG276*BG178+BH276*BH178+BI276*BI178+BJ276*BJ178+BK276*BK178+BL276*BL178+BM276*BM178+BN276*BN178+BO276*BO178+BP276*BP178+BQ276*BQ178+BR276*BR178+BS276*BS178+BT276*BT178+BU276*BU178+BV276*BV178+BW276*BW178+BX276*BX178+BY276*BY178+BZ276*BZ178+CA276*CA178+CB276*CB178+CC276*CC178+CD276*CD178+CE276*CE178+CF276*CF178+CG276*CG178+CH276*CH178+CI276*CI178+CJ276*CJ178+CK276*CK178+CL276*CL178+CM276*CM178+CN276*CN178+CO276*CO178+CP276*CP178+CQ276*CQ178+CR276*CR178+CS276*CS178</f>
        <v>0</v>
      </c>
    </row>
    <row r="179" spans="2:110" ht="18" x14ac:dyDescent="0.25">
      <c r="B179" s="1565">
        <v>37</v>
      </c>
      <c r="C179" s="1566" t="s">
        <v>4570</v>
      </c>
      <c r="D179" s="1567" t="s">
        <v>3044</v>
      </c>
      <c r="E179" s="1471">
        <f>(1-Y_CASTO_SB_ana-Y_CASTO_H2_ana_low)/Y_CASTO_SB_ana</f>
        <v>8</v>
      </c>
      <c r="F179" s="1470">
        <f>-1/Y_CASTO_SB_ana</f>
        <v>-10</v>
      </c>
      <c r="G179" s="1471">
        <f>0</f>
        <v>0</v>
      </c>
      <c r="H179" s="1471">
        <f>0</f>
        <v>0</v>
      </c>
      <c r="I179" s="1471">
        <f>0</f>
        <v>0</v>
      </c>
      <c r="J179" s="1471">
        <f>0</f>
        <v>0</v>
      </c>
      <c r="K179" s="1471">
        <f>0</f>
        <v>0</v>
      </c>
      <c r="L179" s="1471">
        <f>0</f>
        <v>0</v>
      </c>
      <c r="M179" s="1471">
        <f>0</f>
        <v>0</v>
      </c>
      <c r="N179" s="1470">
        <f>1</f>
        <v>1</v>
      </c>
      <c r="O179" s="1470">
        <f>0</f>
        <v>0</v>
      </c>
      <c r="P179" s="1471">
        <f>0</f>
        <v>0</v>
      </c>
      <c r="Q179" s="1471">
        <f>0</f>
        <v>0</v>
      </c>
      <c r="R179" s="1471">
        <f>0</f>
        <v>0</v>
      </c>
      <c r="S179" s="1471">
        <f>0</f>
        <v>0</v>
      </c>
      <c r="T179" s="1471">
        <f>0</f>
        <v>0</v>
      </c>
      <c r="U179" s="1471">
        <f>0</f>
        <v>0</v>
      </c>
      <c r="V179" s="1471">
        <f>0</f>
        <v>0</v>
      </c>
      <c r="W179" s="1471">
        <f>0</f>
        <v>0</v>
      </c>
      <c r="X179" s="1471">
        <f>0</f>
        <v>0</v>
      </c>
      <c r="Y179" s="1471">
        <f>0</f>
        <v>0</v>
      </c>
      <c r="Z179" s="1471">
        <f>0</f>
        <v>0</v>
      </c>
      <c r="AA179" s="1471">
        <f>0</f>
        <v>0</v>
      </c>
      <c r="AB179" s="1470">
        <f>0</f>
        <v>0</v>
      </c>
      <c r="AC179" s="1470">
        <f>0</f>
        <v>0</v>
      </c>
      <c r="AD179" s="1470">
        <f>0</f>
        <v>0</v>
      </c>
      <c r="AE179" s="1471">
        <f>0</f>
        <v>0</v>
      </c>
      <c r="AF179" s="1471">
        <f>0</f>
        <v>0</v>
      </c>
      <c r="AG179" s="1471">
        <f>0</f>
        <v>0</v>
      </c>
      <c r="AH179" s="1470">
        <f>0</f>
        <v>0</v>
      </c>
      <c r="AI179" s="1470">
        <f>0</f>
        <v>0</v>
      </c>
      <c r="AJ179" s="1470">
        <f>0</f>
        <v>0</v>
      </c>
      <c r="AK179" s="1470">
        <f>0</f>
        <v>0</v>
      </c>
      <c r="AL179" s="1470">
        <f>0</f>
        <v>0</v>
      </c>
      <c r="AM179" s="1471">
        <f>0</f>
        <v>0</v>
      </c>
      <c r="AN179" s="1470">
        <f>0</f>
        <v>0</v>
      </c>
      <c r="AO179" s="1471">
        <f>0</f>
        <v>0</v>
      </c>
      <c r="AP179" s="1471">
        <f>0</f>
        <v>0</v>
      </c>
      <c r="AQ179" s="1471">
        <f>0</f>
        <v>0</v>
      </c>
      <c r="AR179" s="1471">
        <f>0</f>
        <v>0</v>
      </c>
      <c r="AS179" s="1471">
        <f>0</f>
        <v>0</v>
      </c>
      <c r="AT179" s="1471">
        <f>0</f>
        <v>0</v>
      </c>
      <c r="AU179" s="1471">
        <f>Y_CASTO_H2_ana_low/Y_CASTO_SB_ana</f>
        <v>1</v>
      </c>
      <c r="AV179" s="1471">
        <f>(i_CIT_SB-i_CIT_VFA*(1-Y_CASTO_SB_ana-Y_CASTO_H2_ana_low)-i_CIT_PHA*Y_CASTO_SB_ana)/Y_CASTO_SB_ana</f>
        <v>-0.4730000000000007</v>
      </c>
      <c r="AW179" s="1470">
        <f>i_INORG</f>
        <v>0.11</v>
      </c>
      <c r="AX179" s="1470">
        <f>-i_INORG*(1-i_Ca_INORG*(A_MCa+2*A_MCl)/A_MCa-i_Mg_INORG*(A_MMg+2*A_MCl)/A_MMg)*f_Na</f>
        <v>-2.8804303582798466E-2</v>
      </c>
      <c r="AY179" s="1470">
        <f>-i_INORG*(i_Ca_INORG*(2*A_MCl)/A_MCa+i_Mg_INORG*(2*A_MCl)/A_MMg)-i_INORG*(1-i_Ca_INORG*(A_MCa+2*A_MCl)/A_MCa-i_Mg_INORG*(A_MMg+2*A_MCl)/A_MMg)*(1-f_Na)</f>
        <v>-7.0195696417201539E-2</v>
      </c>
      <c r="AZ179" s="1470">
        <f>-i_INORG*i_Ca_INORG</f>
        <v>-5.5000000000000005E-3</v>
      </c>
      <c r="BA179" s="1470">
        <f>-i_INORG*i_Mg_INORG</f>
        <v>-5.5000000000000005E-3</v>
      </c>
      <c r="BB179" s="1470">
        <f>0</f>
        <v>0</v>
      </c>
      <c r="BC179" s="1470">
        <f>0</f>
        <v>0</v>
      </c>
      <c r="BD179" s="1470">
        <f>0</f>
        <v>0</v>
      </c>
      <c r="BE179" s="1470">
        <f>0</f>
        <v>0</v>
      </c>
      <c r="BF179" s="1470">
        <f>0</f>
        <v>0</v>
      </c>
      <c r="BG179" s="1470">
        <f>0</f>
        <v>0</v>
      </c>
      <c r="BH179" s="1470">
        <f>0</f>
        <v>0</v>
      </c>
      <c r="BI179" s="1470">
        <f>0</f>
        <v>0</v>
      </c>
      <c r="BJ179" s="1470">
        <f>0</f>
        <v>0</v>
      </c>
      <c r="BK179" s="1470">
        <f>0</f>
        <v>0</v>
      </c>
      <c r="BL179" s="1470">
        <f>0</f>
        <v>0</v>
      </c>
      <c r="BM179" s="1470">
        <f>0</f>
        <v>0</v>
      </c>
      <c r="BN179" s="1470">
        <f>0</f>
        <v>0</v>
      </c>
      <c r="BO179" s="1470">
        <f>0</f>
        <v>0</v>
      </c>
      <c r="BP179" s="1470">
        <f>0</f>
        <v>0</v>
      </c>
      <c r="BQ179" s="1470">
        <f>0</f>
        <v>0</v>
      </c>
      <c r="BR179" s="1470">
        <f>0</f>
        <v>0</v>
      </c>
      <c r="BS179" s="1470">
        <f>0</f>
        <v>0</v>
      </c>
      <c r="BT179" s="1471">
        <f>0</f>
        <v>0</v>
      </c>
      <c r="BU179" s="1470">
        <f>0</f>
        <v>0</v>
      </c>
      <c r="BV179" s="1470">
        <f>0</f>
        <v>0</v>
      </c>
      <c r="BW179" s="2355">
        <f>0</f>
        <v>0</v>
      </c>
      <c r="BX179" s="2355">
        <f>0</f>
        <v>0</v>
      </c>
      <c r="BY179" s="2355">
        <f>0</f>
        <v>0</v>
      </c>
      <c r="BZ179" s="2355">
        <f>0</f>
        <v>0</v>
      </c>
      <c r="CA179" s="1470">
        <f>0</f>
        <v>0</v>
      </c>
      <c r="CB179" s="1470">
        <f>0</f>
        <v>0</v>
      </c>
      <c r="CC179" s="1470">
        <f>0</f>
        <v>0</v>
      </c>
      <c r="CD179" s="1470">
        <f>0</f>
        <v>0</v>
      </c>
      <c r="CE179" s="1470">
        <f>0</f>
        <v>0</v>
      </c>
      <c r="CF179" s="1470">
        <f>0</f>
        <v>0</v>
      </c>
      <c r="CG179" s="1470">
        <f>0</f>
        <v>0</v>
      </c>
      <c r="CH179" s="1470">
        <f>0</f>
        <v>0</v>
      </c>
      <c r="CI179" s="1470">
        <f>0</f>
        <v>0</v>
      </c>
      <c r="CJ179" s="1470">
        <f>0</f>
        <v>0</v>
      </c>
      <c r="CK179" s="1470">
        <f>0</f>
        <v>0</v>
      </c>
      <c r="CL179" s="1470">
        <f>0</f>
        <v>0</v>
      </c>
      <c r="CM179" s="1470">
        <f>0</f>
        <v>0</v>
      </c>
      <c r="CN179" s="1470">
        <f>0</f>
        <v>0</v>
      </c>
      <c r="CO179" s="1470">
        <f>0</f>
        <v>0</v>
      </c>
      <c r="CP179" s="1470">
        <f>0</f>
        <v>0</v>
      </c>
      <c r="CQ179" s="1470">
        <f>0</f>
        <v>0</v>
      </c>
      <c r="CR179" s="1470">
        <f>0</f>
        <v>0</v>
      </c>
      <c r="CS179" s="1470">
        <f>0</f>
        <v>0</v>
      </c>
      <c r="CT179" s="2482">
        <f>µ_FERM_PAO_T*X_CASTO*actferm_PAO_ORP*L_oginhSVFA_KVFA_FERM*M_satSB_KSB_ana*M_satSNHx_KNHx_BIO*M_satSPO4_KPO4_BIO*M_satSCAT_KCAT*M_satSAN_KAN*M_satSCa_KCa*M_satSMg_KMg*M_satSCO2_KCO2_BIO*B_ellinhpH</f>
        <v>3.917406641298463E-9</v>
      </c>
      <c r="CV179" s="2502">
        <f>E266*E179+F266*F179+G266*G179+H266*H179+I266*I179+J266*J179+K266*K179+L266*L179+M266*M179+N266*N179+O266*O179+P266*P179+Q266*Q179+R266*R179+S266*S179+T266*T179+U266*U179+V266*V179+W266*W179+X266*X179+Y266*Y179+Z266*Z179+AA266*AA179+AB266*AB179+AC266*AC179+AD266*AD179+AE266*AE179+AF266*AF179+AG266*AG179+AH266*AH179+AI266*AI179+AJ266*AJ179+AK266*AK179+AL266*AL179+AM266*AM179+AN266*AN179+AO266*AO179+AP266*AP179+AQ266*AQ179+AR266*AR179+AS266*AS179+AT266*AT179+AU266*AU179+AV266*AV179+AW266*AW179+AX266*AX179+AY266*AY179+AZ266*AZ179+BA266*BA179+BB266*BB179+BC266*BC179+BD266*BD179+BE266*BE179+BF266*BF179+BG266*BG179+BH266*BH179+BI266*BI179+BJ266*BJ179+BK266*BK179+BL266*BL179+BM266*BM179+BN266*BN179+BO266*BO179+BP266*BP179+BQ266*BQ179+BR266*BR179+BS266*BS179+BT266*BT179+BU266*BU179+BV266*BV179+BW266*BW179+BX266*BX179+BY266*BY179+BZ266*BZ179+CA266*CA179+CB266*CB179+CC266*CC179+CD266*CD179+CE266*CE179+CF266*CF179+CG266*CG179+CH266*CH179+CI266*CI179+CJ266*CJ179+CK266*CK179+CL266*CL179+CM266*CM179+CN266*CN179+CO266*CO179+CP266*CP179+CQ266*CQ179+CR266*CR179+CS266*CS179</f>
        <v>0</v>
      </c>
      <c r="CW179" s="2502">
        <f>E267*E179+F267*F179+G267*G179+H267*H179+I267*I179+J267*J179+K267*K179+L267*L179+M267*M179+N267*N179+O267*O179+P267*P179+Q267*Q179+R267*R179+S267*S179+T267*T179+U267*U179+V267*V179+W267*W179+X267*X179+Y267*Y179+Z267*Z179+AA267*AA179+AB267*AB179+AC267*AC179+AD267*AD179+AE267*AE179+AF267*AF179+AG267*AG179+AH267*AH179+AI267*AI179+AJ267*AJ179+AK267*AK179+AL267*AL179+AM267*AM179+AN267*AN179+AO267*AO179+AP267*AP179+AQ267*AQ179+AR267*AR179+AS267*AS179+AT267*AT179+AU267*AU179+AV267*AV179+AW267*AW179+AX267*AX179+AY267*AY179+AZ267*AZ179+BA267*BA179+BB267*BB179+BC267*BC179+BD267*BD179+BE267*BE179+BF267*BF179+BG267*BG179+BH267*BH179+BI267*BI179+BJ267*BJ179+BK267*BK179+BL267*BL179+BM267*BM179+BN267*BN179+BO267*BO179+BP267*BP179+BQ267*BQ179+BR267*BR179+BS267*BS179+BT267*BT179+BU267*BU179+BV267*BV179+BW267*BW179+BX267*BX179+BY267*BY179+BZ267*BZ179+CA267*CA179+CB267*CB179+CC267*CC179+CD267*CD179+CE267*CE179+CF267*CF179+CG267*CG179+CH267*CH179+CI267*CI179+CJ267*CJ179+CK267*CK179+CL267*CL179+CM267*CM179+CN267*CN179+CO267*CO179+CP267*CP179+CQ267*CQ179+CR267*CR179+CS267*CS179</f>
        <v>-5.5511151231257827E-16</v>
      </c>
      <c r="CX179" s="2503">
        <f>E268*E179+F268*F179+G268*G179+H268*H179+I268*I179+J268*J179+K268*K179+L268*L179+M268*M179+N268*N179+O268*O179+P268*P179+Q268*Q179+R268*R179+S268*S179+T268*T179+U268*U179+V268*V179+W268*W179+X268*X179+Y268*Y179+Z268*Z179+AA268*AA179+AB268*AB179+AC268*AC179+AD268*AD179+AE268*AE179+AF268*AF179+AG268*AG179+AH268*AH179+AI268*AI179+AJ268*AJ179+AK268*AK179+AL268*AL179+AM268*AM179+AN268*AN179+AO268*AO179+AP268*AP179+AQ268*AQ179+AR268*AR179+AS268*AS179+AT268*AT179+AU268*AU179+AV268*AV179+AW268*AW179+AX268*AX179+AY268*AY179+AZ268*AZ179+BA268*BA179+BB268*BB179+BC268*BC179+BD268*BD179+BE268*BE179+BF268*BF179+BG268*BG179+BH268*BH179+BI268*BI179+BJ268*BJ179+BK268*BK179+BL268*BL179+BM268*BM179+BN268*BN179+BO268*BO179+BP268*BP179+BQ268*BQ179+BR268*BR179+BS268*BS179+BT268*BT179+BU268*BU179+BV268*BV179+BW268*BW179+BX268*BX179+BY268*BY179+BZ268*BZ179+CA268*CA179+CB268*CB179+CC268*CC179+CD268*CD179+CE268*CE179+CF268*CF179+CG268*CG179+CH268*CH179+CI268*CI179+CJ268*CJ179+CK268*CK179+CL268*CL179+CM268*CM179+CN268*CN179+CO268*CO179+CP268*CP179+CQ268*CQ179+CR268*CR179+CS268*CS179</f>
        <v>0</v>
      </c>
      <c r="CY179" s="2504">
        <f>E269*E179+F269*F179+G269*G179+H269*H179+I269*I179+J269*J179+K269*K179+L269*L179+M269*M179+N269*N179+O269*O179+P269*P179+Q269*Q179+R269*R179+S269*S179+T269*T179+U269*U179+V269*V179+W269*W179+X269*X179+Y269*Y179+Z269*Z179+AA269*AA179+AB269*AB179+AC269*AC179+AD269*AD179+AE269*AE179+AF269*AF179+AG269*AG179+AH269*AH179+AI269*AI179+AJ269*AJ179+AK269*AK179+AL269*AL179+AM269*AM179+AN269*AN179+AO269*AO179+AP269*AP179+AQ269*AQ179+AR269*AR179+AS269*AS179+AT269*AT179+AU269*AU179+AV269*AV179+AW269*AW179+AX269*AX179+AY269*AY179+AZ269*AZ179+BA269*BA179+BB269*BB179+BC269*BC179+BD269*BD179+BE269*BE179+BF269*BF179+BG269*BG179+BH269*BH179+BI269*BI179+BJ269*BJ179+BK269*BK179+BL269*BL179+BM269*BM179+BN269*BN179+BO269*BO179+BP269*BP179+BQ269*BQ179+BR269*BR179+BS269*BS179+BT269*BT179+BU269*BU179+BV269*BV179+BW269*BW179+BX269*BX179+BY269*BY179+BZ269*BZ179+CA269*CA179+CB269*CB179+CC269*CC179+CD269*CD179+CE269*CE179+CF269*CF179+CG269*CG179+CH269*CH179+CI269*CI179+CJ269*CJ179+CK269*CK179+CL269*CL179+CM269*CM179+CN269*CN179+CO269*CO179+CP269*CP179+CQ269*CQ179+CR269*CR179+CS269*CS179</f>
        <v>0</v>
      </c>
      <c r="CZ179" s="2504">
        <f>E270*E179+F270*F179+G270*G179+H270*H179+I270*I179+J270*J179+K270*K179+L270*L179+M270*M179+N270*N179+O270*O179+P270*P179+Q270*Q179+R270*R179+S270*S179+T270*T179+U270*U179+V270*V179+W270*W179+X270*X179+Y270*Y179+Z270*Z179+AA270*AA179+AB270*AB179+AC270*AC179+AD270*AD179+AE270*AE179+AF270*AF179+AG270*AG179+AH270*AH179+AI270*AI179+AJ270*AJ179+AK270*AK179+AL270*AL179+AM270*AM179+AN270*AN179+AO270*AO179+AP270*AP179+AQ270*AQ179+AR270*AR179+AS270*AS179+AT270*AT179+AU270*AU179+AV270*AV179+AW270*AW179+AX270*AX179+AY270*AY179+AZ270*AZ179+BA270*BA179+BB270*BB179+BC270*BC179+BD270*BD179+BE270*BE179+BF270*BF179+BG270*BG179+BH270*BH179+BI270*BI179+BJ270*BJ179+BK270*BK179+BL270*BL179+BM270*BM179+BN270*BN179+BO270*BO179+BP270*BP179+BQ270*BQ179+BR270*BR179+BS270*BS179+BT270*BT179+BU270*BU179+BV270*BV179+BW270*BW179+BX270*BX179+BY270*BY179+BZ270*BZ179+CA270*CA179+CB270*CB179+CC270*CC179+CD270*CD179+CE270*CE179+CF270*CF179+CG270*CG179+CH270*CH179+CI270*CI179+CJ270*CJ179+CK270*CK179+CL270*CL179+CM270*CM179+CN270*CN179+CO270*CO179+CP270*CP179+CQ270*CQ179+CR270*CR179+CS270*CS179</f>
        <v>0</v>
      </c>
      <c r="DA179" s="2504">
        <f>E271*E179+F271*F179+G271*G179+H271*H179+I271*I179+J271*J179+K271*K179+L271*L179+M271*M179+N271*N179+O271*O179+P271*P179+Q271*Q179+R271*R179+S271*S179+T271*T179+U271*U179+V271*V179+W271*W179+X271*X179+Y271*Y179+Z271*Z179+AA271*AA179+AB271*AB179+AC271*AC179+AD271*AD179+AE271*AE179+AF271*AF179+AG271*AG179+AH271*AH179+AI271*AI179+AJ271*AJ179+AK271*AK179+AL271*AL179+AM271*AM179+AN271*AN179+AO271*AO179+AP271*AP179+AQ271*AQ179+AR271*AR179+AS271*AS179+AT271*AT179+AU271*AU179+AV271*AV179+AW271*AW179+AX271*AX179+AY271*AY179+AZ271*AZ179+BA271*BA179+BB271*BB179+BC271*BC179+BD271*BD179+BE271*BE179+BF271*BF179+BG271*BG179+BH271*BH179+BI271*BI179+BJ271*BJ179+BK271*BK179+BL271*BL179+BM271*BM179+BN271*BN179+BO271*BO179+BP271*BP179+BQ271*BQ179+BR271*BR179+BS271*BS179+BT271*BT179+BU271*BU179+BV271*BV179+BW271*BW179+BX271*BX179+BY271*BY179+BZ271*BZ179+CA271*CA179+CB271*CB179+CC271*CC179+CD271*CD179+CE271*CE179+CF271*CF179+CG271*CG179+CH271*CH179+CI271*CI179+CJ271*CJ179+CK271*CK179+CL271*CL179+CM271*CM179+CN271*CN179+CO271*CO179+CP271*CP179+CQ271*CQ179+CR271*CR179+CS271*CS179</f>
        <v>0</v>
      </c>
      <c r="DB179" s="2504">
        <f>E272*E179+F272*F179+G272*G179+H272*H179+I272*I179+J272*J179+K272*K179+L272*L179+M272*M179+N272*N179+O272*O179+P272*P179+Q272*Q179+R272*R179+S272*S179+T272*T179+U272*U179+V272*V179+W272*W179+X272*X179+Y272*Y179+Z272*Z179+AA272*AA179+AB272*AB179+AC272*AC179+AD272*AD179+AE272*AE179+AF272*AF179+AG272*AG179+AH272*AH179+AI272*AI179+AJ272*AJ179+AK272*AK179+AL272*AL179+AM272*AM179+AN272*AN179+AO272*AO179+AP272*AP179+AQ272*AQ179+AR272*AR179+AS272*AS179+AT272*AT179+AU272*AU179+AV272*AV179+AW272*AW179+AX272*AX179+AY272*AY179+AZ272*AZ179+BA272*BA179+BB272*BB179+BC272*BC179+BD272*BD179+BE272*BE179+BF272*BF179+BG272*BG179+BH272*BH179+BI272*BI179+BJ272*BJ179+BK272*BK179+BL272*BL179+BM272*BM179+BN272*BN179+BO272*BO179+BP272*BP179+BQ272*BQ179+BR272*BR179+BS272*BS179+BT272*BT179+BU272*BU179+BV272*BV179+BW272*BW179+BX272*BX179+BY272*BY179+BZ272*BZ179+CA272*CA179+CB272*CB179+CC272*CC179+CD272*CD179+CE272*CE179+CF272*CF179+CG272*CG179+CH272*CH179+CI272*CI179+CJ272*CJ179+CK272*CK179+CL272*CL179+CM272*CM179+CN272*CN179+CO272*CO179+CP272*CP179+CQ272*CQ179+CR272*CR179+CS272*CS179</f>
        <v>0</v>
      </c>
      <c r="DC179" s="2504">
        <f>E273*E179+F273*F179+G273*G179+H273*H179+I273*I179+J273*J179+K273*K179+L273*L179+M273*M179+N273*N179+O273*O179+P273*P179+Q273*Q179+R273*R179+S273*S179+T273*T179+U273*U179+V273*V179+W273*W179+X273*X179+Y273*Y179+Z273*Z179+AA273*AA179+AB273*AB179+AC273*AC179+AD273*AD179+AE273*AE179+AF273*AF179+AG273*AG179+AH273*AH179+AI273*AI179+AJ273*AJ179+AK273*AK179+AL273*AL179+AM273*AM179+AN273*AN179+AO273*AO179+AP273*AP179+AQ273*AQ179+AR273*AR179+AS273*AS179+AT273*AT179+AU273*AU179+AV273*AV179+AW273*AW179+AX273*AX179+AY273*AY179+AZ273*AZ179+BA273*BA179+BB273*BB179+BC273*BC179+BD273*BD179+BE273*BE179+BF273*BF179+BG273*BG179+BH273*BH179+BI273*BI179+BJ273*BJ179+BK273*BK179+BL273*BL179+BM273*BM179+BN273*BN179+BO273*BO179+BP273*BP179+BQ273*BQ179+BR273*BR179+BS273*BS179+BT273*BT179+BU273*BU179+BV273*BV179+BW273*BW179+BX273*BX179+BY273*BY179+BZ273*BZ179+CA273*CA179+CB273*CB179+CC273*CC179+CD273*CD179+CE273*CE179+CF273*CF179+CG273*CG179+CH273*CH179+CI273*CI179+CJ273*CJ179+CK273*CK179+CL273*CL179+CM273*CM179+CN273*CN179+CO273*CO179+CP273*CP179+CQ273*CQ179+CR273*CR179+CS273*CS179</f>
        <v>0</v>
      </c>
      <c r="DD179" s="2504">
        <f>E274*E179+F274*F179+G274*G179+H274*H179+I274*I179+J274*J179+K274*K179+L274*L179+M274*M179+N274*N179+O274*O179+P274*P179+Q274*Q179+R274*R179+S274*S179+T274*T179+U274*U179+V274*V179+W274*W179+X274*X179+Y274*Y179+Z274*Z179+AA274*AA179+AB274*AB179+AC274*AC179+AD274*AD179+AE274*AE179+AF274*AF179+AG274*AG179+AH274*AH179+AI274*AI179+AJ274*AJ179+AK274*AK179+AL274*AL179+AM274*AM179+AN274*AN179+AO274*AO179+AP274*AP179+AQ274*AQ179+AR274*AR179+AS274*AS179+AT274*AT179+AU274*AU179+AV274*AV179+AW274*AW179+AX274*AX179+AY274*AY179+AZ274*AZ179+BA274*BA179+BB274*BB179+BC274*BC179+BD274*BD179+BE274*BE179+BF274*BF179+BG274*BG179+BH274*BH179+BI274*BI179+BJ274*BJ179+BK274*BK179+BL274*BL179+BM274*BM179+BN274*BN179+BO274*BO179+BP274*BP179+BQ274*BQ179+BR274*BR179+BS274*BS179+BT274*BT179+BU274*BU179+BV274*BV179+BW274*BW179+BX274*BX179+BY274*BY179+BZ274*BZ179+CA274*CA179+CB274*CB179+CC274*CC179+CD274*CD179+CE274*CE179+CF274*CF179+CG274*CG179+CH274*CH179+CI274*CI179+CJ274*CJ179+CK274*CK179+CL274*CL179+CM274*CM179+CN274*CN179+CO274*CO179+CP274*CP179+CQ274*CQ179+CR274*CR179+CS274*CS179</f>
        <v>0</v>
      </c>
      <c r="DE179" s="2504">
        <f>E275*E179+F275*F179+G275*G179+H275*H179+I275*I179+J275*J179+K275*K179+L275*L179+M275*M179+N275*N179+O275*O179+P275*P179+Q275*Q179+R275*R179+S275*S179+T275*T179+U275*U179+V275*V179+W275*W179+X275*X179+Y275*Y179+Z275*Z179+AA275*AA179+AB275*AB179+AC275*AC179+AD275*AD179+AE275*AE179+AF275*AF179+AG275*AG179+AH275*AH179+AI275*AI179+AJ275*AJ179+AK275*AK179+AL275*AL179+AM275*AM179+AN275*AN179+AO275*AO179+AP275*AP179+AQ275*AQ179+AR275*AR179+AS275*AS179+AT275*AT179+AU275*AU179+AV275*AV179+AW275*AW179+AX275*AX179+AY275*AY179+AZ275*AZ179+BA275*BA179+BB275*BB179+BC275*BC179+BD275*BD179+BE275*BE179+BF275*BF179+BG275*BG179+BH275*BH179+BI275*BI179+BJ275*BJ179+BK275*BK179+BL275*BL179+BM275*BM179+BN275*BN179+BO275*BO179+BP275*BP179+BQ275*BQ179+BR275*BR179+BS275*BS179+BT275*BT179+BU275*BU179+BV275*BV179+BW275*BW179+BX275*BX179+BY275*BY179+BZ275*BZ179+CA275*CA179+CB275*CB179+CC275*CC179+CD275*CD179+CE275*CE179+CF275*CF179+CG275*CG179+CH275*CH179+CI275*CI179+CJ275*CJ179+CK275*CK179+CL275*CL179+CM275*CM179+CN275*CN179+CO275*CO179+CP275*CP179+CQ275*CQ179+CR275*CR179+CS275*CS179</f>
        <v>0</v>
      </c>
      <c r="DF179" s="2504">
        <f>E276*E179+F276*F179+G276*G179+H276*H179+I276*I179+J276*J179+K276*K179+L276*L179+M276*M179+N276*N179+O276*O179+P276*P179+Q276*Q179+R276*R179+S276*S179+T276*T179+U276*U179+V276*V179+W276*W179+X276*X179+Y276*Y179+Z276*Z179+AA276*AA179+AB276*AB179+AC276*AC179+AD276*AD179+AE276*AE179+AF276*AF179+AG276*AG179+AH276*AH179+AI276*AI179+AJ276*AJ179+AK276*AK179+AL276*AL179+AM276*AM179+AN276*AN179+AO276*AO179+AP276*AP179+AQ276*AQ179+AR276*AR179+AS276*AS179+AT276*AT179+AU276*AU179+AV276*AV179+AW276*AW179+AX276*AX179+AY276*AY179+AZ276*AZ179+BA276*BA179+BB276*BB179+BC276*BC179+BD276*BD179+BE276*BE179+BF276*BF179+BG276*BG179+BH276*BH179+BI276*BI179+BJ276*BJ179+BK276*BK179+BL276*BL179+BM276*BM179+BN276*BN179+BO276*BO179+BP276*BP179+BQ276*BQ179+BR276*BR179+BS276*BS179+BT276*BT179+BU276*BU179+BV276*BV179+BW276*BW179+BX276*BX179+BY276*BY179+BZ276*BZ179+CA276*CA179+CB276*CB179+CC276*CC179+CD276*CD179+CE276*CE179+CF276*CF179+CG276*CG179+CH276*CH179+CI276*CI179+CJ276*CJ179+CK276*CK179+CL276*CL179+CM276*CM179+CN276*CN179+CO276*CO179+CP276*CP179+CQ276*CQ179+CR276*CR179+CS276*CS179</f>
        <v>0</v>
      </c>
    </row>
    <row r="180" spans="2:110" x14ac:dyDescent="0.25">
      <c r="B180" s="1565">
        <v>38</v>
      </c>
      <c r="C180" s="1566" t="s">
        <v>4571</v>
      </c>
      <c r="D180" s="1567" t="s">
        <v>4174</v>
      </c>
      <c r="E180" s="1470">
        <f>X_STC/X_CASTO</f>
        <v>4.5999999999999999E-2</v>
      </c>
      <c r="F180" s="1471">
        <f>0</f>
        <v>0</v>
      </c>
      <c r="G180" s="1471">
        <f>0</f>
        <v>0</v>
      </c>
      <c r="H180" s="1471">
        <f>0</f>
        <v>0</v>
      </c>
      <c r="I180" s="1471">
        <f>0</f>
        <v>0</v>
      </c>
      <c r="J180" s="1471">
        <f>1-f_E</f>
        <v>0.92</v>
      </c>
      <c r="K180" s="1471">
        <f>0</f>
        <v>0</v>
      </c>
      <c r="L180" s="1471">
        <f>0</f>
        <v>0</v>
      </c>
      <c r="M180" s="1471">
        <f>0</f>
        <v>0</v>
      </c>
      <c r="N180" s="2355">
        <f>-X_PHA_PAO/X_CASTO</f>
        <v>-0.04</v>
      </c>
      <c r="O180" s="2355">
        <f>-X_PHA_GAO/X_CASTO</f>
        <v>-6.0000000000000001E-3</v>
      </c>
      <c r="P180" s="1471">
        <f>f_E</f>
        <v>0.08</v>
      </c>
      <c r="Q180" s="1471">
        <f>0</f>
        <v>0</v>
      </c>
      <c r="R180" s="1471">
        <f>0</f>
        <v>0</v>
      </c>
      <c r="S180" s="1471">
        <f>-1</f>
        <v>-1</v>
      </c>
      <c r="T180" s="1471">
        <f>0</f>
        <v>0</v>
      </c>
      <c r="U180" s="1471">
        <f>0</f>
        <v>0</v>
      </c>
      <c r="V180" s="1471">
        <f>0</f>
        <v>0</v>
      </c>
      <c r="W180" s="1471">
        <f>0</f>
        <v>0</v>
      </c>
      <c r="X180" s="1471">
        <f>0</f>
        <v>0</v>
      </c>
      <c r="Y180" s="1471">
        <f>0</f>
        <v>0</v>
      </c>
      <c r="Z180" s="1471">
        <f>0</f>
        <v>0</v>
      </c>
      <c r="AA180" s="1471">
        <f>-f_E*(i_N_XE-i_N_BIO)</f>
        <v>8.0000000000000069E-4</v>
      </c>
      <c r="AB180" s="1471">
        <f>0</f>
        <v>0</v>
      </c>
      <c r="AC180" s="1471">
        <f>0</f>
        <v>0</v>
      </c>
      <c r="AD180" s="1471">
        <f>0</f>
        <v>0</v>
      </c>
      <c r="AE180" s="1471">
        <f>0</f>
        <v>0</v>
      </c>
      <c r="AF180" s="1471">
        <f>0</f>
        <v>0</v>
      </c>
      <c r="AG180" s="1471">
        <f>0</f>
        <v>0</v>
      </c>
      <c r="AH180" s="1471">
        <f>0</f>
        <v>0</v>
      </c>
      <c r="AI180" s="1471">
        <f>0</f>
        <v>0</v>
      </c>
      <c r="AJ180" s="1471">
        <f>0</f>
        <v>0</v>
      </c>
      <c r="AK180" s="1471">
        <f>(1-f_E)*i_N_BIO</f>
        <v>6.4400000000000013E-2</v>
      </c>
      <c r="AL180" s="1471">
        <f>0</f>
        <v>0</v>
      </c>
      <c r="AM180" s="1470">
        <f>X_PP/X_CASTO</f>
        <v>0.12</v>
      </c>
      <c r="AN180" s="1470">
        <f>-X_PP/X_CASTO</f>
        <v>-0.12</v>
      </c>
      <c r="AO180" s="1471">
        <f>0</f>
        <v>0</v>
      </c>
      <c r="AP180" s="1471">
        <f>0</f>
        <v>0</v>
      </c>
      <c r="AQ180" s="1471">
        <f>(1-f_E)*i_P_BIO</f>
        <v>1.84E-2</v>
      </c>
      <c r="AR180" s="1471">
        <f>0</f>
        <v>0</v>
      </c>
      <c r="AS180" s="1471">
        <f>0</f>
        <v>0</v>
      </c>
      <c r="AT180" s="1471">
        <f>0</f>
        <v>0</v>
      </c>
      <c r="AU180" s="1471">
        <f>0</f>
        <v>0</v>
      </c>
      <c r="AV180" s="1471">
        <f>(1-f_E)*(i_CIT_BIO-i_CIT_XBe)+(i_CIT_STC-i_CIT_VFA)*X_STC/X_CASTO</f>
        <v>5.8788000000000007E-2</v>
      </c>
      <c r="AW180" s="1471">
        <f>0</f>
        <v>0</v>
      </c>
      <c r="AX180" s="1470">
        <f>0</f>
        <v>0</v>
      </c>
      <c r="AY180" s="1470">
        <f>0</f>
        <v>0</v>
      </c>
      <c r="AZ180" s="1470">
        <f>X_PP*A_MCa/A_MP*i_Ca_PP/X_CASTO</f>
        <v>1.5527206443135931E-2</v>
      </c>
      <c r="BA180" s="1470">
        <f>X_PP*A_MMg/A_MP*i_Mg_PP/X_CASTO</f>
        <v>3.295724921656433E-2</v>
      </c>
      <c r="BB180" s="1470">
        <f>X_PP*A_MK/A_MP*i_K_PP/X_CASTO</f>
        <v>1.5147646481253094E-2</v>
      </c>
      <c r="BC180" s="1471">
        <f>0</f>
        <v>0</v>
      </c>
      <c r="BD180" s="1471">
        <f>0</f>
        <v>0</v>
      </c>
      <c r="BE180" s="1471">
        <f>0</f>
        <v>0</v>
      </c>
      <c r="BF180" s="1471">
        <f>0</f>
        <v>0</v>
      </c>
      <c r="BG180" s="1471">
        <f>0</f>
        <v>0</v>
      </c>
      <c r="BH180" s="1471">
        <f>0</f>
        <v>0</v>
      </c>
      <c r="BI180" s="1471">
        <f>0</f>
        <v>0</v>
      </c>
      <c r="BJ180" s="1471">
        <f>0</f>
        <v>0</v>
      </c>
      <c r="BK180" s="1471">
        <f>0</f>
        <v>0</v>
      </c>
      <c r="BL180" s="1471">
        <f>0</f>
        <v>0</v>
      </c>
      <c r="BM180" s="1471">
        <f>0</f>
        <v>0</v>
      </c>
      <c r="BN180" s="1471">
        <f>0</f>
        <v>0</v>
      </c>
      <c r="BO180" s="1471">
        <f>0</f>
        <v>0</v>
      </c>
      <c r="BP180" s="1471">
        <f>0</f>
        <v>0</v>
      </c>
      <c r="BQ180" s="1471">
        <f>0</f>
        <v>0</v>
      </c>
      <c r="BR180" s="1471">
        <f>0</f>
        <v>0</v>
      </c>
      <c r="BS180" s="1471">
        <f>0</f>
        <v>0</v>
      </c>
      <c r="BT180" s="1471">
        <f>0</f>
        <v>0</v>
      </c>
      <c r="BU180" s="1471">
        <f>0</f>
        <v>0</v>
      </c>
      <c r="BV180" s="1471">
        <f>0</f>
        <v>0</v>
      </c>
      <c r="BW180" s="2356">
        <f>0</f>
        <v>0</v>
      </c>
      <c r="BX180" s="2356">
        <f>0</f>
        <v>0</v>
      </c>
      <c r="BY180" s="2356">
        <f>0</f>
        <v>0</v>
      </c>
      <c r="BZ180" s="2356">
        <f>0</f>
        <v>0</v>
      </c>
      <c r="CA180" s="1471">
        <f>0</f>
        <v>0</v>
      </c>
      <c r="CB180" s="1471">
        <f>0</f>
        <v>0</v>
      </c>
      <c r="CC180" s="1471">
        <f>0</f>
        <v>0</v>
      </c>
      <c r="CD180" s="1471">
        <f>0</f>
        <v>0</v>
      </c>
      <c r="CE180" s="1471">
        <f>0</f>
        <v>0</v>
      </c>
      <c r="CF180" s="1471">
        <f>0</f>
        <v>0</v>
      </c>
      <c r="CG180" s="1471">
        <f>0</f>
        <v>0</v>
      </c>
      <c r="CH180" s="1471">
        <f>0</f>
        <v>0</v>
      </c>
      <c r="CI180" s="1471">
        <f>0</f>
        <v>0</v>
      </c>
      <c r="CJ180" s="1471">
        <f>0</f>
        <v>0</v>
      </c>
      <c r="CK180" s="1471">
        <f>0</f>
        <v>0</v>
      </c>
      <c r="CL180" s="1471">
        <f>0</f>
        <v>0</v>
      </c>
      <c r="CM180" s="1471">
        <f>0</f>
        <v>0</v>
      </c>
      <c r="CN180" s="1471">
        <f>0</f>
        <v>0</v>
      </c>
      <c r="CO180" s="1471">
        <f>0</f>
        <v>0</v>
      </c>
      <c r="CP180" s="1471">
        <f>0</f>
        <v>0</v>
      </c>
      <c r="CQ180" s="1471">
        <f>0</f>
        <v>0</v>
      </c>
      <c r="CR180" s="1471">
        <f>0</f>
        <v>0</v>
      </c>
      <c r="CS180" s="1471">
        <f>0</f>
        <v>0</v>
      </c>
      <c r="CT180" s="2482">
        <f>b_CASTO_T*M_RinhXSTC_XCASTO_KSTC*(X_CASTO*M_satSO2_KO2_CASTO+η_bCASTO_anox*(X_GAO+X_PAO*M_RinhXPP_XPAO_KPP)*(M_satSNO2_KNO2_CASTO+M_inhSNO2_KNO2_CASTO*M_satSNO3_KNO3_CASTO)*M_inhSO2_KO2_CASTO)</f>
        <v>26.791831827110222</v>
      </c>
      <c r="CV180" s="2502">
        <f>E266*E180+F266*F180+G266*G180+H266*H180+I266*I180+J266*J180+K266*K180+L266*L180+M266*M180+N266*N180+O266*O180+P266*P180+Q266*Q180+R266*R180+S266*S180+T266*T180+U266*U180+V266*V180+W266*W180+X266*X180+Y266*Y180+Z266*Z180+AA266*AA180+AB266*AB180+AC266*AC180+AD266*AD180+AE266*AE180+AF266*AF180+AG266*AG180+AH266*AH180+AI266*AI180+AJ266*AJ180+AK266*AK180+AL266*AL180+AM266*AM180+AN266*AN180+AO266*AO180+AP266*AP180+AQ266*AQ180+AR266*AR180+AS266*AS180+AT266*AT180+AU266*AU180+AV266*AV180+AW266*AW180+AX266*AX180+AY266*AY180+AZ266*AZ180+BA266*BA180+BB266*BB180+BC266*BC180+BD266*BD180+BE266*BE180+BF266*BF180+BG266*BG180+BH266*BH180+BI266*BI180+BJ266*BJ180+BK266*BK180+BL266*BL180+BM266*BM180+BN266*BN180+BO266*BO180+BP266*BP180+BQ266*BQ180+BR266*BR180+BS266*BS180+BT266*BT180+BU266*BU180+BV266*BV180+BW266*BW180+BX266*BX180+BY266*BY180+BZ266*BZ180+CA266*CA180+CB266*CB180+CC266*CC180+CD266*CD180+CE266*CE180+CF266*CF180+CG266*CG180+CH266*CH180+CI266*CI180+CJ266*CJ180+CK266*CK180+CL266*CL180+CM266*CM180+CN266*CN180+CO266*CO180+CP266*CP180+CQ266*CQ180+CR266*CR180+CS266*CS180</f>
        <v>0</v>
      </c>
      <c r="CW180" s="2502">
        <f>E267*E180+F267*F180+G267*G180+H267*H180+I267*I180+J267*J180+K267*K180+L267*L180+M267*M180+N267*N180+O267*O180+P267*P180+Q267*Q180+R267*R180+S267*S180+T267*T180+U267*U180+V267*V180+W267*W180+X267*X180+Y267*Y180+Z267*Z180+AA267*AA180+AB267*AB180+AC267*AC180+AD267*AD180+AE267*AE180+AF267*AF180+AG267*AG180+AH267*AH180+AI267*AI180+AJ267*AJ180+AK267*AK180+AL267*AL180+AM267*AM180+AN267*AN180+AO267*AO180+AP267*AP180+AQ267*AQ180+AR267*AR180+AS267*AS180+AT267*AT180+AU267*AU180+AV267*AV180+AW267*AW180+AX267*AX180+AY267*AY180+AZ267*AZ180+BA267*BA180+BB267*BB180+BC267*BC180+BD267*BD180+BE267*BE180+BF267*BF180+BG267*BG180+BH267*BH180+BI267*BI180+BJ267*BJ180+BK267*BK180+BL267*BL180+BM267*BM180+BN267*BN180+BO267*BO180+BP267*BP180+BQ267*BQ180+BR267*BR180+BS267*BS180+BT267*BT180+BU267*BU180+BV267*BV180+BW267*BW180+BX267*BX180+BY267*BY180+BZ267*BZ180+CA267*CA180+CB267*CB180+CC267*CC180+CD267*CD180+CE267*CE180+CF267*CF180+CG267*CG180+CH267*CH180+CI267*CI180+CJ267*CJ180+CK267*CK180+CL267*CL180+CM267*CM180+CN267*CN180+CO267*CO180+CP267*CP180+CQ267*CQ180+CR267*CR180+CS267*CS180</f>
        <v>0</v>
      </c>
      <c r="CX180" s="2503">
        <f>E268*E180+F268*F180+G268*G180+H268*H180+I268*I180+J268*J180+K268*K180+L268*L180+M268*M180+N268*N180+O268*O180+P268*P180+Q268*Q180+R268*R180+S268*S180+T268*T180+U268*U180+V268*V180+W268*W180+X268*X180+Y268*Y180+Z268*Z180+AA268*AA180+AB268*AB180+AC268*AC180+AD268*AD180+AE268*AE180+AF268*AF180+AG268*AG180+AH268*AH180+AI268*AI180+AJ268*AJ180+AK268*AK180+AL268*AL180+AM268*AM180+AN268*AN180+AO268*AO180+AP268*AP180+AQ268*AQ180+AR268*AR180+AS268*AS180+AT268*AT180+AU268*AU180+AV268*AV180+AW268*AW180+AX268*AX180+AY268*AY180+AZ268*AZ180+BA268*BA180+BB268*BB180+BC268*BC180+BD268*BD180+BE268*BE180+BF268*BF180+BG268*BG180+BH268*BH180+BI268*BI180+BJ268*BJ180+BK268*BK180+BL268*BL180+BM268*BM180+BN268*BN180+BO268*BO180+BP268*BP180+BQ268*BQ180+BR268*BR180+BS268*BS180+BT268*BT180+BU268*BU180+BV268*BV180+BW268*BW180+BX268*BX180+BY268*BY180+BZ268*BZ180+CA268*CA180+CB268*CB180+CC268*CC180+CD268*CD180+CE268*CE180+CF268*CF180+CG268*CG180+CH268*CH180+CI268*CI180+CJ268*CJ180+CK268*CK180+CL268*CL180+CM268*CM180+CN268*CN180+CO268*CO180+CP268*CP180+CQ268*CQ180+CR268*CR180+CS268*CS180</f>
        <v>0</v>
      </c>
      <c r="CY180" s="2504">
        <f>E269*E180+F269*F180+G269*G180+H269*H180+I269*I180+J269*J180+K269*K180+L269*L180+M269*M180+N269*N180+O269*O180+P269*P180+Q269*Q180+R269*R180+S269*S180+T269*T180+U269*U180+V269*V180+W269*W180+X269*X180+Y269*Y180+Z269*Z180+AA269*AA180+AB269*AB180+AC269*AC180+AD269*AD180+AE269*AE180+AF269*AF180+AG269*AG180+AH269*AH180+AI269*AI180+AJ269*AJ180+AK269*AK180+AL269*AL180+AM269*AM180+AN269*AN180+AO269*AO180+AP269*AP180+AQ269*AQ180+AR269*AR180+AS269*AS180+AT269*AT180+AU269*AU180+AV269*AV180+AW269*AW180+AX269*AX180+AY269*AY180+AZ269*AZ180+BA269*BA180+BB269*BB180+BC269*BC180+BD269*BD180+BE269*BE180+BF269*BF180+BG269*BG180+BH269*BH180+BI269*BI180+BJ269*BJ180+BK269*BK180+BL269*BL180+BM269*BM180+BN269*BN180+BO269*BO180+BP269*BP180+BQ269*BQ180+BR269*BR180+BS269*BS180+BT269*BT180+BU269*BU180+BV269*BV180+BW269*BW180+BX269*BX180+BY269*BY180+BZ269*BZ180+CA269*CA180+CB269*CB180+CC269*CC180+CD269*CD180+CE269*CE180+CF269*CF180+CG269*CG180+CH269*CH180+CI269*CI180+CJ269*CJ180+CK269*CK180+CL269*CL180+CM269*CM180+CN269*CN180+CO269*CO180+CP269*CP180+CQ269*CQ180+CR269*CR180+CS269*CS180</f>
        <v>0</v>
      </c>
      <c r="CZ180" s="2504">
        <f>E270*E180+F270*F180+G270*G180+H270*H180+I270*I180+J270*J180+K270*K180+L270*L180+M270*M180+N270*N180+O270*O180+P270*P180+Q270*Q180+R270*R180+S270*S180+T270*T180+U270*U180+V270*V180+W270*W180+X270*X180+Y270*Y180+Z270*Z180+AA270*AA180+AB270*AB180+AC270*AC180+AD270*AD180+AE270*AE180+AF270*AF180+AG270*AG180+AH270*AH180+AI270*AI180+AJ270*AJ180+AK270*AK180+AL270*AL180+AM270*AM180+AN270*AN180+AO270*AO180+AP270*AP180+AQ270*AQ180+AR270*AR180+AS270*AS180+AT270*AT180+AU270*AU180+AV270*AV180+AW270*AW180+AX270*AX180+AY270*AY180+AZ270*AZ180+BA270*BA180+BB270*BB180+BC270*BC180+BD270*BD180+BE270*BE180+BF270*BF180+BG270*BG180+BH270*BH180+BI270*BI180+BJ270*BJ180+BK270*BK180+BL270*BL180+BM270*BM180+BN270*BN180+BO270*BO180+BP270*BP180+BQ270*BQ180+BR270*BR180+BS270*BS180+BT270*BT180+BU270*BU180+BV270*BV180+BW270*BW180+BX270*BX180+BY270*BY180+BZ270*BZ180+CA270*CA180+CB270*CB180+CC270*CC180+CD270*CD180+CE270*CE180+CF270*CF180+CG270*CG180+CH270*CH180+CI270*CI180+CJ270*CJ180+CK270*CK180+CL270*CL180+CM270*CM180+CN270*CN180+CO270*CO180+CP270*CP180+CQ270*CQ180+CR270*CR180+CS270*CS180</f>
        <v>0</v>
      </c>
      <c r="DA180" s="2504">
        <f>E271*E180+F271*F180+G271*G180+H271*H180+I271*I180+J271*J180+K271*K180+L271*L180+M271*M180+N271*N180+O271*O180+P271*P180+Q271*Q180+R271*R180+S271*S180+T271*T180+U271*U180+V271*V180+W271*W180+X271*X180+Y271*Y180+Z271*Z180+AA271*AA180+AB271*AB180+AC271*AC180+AD271*AD180+AE271*AE180+AF271*AF180+AG271*AG180+AH271*AH180+AI271*AI180+AJ271*AJ180+AK271*AK180+AL271*AL180+AM271*AM180+AN271*AN180+AO271*AO180+AP271*AP180+AQ271*AQ180+AR271*AR180+AS271*AS180+AT271*AT180+AU271*AU180+AV271*AV180+AW271*AW180+AX271*AX180+AY271*AY180+AZ271*AZ180+BA271*BA180+BB271*BB180+BC271*BC180+BD271*BD180+BE271*BE180+BF271*BF180+BG271*BG180+BH271*BH180+BI271*BI180+BJ271*BJ180+BK271*BK180+BL271*BL180+BM271*BM180+BN271*BN180+BO271*BO180+BP271*BP180+BQ271*BQ180+BR271*BR180+BS271*BS180+BT271*BT180+BU271*BU180+BV271*BV180+BW271*BW180+BX271*BX180+BY271*BY180+BZ271*BZ180+CA271*CA180+CB271*CB180+CC271*CC180+CD271*CD180+CE271*CE180+CF271*CF180+CG271*CG180+CH271*CH180+CI271*CI180+CJ271*CJ180+CK271*CK180+CL271*CL180+CM271*CM180+CN271*CN180+CO271*CO180+CP271*CP180+CQ271*CQ180+CR271*CR180+CS271*CS180</f>
        <v>0</v>
      </c>
      <c r="DB180" s="2504">
        <f>E272*E180+F272*F180+G272*G180+H272*H180+I272*I180+J272*J180+K272*K180+L272*L180+M272*M180+N272*N180+O272*O180+P272*P180+Q272*Q180+R272*R180+S272*S180+T272*T180+U272*U180+V272*V180+W272*W180+X272*X180+Y272*Y180+Z272*Z180+AA272*AA180+AB272*AB180+AC272*AC180+AD272*AD180+AE272*AE180+AF272*AF180+AG272*AG180+AH272*AH180+AI272*AI180+AJ272*AJ180+AK272*AK180+AL272*AL180+AM272*AM180+AN272*AN180+AO272*AO180+AP272*AP180+AQ272*AQ180+AR272*AR180+AS272*AS180+AT272*AT180+AU272*AU180+AV272*AV180+AW272*AW180+AX272*AX180+AY272*AY180+AZ272*AZ180+BA272*BA180+BB272*BB180+BC272*BC180+BD272*BD180+BE272*BE180+BF272*BF180+BG272*BG180+BH272*BH180+BI272*BI180+BJ272*BJ180+BK272*BK180+BL272*BL180+BM272*BM180+BN272*BN180+BO272*BO180+BP272*BP180+BQ272*BQ180+BR272*BR180+BS272*BS180+BT272*BT180+BU272*BU180+BV272*BV180+BW272*BW180+BX272*BX180+BY272*BY180+BZ272*BZ180+CA272*CA180+CB272*CB180+CC272*CC180+CD272*CD180+CE272*CE180+CF272*CF180+CG272*CG180+CH272*CH180+CI272*CI180+CJ272*CJ180+CK272*CK180+CL272*CL180+CM272*CM180+CN272*CN180+CO272*CO180+CP272*CP180+CQ272*CQ180+CR272*CR180+CS272*CS180</f>
        <v>3.4694469519536142E-18</v>
      </c>
      <c r="DC180" s="2504">
        <f>E273*E180+F273*F180+G273*G180+H273*H180+I273*I180+J273*J180+K273*K180+L273*L180+M273*M180+N273*N180+O273*O180+P273*P180+Q273*Q180+R273*R180+S273*S180+T273*T180+U273*U180+V273*V180+W273*W180+X273*X180+Y273*Y180+Z273*Z180+AA273*AA180+AB273*AB180+AC273*AC180+AD273*AD180+AE273*AE180+AF273*AF180+AG273*AG180+AH273*AH180+AI273*AI180+AJ273*AJ180+AK273*AK180+AL273*AL180+AM273*AM180+AN273*AN180+AO273*AO180+AP273*AP180+AQ273*AQ180+AR273*AR180+AS273*AS180+AT273*AT180+AU273*AU180+AV273*AV180+AW273*AW180+AX273*AX180+AY273*AY180+AZ273*AZ180+BA273*BA180+BB273*BB180+BC273*BC180+BD273*BD180+BE273*BE180+BF273*BF180+BG273*BG180+BH273*BH180+BI273*BI180+BJ273*BJ180+BK273*BK180+BL273*BL180+BM273*BM180+BN273*BN180+BO273*BO180+BP273*BP180+BQ273*BQ180+BR273*BR180+BS273*BS180+BT273*BT180+BU273*BU180+BV273*BV180+BW273*BW180+BX273*BX180+BY273*BY180+BZ273*BZ180+CA273*CA180+CB273*CB180+CC273*CC180+CD273*CD180+CE273*CE180+CF273*CF180+CG273*CG180+CH273*CH180+CI273*CI180+CJ273*CJ180+CK273*CK180+CL273*CL180+CM273*CM180+CN273*CN180+CO273*CO180+CP273*CP180+CQ273*CQ180+CR273*CR180+CS273*CS180</f>
        <v>6.9388939039072284E-18</v>
      </c>
      <c r="DD180" s="2504">
        <f>E274*E180+F274*F180+G274*G180+H274*H180+I274*I180+J274*J180+K274*K180+L274*L180+M274*M180+N274*N180+O274*O180+P274*P180+Q274*Q180+R274*R180+S274*S180+T274*T180+U274*U180+V274*V180+W274*W180+X274*X180+Y274*Y180+Z274*Z180+AA274*AA180+AB274*AB180+AC274*AC180+AD274*AD180+AE274*AE180+AF274*AF180+AG274*AG180+AH274*AH180+AI274*AI180+AJ274*AJ180+AK274*AK180+AL274*AL180+AM274*AM180+AN274*AN180+AO274*AO180+AP274*AP180+AQ274*AQ180+AR274*AR180+AS274*AS180+AT274*AT180+AU274*AU180+AV274*AV180+AW274*AW180+AX274*AX180+AY274*AY180+AZ274*AZ180+BA274*BA180+BB274*BB180+BC274*BC180+BD274*BD180+BE274*BE180+BF274*BF180+BG274*BG180+BH274*BH180+BI274*BI180+BJ274*BJ180+BK274*BK180+BL274*BL180+BM274*BM180+BN274*BN180+BO274*BO180+BP274*BP180+BQ274*BQ180+BR274*BR180+BS274*BS180+BT274*BT180+BU274*BU180+BV274*BV180+BW274*BW180+BX274*BX180+BY274*BY180+BZ274*BZ180+CA274*CA180+CB274*CB180+CC274*CC180+CD274*CD180+CE274*CE180+CF274*CF180+CG274*CG180+CH274*CH180+CI274*CI180+CJ274*CJ180+CK274*CK180+CL274*CL180+CM274*CM180+CN274*CN180+CO274*CO180+CP274*CP180+CQ274*CQ180+CR274*CR180+CS274*CS180</f>
        <v>0</v>
      </c>
      <c r="DE180" s="2504">
        <f>E275*E180+F275*F180+G275*G180+H275*H180+I275*I180+J275*J180+K275*K180+L275*L180+M275*M180+N275*N180+O275*O180+P275*P180+Q275*Q180+R275*R180+S275*S180+T275*T180+U275*U180+V275*V180+W275*W180+X275*X180+Y275*Y180+Z275*Z180+AA275*AA180+AB275*AB180+AC275*AC180+AD275*AD180+AE275*AE180+AF275*AF180+AG275*AG180+AH275*AH180+AI275*AI180+AJ275*AJ180+AK275*AK180+AL275*AL180+AM275*AM180+AN275*AN180+AO275*AO180+AP275*AP180+AQ275*AQ180+AR275*AR180+AS275*AS180+AT275*AT180+AU275*AU180+AV275*AV180+AW275*AW180+AX275*AX180+AY275*AY180+AZ275*AZ180+BA275*BA180+BB275*BB180+BC275*BC180+BD275*BD180+BE275*BE180+BF275*BF180+BG275*BG180+BH275*BH180+BI275*BI180+BJ275*BJ180+BK275*BK180+BL275*BL180+BM275*BM180+BN275*BN180+BO275*BO180+BP275*BP180+BQ275*BQ180+BR275*BR180+BS275*BS180+BT275*BT180+BU275*BU180+BV275*BV180+BW275*BW180+BX275*BX180+BY275*BY180+BZ275*BZ180+CA275*CA180+CB275*CB180+CC275*CC180+CD275*CD180+CE275*CE180+CF275*CF180+CG275*CG180+CH275*CH180+CI275*CI180+CJ275*CJ180+CK275*CK180+CL275*CL180+CM275*CM180+CN275*CN180+CO275*CO180+CP275*CP180+CQ275*CQ180+CR275*CR180+CS275*CS180</f>
        <v>0</v>
      </c>
      <c r="DF180" s="2504">
        <f>E276*E180+F276*F180+G276*G180+H276*H180+I276*I180+J276*J180+K276*K180+L276*L180+M276*M180+N276*N180+O276*O180+P276*P180+Q276*Q180+R276*R180+S276*S180+T276*T180+U276*U180+V276*V180+W276*W180+X276*X180+Y276*Y180+Z276*Z180+AA276*AA180+AB276*AB180+AC276*AC180+AD276*AD180+AE276*AE180+AF276*AF180+AG276*AG180+AH276*AH180+AI276*AI180+AJ276*AJ180+AK276*AK180+AL276*AL180+AM276*AM180+AN276*AN180+AO276*AO180+AP276*AP180+AQ276*AQ180+AR276*AR180+AS276*AS180+AT276*AT180+AU276*AU180+AV276*AV180+AW276*AW180+AX276*AX180+AY276*AY180+AZ276*AZ180+BA276*BA180+BB276*BB180+BC276*BC180+BD276*BD180+BE276*BE180+BF276*BF180+BG276*BG180+BH276*BH180+BI276*BI180+BJ276*BJ180+BK276*BK180+BL276*BL180+BM276*BM180+BN276*BN180+BO276*BO180+BP276*BP180+BQ276*BQ180+BR276*BR180+BS276*BS180+BT276*BT180+BU276*BU180+BV276*BV180+BW276*BW180+BX276*BX180+BY276*BY180+BZ276*BZ180+CA276*CA180+CB276*CB180+CC276*CC180+CD276*CD180+CE276*CE180+CF276*CF180+CG276*CG180+CH276*CH180+CI276*CI180+CJ276*CJ180+CK276*CK180+CL276*CL180+CM276*CM180+CN276*CN180+CO276*CO180+CP276*CP180+CQ276*CQ180+CR276*CR180+CS276*CS180</f>
        <v>0</v>
      </c>
    </row>
    <row r="181" spans="2:110" x14ac:dyDescent="0.25">
      <c r="B181" s="1565">
        <v>39</v>
      </c>
      <c r="C181" s="1566" t="s">
        <v>4572</v>
      </c>
      <c r="D181" s="1567" t="s">
        <v>4180</v>
      </c>
      <c r="E181" s="1470">
        <f>X_STC/X_CASTO</f>
        <v>4.5999999999999999E-2</v>
      </c>
      <c r="F181" s="1471">
        <f>0</f>
        <v>0</v>
      </c>
      <c r="G181" s="1471">
        <f>0</f>
        <v>0</v>
      </c>
      <c r="H181" s="1471">
        <f>0</f>
        <v>0</v>
      </c>
      <c r="I181" s="1471">
        <f>0</f>
        <v>0</v>
      </c>
      <c r="J181" s="1471">
        <f>1-f_E</f>
        <v>0.92</v>
      </c>
      <c r="K181" s="1471">
        <f>0</f>
        <v>0</v>
      </c>
      <c r="L181" s="1471">
        <f>0</f>
        <v>0</v>
      </c>
      <c r="M181" s="1471">
        <f>0</f>
        <v>0</v>
      </c>
      <c r="N181" s="2355">
        <f>-X_PHA_PAO/X_CASTO</f>
        <v>-0.04</v>
      </c>
      <c r="O181" s="2355">
        <f>-X_PHA_GAO/X_CASTO</f>
        <v>-6.0000000000000001E-3</v>
      </c>
      <c r="P181" s="1471">
        <f>0</f>
        <v>0</v>
      </c>
      <c r="Q181" s="1471">
        <f>f_E</f>
        <v>0.08</v>
      </c>
      <c r="R181" s="1471">
        <f>0</f>
        <v>0</v>
      </c>
      <c r="S181" s="1471">
        <f>-1</f>
        <v>-1</v>
      </c>
      <c r="T181" s="1471">
        <f>0</f>
        <v>0</v>
      </c>
      <c r="U181" s="1471">
        <f>0</f>
        <v>0</v>
      </c>
      <c r="V181" s="1471">
        <f>0</f>
        <v>0</v>
      </c>
      <c r="W181" s="1471">
        <f>0</f>
        <v>0</v>
      </c>
      <c r="X181" s="1471">
        <f>0</f>
        <v>0</v>
      </c>
      <c r="Y181" s="1471">
        <f>0</f>
        <v>0</v>
      </c>
      <c r="Z181" s="1471">
        <f>0</f>
        <v>0</v>
      </c>
      <c r="AA181" s="1471">
        <f>-f_E*(i_N_XE-i_N_BIO)</f>
        <v>8.0000000000000069E-4</v>
      </c>
      <c r="AB181" s="1471">
        <f>0</f>
        <v>0</v>
      </c>
      <c r="AC181" s="1471">
        <f>0</f>
        <v>0</v>
      </c>
      <c r="AD181" s="1471">
        <f>0</f>
        <v>0</v>
      </c>
      <c r="AE181" s="1471">
        <f>0</f>
        <v>0</v>
      </c>
      <c r="AF181" s="1471">
        <f>0</f>
        <v>0</v>
      </c>
      <c r="AG181" s="1471">
        <f>0</f>
        <v>0</v>
      </c>
      <c r="AH181" s="1471">
        <f>0</f>
        <v>0</v>
      </c>
      <c r="AI181" s="1471">
        <f>0</f>
        <v>0</v>
      </c>
      <c r="AJ181" s="1471">
        <f>0</f>
        <v>0</v>
      </c>
      <c r="AK181" s="1471">
        <f>(1-f_E)*i_N_BIO</f>
        <v>6.4400000000000013E-2</v>
      </c>
      <c r="AL181" s="1471">
        <f>0</f>
        <v>0</v>
      </c>
      <c r="AM181" s="1470">
        <f>X_PP/X_CASTO</f>
        <v>0.12</v>
      </c>
      <c r="AN181" s="1470">
        <f>-X_PP/X_CASTO</f>
        <v>-0.12</v>
      </c>
      <c r="AO181" s="1471">
        <f>0</f>
        <v>0</v>
      </c>
      <c r="AP181" s="1471">
        <f>0</f>
        <v>0</v>
      </c>
      <c r="AQ181" s="1471">
        <f>(1-f_E)*i_P_BIO</f>
        <v>1.84E-2</v>
      </c>
      <c r="AR181" s="1471">
        <f>0</f>
        <v>0</v>
      </c>
      <c r="AS181" s="1471">
        <f>0</f>
        <v>0</v>
      </c>
      <c r="AT181" s="1471">
        <f>0</f>
        <v>0</v>
      </c>
      <c r="AU181" s="1471">
        <f>0</f>
        <v>0</v>
      </c>
      <c r="AV181" s="1471">
        <f>(1-f_E)*(i_CIT_BIO-i_CIT_XBe)+(i_CIT_STC-i_CIT_VFA)*X_STC/X_CASTO</f>
        <v>5.8788000000000007E-2</v>
      </c>
      <c r="AW181" s="1471">
        <f>0</f>
        <v>0</v>
      </c>
      <c r="AX181" s="1470">
        <f>0</f>
        <v>0</v>
      </c>
      <c r="AY181" s="1470">
        <f>0</f>
        <v>0</v>
      </c>
      <c r="AZ181" s="1470">
        <f>X_PP*A_MCa/A_MP*i_Ca_PP/X_CASTO</f>
        <v>1.5527206443135931E-2</v>
      </c>
      <c r="BA181" s="1470">
        <f>X_PP*A_MMg/A_MP*i_Mg_PP/X_CASTO</f>
        <v>3.295724921656433E-2</v>
      </c>
      <c r="BB181" s="1470">
        <f>X_PP*A_MK/A_MP*i_K_PP/X_CASTO</f>
        <v>1.5147646481253094E-2</v>
      </c>
      <c r="BC181" s="1471">
        <f>0</f>
        <v>0</v>
      </c>
      <c r="BD181" s="1471">
        <f>0</f>
        <v>0</v>
      </c>
      <c r="BE181" s="1471">
        <f>0</f>
        <v>0</v>
      </c>
      <c r="BF181" s="1471">
        <f>0</f>
        <v>0</v>
      </c>
      <c r="BG181" s="1471">
        <f>0</f>
        <v>0</v>
      </c>
      <c r="BH181" s="1471">
        <f>0</f>
        <v>0</v>
      </c>
      <c r="BI181" s="1471">
        <f>0</f>
        <v>0</v>
      </c>
      <c r="BJ181" s="1471">
        <f>0</f>
        <v>0</v>
      </c>
      <c r="BK181" s="1471">
        <f>0</f>
        <v>0</v>
      </c>
      <c r="BL181" s="1471">
        <f>0</f>
        <v>0</v>
      </c>
      <c r="BM181" s="1471">
        <f>0</f>
        <v>0</v>
      </c>
      <c r="BN181" s="1471">
        <f>0</f>
        <v>0</v>
      </c>
      <c r="BO181" s="1471">
        <f>0</f>
        <v>0</v>
      </c>
      <c r="BP181" s="1471">
        <f>0</f>
        <v>0</v>
      </c>
      <c r="BQ181" s="1471">
        <f>0</f>
        <v>0</v>
      </c>
      <c r="BR181" s="1471">
        <f>0</f>
        <v>0</v>
      </c>
      <c r="BS181" s="1471">
        <f>0</f>
        <v>0</v>
      </c>
      <c r="BT181" s="1471">
        <f>0</f>
        <v>0</v>
      </c>
      <c r="BU181" s="1471">
        <f>0</f>
        <v>0</v>
      </c>
      <c r="BV181" s="1471">
        <f>0</f>
        <v>0</v>
      </c>
      <c r="BW181" s="2356">
        <f>0</f>
        <v>0</v>
      </c>
      <c r="BX181" s="2356">
        <f>0</f>
        <v>0</v>
      </c>
      <c r="BY181" s="2356">
        <f>0</f>
        <v>0</v>
      </c>
      <c r="BZ181" s="2356">
        <f>0</f>
        <v>0</v>
      </c>
      <c r="CA181" s="1471">
        <f>0</f>
        <v>0</v>
      </c>
      <c r="CB181" s="1471">
        <f>0</f>
        <v>0</v>
      </c>
      <c r="CC181" s="1471">
        <f>0</f>
        <v>0</v>
      </c>
      <c r="CD181" s="1471">
        <f>0</f>
        <v>0</v>
      </c>
      <c r="CE181" s="1471">
        <f>0</f>
        <v>0</v>
      </c>
      <c r="CF181" s="1471">
        <f>0</f>
        <v>0</v>
      </c>
      <c r="CG181" s="1471">
        <f>0</f>
        <v>0</v>
      </c>
      <c r="CH181" s="1471">
        <f>0</f>
        <v>0</v>
      </c>
      <c r="CI181" s="1471">
        <f>0</f>
        <v>0</v>
      </c>
      <c r="CJ181" s="1471">
        <f>0</f>
        <v>0</v>
      </c>
      <c r="CK181" s="1471">
        <f>0</f>
        <v>0</v>
      </c>
      <c r="CL181" s="1471">
        <f>0</f>
        <v>0</v>
      </c>
      <c r="CM181" s="1471">
        <f>0</f>
        <v>0</v>
      </c>
      <c r="CN181" s="1471">
        <f>0</f>
        <v>0</v>
      </c>
      <c r="CO181" s="1471">
        <f>0</f>
        <v>0</v>
      </c>
      <c r="CP181" s="1471">
        <f>0</f>
        <v>0</v>
      </c>
      <c r="CQ181" s="1471">
        <f>0</f>
        <v>0</v>
      </c>
      <c r="CR181" s="1471">
        <f>0</f>
        <v>0</v>
      </c>
      <c r="CS181" s="1471">
        <f>0</f>
        <v>0</v>
      </c>
      <c r="CT181" s="2483">
        <f>b_CASTO_T*(η_bCASTO_ana*(X_PAO*M_RinhXPP_XPAO_KPP+X_GAO*M_RinhXPHA_XGAO_KPHA)*M_inhSNO3_KNO3_CASTO*M_inhSNO2_KNO2_CASTO*M_inhSO2_KO2_CASTO+X_CASTO*m_tox_ana)</f>
        <v>2.019594917729782E-4</v>
      </c>
      <c r="CV181" s="2502">
        <f>E266*E181+F266*F181+G266*G181+H266*H181+I266*I181+J266*J181+K266*K181+L266*L181+M266*M181+N266*N181+O266*O181+P266*P181+Q266*Q181+R266*R181+S266*S181+T266*T181+U266*U181+V266*V181+W266*W181+X266*X181+Y266*Y181+Z266*Z181+AA266*AA181+AB266*AB181+AC266*AC181+AD266*AD181+AE266*AE181+AF266*AF181+AG266*AG181+AH266*AH181+AI266*AI181+AJ266*AJ181+AK266*AK181+AL266*AL181+AM266*AM181+AN266*AN181+AO266*AO181+AP266*AP181+AQ266*AQ181+AR266*AR181+AS266*AS181+AT266*AT181+AU266*AU181+AV266*AV181+AW266*AW181+AX266*AX181+AY266*AY181+AZ266*AZ181+BA266*BA181+BB266*BB181+BC266*BC181+BD266*BD181+BE266*BE181+BF266*BF181+BG266*BG181+BH266*BH181+BI266*BI181+BJ266*BJ181+BK266*BK181+BL266*BL181+BM266*BM181+BN266*BN181+BO266*BO181+BP266*BP181+BQ266*BQ181+BR266*BR181+BS266*BS181+BT266*BT181+BU266*BU181+BV266*BV181+BW266*BW181+BX266*BX181+BY266*BY181+BZ266*BZ181+CA266*CA181+CB266*CB181+CC266*CC181+CD266*CD181+CE266*CE181+CF266*CF181+CG266*CG181+CH266*CH181+CI266*CI181+CJ266*CJ181+CK266*CK181+CL266*CL181+CM266*CM181+CN266*CN181+CO266*CO181+CP266*CP181+CQ266*CQ181+CR266*CR181+CS266*CS181</f>
        <v>0</v>
      </c>
      <c r="CW181" s="2502">
        <f>E267*E181+F267*F181+G267*G181+H267*H181+I267*I181+J267*J181+K267*K181+L267*L181+M267*M181+N267*N181+O267*O181+P267*P181+Q267*Q181+R267*R181+S267*S181+T267*T181+U267*U181+V267*V181+W267*W181+X267*X181+Y267*Y181+Z267*Z181+AA267*AA181+AB267*AB181+AC267*AC181+AD267*AD181+AE267*AE181+AF267*AF181+AG267*AG181+AH267*AH181+AI267*AI181+AJ267*AJ181+AK267*AK181+AL267*AL181+AM267*AM181+AN267*AN181+AO267*AO181+AP267*AP181+AQ267*AQ181+AR267*AR181+AS267*AS181+AT267*AT181+AU267*AU181+AV267*AV181+AW267*AW181+AX267*AX181+AY267*AY181+AZ267*AZ181+BA267*BA181+BB267*BB181+BC267*BC181+BD267*BD181+BE267*BE181+BF267*BF181+BG267*BG181+BH267*BH181+BI267*BI181+BJ267*BJ181+BK267*BK181+BL267*BL181+BM267*BM181+BN267*BN181+BO267*BO181+BP267*BP181+BQ267*BQ181+BR267*BR181+BS267*BS181+BT267*BT181+BU267*BU181+BV267*BV181+BW267*BW181+BX267*BX181+BY267*BY181+BZ267*BZ181+CA267*CA181+CB267*CB181+CC267*CC181+CD267*CD181+CE267*CE181+CF267*CF181+CG267*CG181+CH267*CH181+CI267*CI181+CJ267*CJ181+CK267*CK181+CL267*CL181+CM267*CM181+CN267*CN181+CO267*CO181+CP267*CP181+CQ267*CQ181+CR267*CR181+CS267*CS181</f>
        <v>0</v>
      </c>
      <c r="CX181" s="2503">
        <f>E268*E181+F268*F181+G268*G181+H268*H181+I268*I181+J268*J181+K268*K181+L268*L181+M268*M181+N268*N181+O268*O181+P268*P181+Q268*Q181+R268*R181+S268*S181+T268*T181+U268*U181+V268*V181+W268*W181+X268*X181+Y268*Y181+Z268*Z181+AA268*AA181+AB268*AB181+AC268*AC181+AD268*AD181+AE268*AE181+AF268*AF181+AG268*AG181+AH268*AH181+AI268*AI181+AJ268*AJ181+AK268*AK181+AL268*AL181+AM268*AM181+AN268*AN181+AO268*AO181+AP268*AP181+AQ268*AQ181+AR268*AR181+AS268*AS181+AT268*AT181+AU268*AU181+AV268*AV181+AW268*AW181+AX268*AX181+AY268*AY181+AZ268*AZ181+BA268*BA181+BB268*BB181+BC268*BC181+BD268*BD181+BE268*BE181+BF268*BF181+BG268*BG181+BH268*BH181+BI268*BI181+BJ268*BJ181+BK268*BK181+BL268*BL181+BM268*BM181+BN268*BN181+BO268*BO181+BP268*BP181+BQ268*BQ181+BR268*BR181+BS268*BS181+BT268*BT181+BU268*BU181+BV268*BV181+BW268*BW181+BX268*BX181+BY268*BY181+BZ268*BZ181+CA268*CA181+CB268*CB181+CC268*CC181+CD268*CD181+CE268*CE181+CF268*CF181+CG268*CG181+CH268*CH181+CI268*CI181+CJ268*CJ181+CK268*CK181+CL268*CL181+CM268*CM181+CN268*CN181+CO268*CO181+CP268*CP181+CQ268*CQ181+CR268*CR181+CS268*CS181</f>
        <v>0</v>
      </c>
      <c r="CY181" s="2504">
        <f>E269*E181+F269*F181+G269*G181+H269*H181+I269*I181+J269*J181+K269*K181+L269*L181+M269*M181+N269*N181+O269*O181+P269*P181+Q269*Q181+R269*R181+S269*S181+T269*T181+U269*U181+V269*V181+W269*W181+X269*X181+Y269*Y181+Z269*Z181+AA269*AA181+AB269*AB181+AC269*AC181+AD269*AD181+AE269*AE181+AF269*AF181+AG269*AG181+AH269*AH181+AI269*AI181+AJ269*AJ181+AK269*AK181+AL269*AL181+AM269*AM181+AN269*AN181+AO269*AO181+AP269*AP181+AQ269*AQ181+AR269*AR181+AS269*AS181+AT269*AT181+AU269*AU181+AV269*AV181+AW269*AW181+AX269*AX181+AY269*AY181+AZ269*AZ181+BA269*BA181+BB269*BB181+BC269*BC181+BD269*BD181+BE269*BE181+BF269*BF181+BG269*BG181+BH269*BH181+BI269*BI181+BJ269*BJ181+BK269*BK181+BL269*BL181+BM269*BM181+BN269*BN181+BO269*BO181+BP269*BP181+BQ269*BQ181+BR269*BR181+BS269*BS181+BT269*BT181+BU269*BU181+BV269*BV181+BW269*BW181+BX269*BX181+BY269*BY181+BZ269*BZ181+CA269*CA181+CB269*CB181+CC269*CC181+CD269*CD181+CE269*CE181+CF269*CF181+CG269*CG181+CH269*CH181+CI269*CI181+CJ269*CJ181+CK269*CK181+CL269*CL181+CM269*CM181+CN269*CN181+CO269*CO181+CP269*CP181+CQ269*CQ181+CR269*CR181+CS269*CS181</f>
        <v>0</v>
      </c>
      <c r="CZ181" s="2504">
        <f>E270*E181+F270*F181+G270*G181+H270*H181+I270*I181+J270*J181+K270*K181+L270*L181+M270*M181+N270*N181+O270*O181+P270*P181+Q270*Q181+R270*R181+S270*S181+T270*T181+U270*U181+V270*V181+W270*W181+X270*X181+Y270*Y181+Z270*Z181+AA270*AA181+AB270*AB181+AC270*AC181+AD270*AD181+AE270*AE181+AF270*AF181+AG270*AG181+AH270*AH181+AI270*AI181+AJ270*AJ181+AK270*AK181+AL270*AL181+AM270*AM181+AN270*AN181+AO270*AO181+AP270*AP181+AQ270*AQ181+AR270*AR181+AS270*AS181+AT270*AT181+AU270*AU181+AV270*AV181+AW270*AW181+AX270*AX181+AY270*AY181+AZ270*AZ181+BA270*BA181+BB270*BB181+BC270*BC181+BD270*BD181+BE270*BE181+BF270*BF181+BG270*BG181+BH270*BH181+BI270*BI181+BJ270*BJ181+BK270*BK181+BL270*BL181+BM270*BM181+BN270*BN181+BO270*BO181+BP270*BP181+BQ270*BQ181+BR270*BR181+BS270*BS181+BT270*BT181+BU270*BU181+BV270*BV181+BW270*BW181+BX270*BX181+BY270*BY181+BZ270*BZ181+CA270*CA181+CB270*CB181+CC270*CC181+CD270*CD181+CE270*CE181+CF270*CF181+CG270*CG181+CH270*CH181+CI270*CI181+CJ270*CJ181+CK270*CK181+CL270*CL181+CM270*CM181+CN270*CN181+CO270*CO181+CP270*CP181+CQ270*CQ181+CR270*CR181+CS270*CS181</f>
        <v>0</v>
      </c>
      <c r="DA181" s="2504">
        <f>E271*E181+F271*F181+G271*G181+H271*H181+I271*I181+J271*J181+K271*K181+L271*L181+M271*M181+N271*N181+O271*O181+P271*P181+Q271*Q181+R271*R181+S271*S181+T271*T181+U271*U181+V271*V181+W271*W181+X271*X181+Y271*Y181+Z271*Z181+AA271*AA181+AB271*AB181+AC271*AC181+AD271*AD181+AE271*AE181+AF271*AF181+AG271*AG181+AH271*AH181+AI271*AI181+AJ271*AJ181+AK271*AK181+AL271*AL181+AM271*AM181+AN271*AN181+AO271*AO181+AP271*AP181+AQ271*AQ181+AR271*AR181+AS271*AS181+AT271*AT181+AU271*AU181+AV271*AV181+AW271*AW181+AX271*AX181+AY271*AY181+AZ271*AZ181+BA271*BA181+BB271*BB181+BC271*BC181+BD271*BD181+BE271*BE181+BF271*BF181+BG271*BG181+BH271*BH181+BI271*BI181+BJ271*BJ181+BK271*BK181+BL271*BL181+BM271*BM181+BN271*BN181+BO271*BO181+BP271*BP181+BQ271*BQ181+BR271*BR181+BS271*BS181+BT271*BT181+BU271*BU181+BV271*BV181+BW271*BW181+BX271*BX181+BY271*BY181+BZ271*BZ181+CA271*CA181+CB271*CB181+CC271*CC181+CD271*CD181+CE271*CE181+CF271*CF181+CG271*CG181+CH271*CH181+CI271*CI181+CJ271*CJ181+CK271*CK181+CL271*CL181+CM271*CM181+CN271*CN181+CO271*CO181+CP271*CP181+CQ271*CQ181+CR271*CR181+CS271*CS181</f>
        <v>0</v>
      </c>
      <c r="DB181" s="2504">
        <f>E272*E181+F272*F181+G272*G181+H272*H181+I272*I181+J272*J181+K272*K181+L272*L181+M272*M181+N272*N181+O272*O181+P272*P181+Q272*Q181+R272*R181+S272*S181+T272*T181+U272*U181+V272*V181+W272*W181+X272*X181+Y272*Y181+Z272*Z181+AA272*AA181+AB272*AB181+AC272*AC181+AD272*AD181+AE272*AE181+AF272*AF181+AG272*AG181+AH272*AH181+AI272*AI181+AJ272*AJ181+AK272*AK181+AL272*AL181+AM272*AM181+AN272*AN181+AO272*AO181+AP272*AP181+AQ272*AQ181+AR272*AR181+AS272*AS181+AT272*AT181+AU272*AU181+AV272*AV181+AW272*AW181+AX272*AX181+AY272*AY181+AZ272*AZ181+BA272*BA181+BB272*BB181+BC272*BC181+BD272*BD181+BE272*BE181+BF272*BF181+BG272*BG181+BH272*BH181+BI272*BI181+BJ272*BJ181+BK272*BK181+BL272*BL181+BM272*BM181+BN272*BN181+BO272*BO181+BP272*BP181+BQ272*BQ181+BR272*BR181+BS272*BS181+BT272*BT181+BU272*BU181+BV272*BV181+BW272*BW181+BX272*BX181+BY272*BY181+BZ272*BZ181+CA272*CA181+CB272*CB181+CC272*CC181+CD272*CD181+CE272*CE181+CF272*CF181+CG272*CG181+CH272*CH181+CI272*CI181+CJ272*CJ181+CK272*CK181+CL272*CL181+CM272*CM181+CN272*CN181+CO272*CO181+CP272*CP181+CQ272*CQ181+CR272*CR181+CS272*CS181</f>
        <v>3.4694469519536142E-18</v>
      </c>
      <c r="DC181" s="2504">
        <f>E273*E181+F273*F181+G273*G181+H273*H181+I273*I181+J273*J181+K273*K181+L273*L181+M273*M181+N273*N181+O273*O181+P273*P181+Q273*Q181+R273*R181+S273*S181+T273*T181+U273*U181+V273*V181+W273*W181+X273*X181+Y273*Y181+Z273*Z181+AA273*AA181+AB273*AB181+AC273*AC181+AD273*AD181+AE273*AE181+AF273*AF181+AG273*AG181+AH273*AH181+AI273*AI181+AJ273*AJ181+AK273*AK181+AL273*AL181+AM273*AM181+AN273*AN181+AO273*AO181+AP273*AP181+AQ273*AQ181+AR273*AR181+AS273*AS181+AT273*AT181+AU273*AU181+AV273*AV181+AW273*AW181+AX273*AX181+AY273*AY181+AZ273*AZ181+BA273*BA181+BB273*BB181+BC273*BC181+BD273*BD181+BE273*BE181+BF273*BF181+BG273*BG181+BH273*BH181+BI273*BI181+BJ273*BJ181+BK273*BK181+BL273*BL181+BM273*BM181+BN273*BN181+BO273*BO181+BP273*BP181+BQ273*BQ181+BR273*BR181+BS273*BS181+BT273*BT181+BU273*BU181+BV273*BV181+BW273*BW181+BX273*BX181+BY273*BY181+BZ273*BZ181+CA273*CA181+CB273*CB181+CC273*CC181+CD273*CD181+CE273*CE181+CF273*CF181+CG273*CG181+CH273*CH181+CI273*CI181+CJ273*CJ181+CK273*CK181+CL273*CL181+CM273*CM181+CN273*CN181+CO273*CO181+CP273*CP181+CQ273*CQ181+CR273*CR181+CS273*CS181</f>
        <v>6.9388939039072284E-18</v>
      </c>
      <c r="DD181" s="2504">
        <f>E274*E181+F274*F181+G274*G181+H274*H181+I274*I181+J274*J181+K274*K181+L274*L181+M274*M181+N274*N181+O274*O181+P274*P181+Q274*Q181+R274*R181+S274*S181+T274*T181+U274*U181+V274*V181+W274*W181+X274*X181+Y274*Y181+Z274*Z181+AA274*AA181+AB274*AB181+AC274*AC181+AD274*AD181+AE274*AE181+AF274*AF181+AG274*AG181+AH274*AH181+AI274*AI181+AJ274*AJ181+AK274*AK181+AL274*AL181+AM274*AM181+AN274*AN181+AO274*AO181+AP274*AP181+AQ274*AQ181+AR274*AR181+AS274*AS181+AT274*AT181+AU274*AU181+AV274*AV181+AW274*AW181+AX274*AX181+AY274*AY181+AZ274*AZ181+BA274*BA181+BB274*BB181+BC274*BC181+BD274*BD181+BE274*BE181+BF274*BF181+BG274*BG181+BH274*BH181+BI274*BI181+BJ274*BJ181+BK274*BK181+BL274*BL181+BM274*BM181+BN274*BN181+BO274*BO181+BP274*BP181+BQ274*BQ181+BR274*BR181+BS274*BS181+BT274*BT181+BU274*BU181+BV274*BV181+BW274*BW181+BX274*BX181+BY274*BY181+BZ274*BZ181+CA274*CA181+CB274*CB181+CC274*CC181+CD274*CD181+CE274*CE181+CF274*CF181+CG274*CG181+CH274*CH181+CI274*CI181+CJ274*CJ181+CK274*CK181+CL274*CL181+CM274*CM181+CN274*CN181+CO274*CO181+CP274*CP181+CQ274*CQ181+CR274*CR181+CS274*CS181</f>
        <v>0</v>
      </c>
      <c r="DE181" s="2504">
        <f>E275*E181+F275*F181+G275*G181+H275*H181+I275*I181+J275*J181+K275*K181+L275*L181+M275*M181+N275*N181+O275*O181+P275*P181+Q275*Q181+R275*R181+S275*S181+T275*T181+U275*U181+V275*V181+W275*W181+X275*X181+Y275*Y181+Z275*Z181+AA275*AA181+AB275*AB181+AC275*AC181+AD275*AD181+AE275*AE181+AF275*AF181+AG275*AG181+AH275*AH181+AI275*AI181+AJ275*AJ181+AK275*AK181+AL275*AL181+AM275*AM181+AN275*AN181+AO275*AO181+AP275*AP181+AQ275*AQ181+AR275*AR181+AS275*AS181+AT275*AT181+AU275*AU181+AV275*AV181+AW275*AW181+AX275*AX181+AY275*AY181+AZ275*AZ181+BA275*BA181+BB275*BB181+BC275*BC181+BD275*BD181+BE275*BE181+BF275*BF181+BG275*BG181+BH275*BH181+BI275*BI181+BJ275*BJ181+BK275*BK181+BL275*BL181+BM275*BM181+BN275*BN181+BO275*BO181+BP275*BP181+BQ275*BQ181+BR275*BR181+BS275*BS181+BT275*BT181+BU275*BU181+BV275*BV181+BW275*BW181+BX275*BX181+BY275*BY181+BZ275*BZ181+CA275*CA181+CB275*CB181+CC275*CC181+CD275*CD181+CE275*CE181+CF275*CF181+CG275*CG181+CH275*CH181+CI275*CI181+CJ275*CJ181+CK275*CK181+CL275*CL181+CM275*CM181+CN275*CN181+CO275*CO181+CP275*CP181+CQ275*CQ181+CR275*CR181+CS275*CS181</f>
        <v>0</v>
      </c>
      <c r="DF181" s="2504">
        <f>E276*E181+F276*F181+G276*G181+H276*H181+I276*I181+J276*J181+K276*K181+L276*L181+M276*M181+N276*N181+O276*O181+P276*P181+Q276*Q181+R276*R181+S276*S181+T276*T181+U276*U181+V276*V181+W276*W181+X276*X181+Y276*Y181+Z276*Z181+AA276*AA181+AB276*AB181+AC276*AC181+AD276*AD181+AE276*AE181+AF276*AF181+AG276*AG181+AH276*AH181+AI276*AI181+AJ276*AJ181+AK276*AK181+AL276*AL181+AM276*AM181+AN276*AN181+AO276*AO181+AP276*AP181+AQ276*AQ181+AR276*AR181+AS276*AS181+AT276*AT181+AU276*AU181+AV276*AV181+AW276*AW181+AX276*AX181+AY276*AY181+AZ276*AZ181+BA276*BA181+BB276*BB181+BC276*BC181+BD276*BD181+BE276*BE181+BF276*BF181+BG276*BG181+BH276*BH181+BI276*BI181+BJ276*BJ181+BK276*BK181+BL276*BL181+BM276*BM181+BN276*BN181+BO276*BO181+BP276*BP181+BQ276*BQ181+BR276*BR181+BS276*BS181+BT276*BT181+BU276*BU181+BV276*BV181+BW276*BW181+BX276*BX181+BY276*BY181+BZ276*BZ181+CA276*CA181+CB276*CB181+CC276*CC181+CD276*CD181+CE276*CE181+CF276*CF181+CG276*CG181+CH276*CH181+CI276*CI181+CJ276*CJ181+CK276*CK181+CL276*CL181+CM276*CM181+CN276*CN181+CO276*CO181+CP276*CP181+CQ276*CQ181+CR276*CR181+CS276*CS181</f>
        <v>0</v>
      </c>
    </row>
    <row r="182" spans="2:110" ht="15.75" thickBot="1" x14ac:dyDescent="0.3">
      <c r="B182" s="1492">
        <v>40</v>
      </c>
      <c r="C182" s="1493" t="s">
        <v>4573</v>
      </c>
      <c r="D182" s="1494" t="s">
        <v>4849</v>
      </c>
      <c r="E182" s="1495">
        <f>0</f>
        <v>0</v>
      </c>
      <c r="F182" s="1495">
        <f>0</f>
        <v>0</v>
      </c>
      <c r="G182" s="1495">
        <f>0</f>
        <v>0</v>
      </c>
      <c r="H182" s="1495">
        <f>0</f>
        <v>0</v>
      </c>
      <c r="I182" s="1495">
        <f>0</f>
        <v>0</v>
      </c>
      <c r="J182" s="1495">
        <f>0</f>
        <v>0</v>
      </c>
      <c r="K182" s="1495">
        <f>0</f>
        <v>0</v>
      </c>
      <c r="L182" s="1495">
        <f>0</f>
        <v>0</v>
      </c>
      <c r="M182" s="1495">
        <f>0</f>
        <v>0</v>
      </c>
      <c r="N182" s="1495">
        <f>0</f>
        <v>0</v>
      </c>
      <c r="O182" s="1495">
        <f>0</f>
        <v>0</v>
      </c>
      <c r="P182" s="1495">
        <f>0</f>
        <v>0</v>
      </c>
      <c r="Q182" s="1495">
        <f>0</f>
        <v>0</v>
      </c>
      <c r="R182" s="1496">
        <f>0</f>
        <v>0</v>
      </c>
      <c r="S182" s="1495">
        <f>0</f>
        <v>0</v>
      </c>
      <c r="T182" s="1495">
        <f>0</f>
        <v>0</v>
      </c>
      <c r="U182" s="1495">
        <f>0</f>
        <v>0</v>
      </c>
      <c r="V182" s="1495">
        <f>0</f>
        <v>0</v>
      </c>
      <c r="W182" s="1495">
        <f>0</f>
        <v>0</v>
      </c>
      <c r="X182" s="1496">
        <f>0</f>
        <v>0</v>
      </c>
      <c r="Y182" s="1495">
        <f>0</f>
        <v>0</v>
      </c>
      <c r="Z182" s="1495">
        <f>0</f>
        <v>0</v>
      </c>
      <c r="AA182" s="1495">
        <f>0</f>
        <v>0</v>
      </c>
      <c r="AB182" s="1495">
        <f>0</f>
        <v>0</v>
      </c>
      <c r="AC182" s="1495">
        <f>0</f>
        <v>0</v>
      </c>
      <c r="AD182" s="1495">
        <f>0</f>
        <v>0</v>
      </c>
      <c r="AE182" s="1496">
        <f>0</f>
        <v>0</v>
      </c>
      <c r="AF182" s="1495">
        <f>0</f>
        <v>0</v>
      </c>
      <c r="AG182" s="1495">
        <f>0</f>
        <v>0</v>
      </c>
      <c r="AH182" s="1495">
        <f>0</f>
        <v>0</v>
      </c>
      <c r="AI182" s="1495">
        <f>0</f>
        <v>0</v>
      </c>
      <c r="AJ182" s="1495">
        <f>0</f>
        <v>0</v>
      </c>
      <c r="AK182" s="1495">
        <f>0</f>
        <v>0</v>
      </c>
      <c r="AL182" s="1495">
        <f>0</f>
        <v>0</v>
      </c>
      <c r="AM182" s="1495">
        <f>0</f>
        <v>0</v>
      </c>
      <c r="AN182" s="1495">
        <f>0</f>
        <v>0</v>
      </c>
      <c r="AO182" s="1495">
        <f>0</f>
        <v>0</v>
      </c>
      <c r="AP182" s="1495">
        <f>0</f>
        <v>0</v>
      </c>
      <c r="AQ182" s="1495">
        <f>0</f>
        <v>0</v>
      </c>
      <c r="AR182" s="1495">
        <f>0</f>
        <v>0</v>
      </c>
      <c r="AS182" s="1495">
        <f>0</f>
        <v>0</v>
      </c>
      <c r="AT182" s="1496">
        <f>0</f>
        <v>0</v>
      </c>
      <c r="AU182" s="1495">
        <f>0</f>
        <v>0</v>
      </c>
      <c r="AV182" s="1496">
        <f>0</f>
        <v>0</v>
      </c>
      <c r="AW182" s="1495">
        <f>0</f>
        <v>0</v>
      </c>
      <c r="AX182" s="1495">
        <f>0</f>
        <v>0</v>
      </c>
      <c r="AY182" s="1496">
        <f>0</f>
        <v>0</v>
      </c>
      <c r="AZ182" s="1496">
        <f>0</f>
        <v>0</v>
      </c>
      <c r="BA182" s="1495">
        <f>0</f>
        <v>0</v>
      </c>
      <c r="BB182" s="1496">
        <f>0</f>
        <v>0</v>
      </c>
      <c r="BC182" s="1496">
        <f>0</f>
        <v>0</v>
      </c>
      <c r="BD182" s="1495">
        <f>0</f>
        <v>0</v>
      </c>
      <c r="BE182" s="1495">
        <f>0</f>
        <v>0</v>
      </c>
      <c r="BF182" s="1496">
        <f>0</f>
        <v>0</v>
      </c>
      <c r="BG182" s="1496">
        <f>0</f>
        <v>0</v>
      </c>
      <c r="BH182" s="1495">
        <f>0</f>
        <v>0</v>
      </c>
      <c r="BI182" s="1496">
        <f>0</f>
        <v>0</v>
      </c>
      <c r="BJ182" s="1496">
        <f>0</f>
        <v>0</v>
      </c>
      <c r="BK182" s="1496">
        <f>0</f>
        <v>0</v>
      </c>
      <c r="BL182" s="1496">
        <f>0</f>
        <v>0</v>
      </c>
      <c r="BM182" s="1496">
        <f>0</f>
        <v>0</v>
      </c>
      <c r="BN182" s="1496">
        <f>0</f>
        <v>0</v>
      </c>
      <c r="BO182" s="1496">
        <f>0</f>
        <v>0</v>
      </c>
      <c r="BP182" s="1496">
        <f>0</f>
        <v>0</v>
      </c>
      <c r="BQ182" s="1496">
        <f>0</f>
        <v>0</v>
      </c>
      <c r="BR182" s="1496">
        <f>0</f>
        <v>0</v>
      </c>
      <c r="BS182" s="1496">
        <f>0</f>
        <v>0</v>
      </c>
      <c r="BT182" s="1496">
        <f>0</f>
        <v>0</v>
      </c>
      <c r="BU182" s="1496">
        <f>0</f>
        <v>0</v>
      </c>
      <c r="BV182" s="1496">
        <f>0</f>
        <v>0</v>
      </c>
      <c r="BW182" s="1496">
        <f>0</f>
        <v>0</v>
      </c>
      <c r="BX182" s="1496">
        <f>0</f>
        <v>0</v>
      </c>
      <c r="BY182" s="1496">
        <f>0</f>
        <v>0</v>
      </c>
      <c r="BZ182" s="1496">
        <f>0</f>
        <v>0</v>
      </c>
      <c r="CA182" s="1496">
        <f>0</f>
        <v>0</v>
      </c>
      <c r="CB182" s="1496">
        <f>0</f>
        <v>0</v>
      </c>
      <c r="CC182" s="1496">
        <f>1</f>
        <v>1</v>
      </c>
      <c r="CD182" s="1496">
        <f>0</f>
        <v>0</v>
      </c>
      <c r="CE182" s="1496">
        <f>0</f>
        <v>0</v>
      </c>
      <c r="CF182" s="1496">
        <f>0</f>
        <v>0</v>
      </c>
      <c r="CG182" s="1496">
        <f>0</f>
        <v>0</v>
      </c>
      <c r="CH182" s="1496">
        <f>0</f>
        <v>0</v>
      </c>
      <c r="CI182" s="1496">
        <f>0</f>
        <v>0</v>
      </c>
      <c r="CJ182" s="1496">
        <f>0</f>
        <v>0</v>
      </c>
      <c r="CK182" s="1497">
        <f>0</f>
        <v>0</v>
      </c>
      <c r="CL182" s="1497">
        <f>0</f>
        <v>0</v>
      </c>
      <c r="CM182" s="1498">
        <f>0</f>
        <v>0</v>
      </c>
      <c r="CN182" s="1497">
        <f>0</f>
        <v>0</v>
      </c>
      <c r="CO182" s="1497">
        <f>0</f>
        <v>0</v>
      </c>
      <c r="CP182" s="1498">
        <f>0</f>
        <v>0</v>
      </c>
      <c r="CQ182" s="1498">
        <f>0</f>
        <v>0</v>
      </c>
      <c r="CR182" s="1498">
        <f>0</f>
        <v>0</v>
      </c>
      <c r="CS182" s="1498">
        <f>0</f>
        <v>0</v>
      </c>
      <c r="CT182" s="2484">
        <f>k_ORPswitch*(O_RP+o_ffsetORPswitch-S_ORPswitch)</f>
        <v>6848.780487804881</v>
      </c>
      <c r="CV182" s="2502">
        <f>E266*E182+F266*F182+G266*G182+H266*H182+I266*I182+J266*J182+K266*K182+L266*L182+M266*M182+N266*N182+O266*O182+P266*P182+Q266*Q182+R266*R182+S266*S182+T266*T182+U266*U182+V266*V182+W266*W182+X266*X182+Y266*Y182+Z266*Z182+AA266*AA182+AB266*AB182+AC266*AC182+AD266*AD182+AE266*AE182+AF266*AF182+AG266*AG182+AH266*AH182+AI266*AI182+AJ266*AJ182+AK266*AK182+AL266*AL182+AM266*AM182+AN266*AN182+AO266*AO182+AP266*AP182+AQ266*AQ182+AR266*AR182+AS266*AS182+AT266*AT182+AU266*AU182+AV266*AV182+AW266*AW182+AX266*AX182+AY266*AY182+AZ266*AZ182+BA266*BA182+BB266*BB182+BC266*BC182+BD266*BD182+BE266*BE182+BF266*BF182+BG266*BG182+BH266*BH182+BI266*BI182+BJ266*BJ182+BK266*BK182+BL266*BL182+BM266*BM182+BN266*BN182+BO266*BO182+BP266*BP182+BQ266*BQ182+BR266*BR182+BS266*BS182+BT266*BT182+BU266*BU182+BV266*BV182+BW266*BW182+BX266*BX182+BY266*BY182+BZ266*BZ182+CA266*CA182+CB266*CB182+CC266*CC182+CD266*CD182+CE266*CE182+CF266*CF182+CG266*CG182+CH266*CH182+CI266*CI182+CJ266*CJ182+CK266*CK182+CL266*CL182+CM266*CM182+CN266*CN182+CO266*CO182+CP266*CP182+CQ266*CQ182+CR266*CR182+CS266*CS182</f>
        <v>0</v>
      </c>
      <c r="CW182" s="2502">
        <f>E267*E182+F267*F182+G267*G182+H267*H182+I267*I182+J267*J182+K267*K182+L267*L182+M267*M182+N267*N182+O267*O182+P267*P182+Q267*Q182+R267*R182+S267*S182+T267*T182+U267*U182+V267*V182+W267*W182+X267*X182+Y267*Y182+Z267*Z182+AA267*AA182+AB267*AB182+AC267*AC182+AD267*AD182+AE267*AE182+AF267*AF182+AG267*AG182+AH267*AH182+AI267*AI182+AJ267*AJ182+AK267*AK182+AL267*AL182+AM267*AM182+AN267*AN182+AO267*AO182+AP267*AP182+AQ267*AQ182+AR267*AR182+AS267*AS182+AT267*AT182+AU267*AU182+AV267*AV182+AW267*AW182+AX267*AX182+AY267*AY182+AZ267*AZ182+BA267*BA182+BB267*BB182+BC267*BC182+BD267*BD182+BE267*BE182+BF267*BF182+BG267*BG182+BH267*BH182+BI267*BI182+BJ267*BJ182+BK267*BK182+BL267*BL182+BM267*BM182+BN267*BN182+BO267*BO182+BP267*BP182+BQ267*BQ182+BR267*BR182+BS267*BS182+BT267*BT182+BU267*BU182+BV267*BV182+BW267*BW182+BX267*BX182+BY267*BY182+BZ267*BZ182+CA267*CA182+CB267*CB182+CC267*CC182+CD267*CD182+CE267*CE182+CF267*CF182+CG267*CG182+CH267*CH182+CI267*CI182+CJ267*CJ182+CK267*CK182+CL267*CL182+CM267*CM182+CN267*CN182+CO267*CO182+CP267*CP182+CQ267*CQ182+CR267*CR182+CS267*CS182</f>
        <v>0</v>
      </c>
      <c r="CX182" s="2503">
        <f>E268*E182+F268*F182+G268*G182+H268*H182+I268*I182+J268*J182+K268*K182+L268*L182+M268*M182+N268*N182+O268*O182+P268*P182+Q268*Q182+R268*R182+S268*S182+T268*T182+U268*U182+V268*V182+W268*W182+X268*X182+Y268*Y182+Z268*Z182+AA268*AA182+AB268*AB182+AC268*AC182+AD268*AD182+AE268*AE182+AF268*AF182+AG268*AG182+AH268*AH182+AI268*AI182+AJ268*AJ182+AK268*AK182+AL268*AL182+AM268*AM182+AN268*AN182+AO268*AO182+AP268*AP182+AQ268*AQ182+AR268*AR182+AS268*AS182+AT268*AT182+AU268*AU182+AV268*AV182+AW268*AW182+AX268*AX182+AY268*AY182+AZ268*AZ182+BA268*BA182+BB268*BB182+BC268*BC182+BD268*BD182+BE268*BE182+BF268*BF182+BG268*BG182+BH268*BH182+BI268*BI182+BJ268*BJ182+BK268*BK182+BL268*BL182+BM268*BM182+BN268*BN182+BO268*BO182+BP268*BP182+BQ268*BQ182+BR268*BR182+BS268*BS182+BT268*BT182+BU268*BU182+BV268*BV182+BW268*BW182+BX268*BX182+BY268*BY182+BZ268*BZ182+CA268*CA182+CB268*CB182+CC268*CC182+CD268*CD182+CE268*CE182+CF268*CF182+CG268*CG182+CH268*CH182+CI268*CI182+CJ268*CJ182+CK268*CK182+CL268*CL182+CM268*CM182+CN268*CN182+CO268*CO182+CP268*CP182+CQ268*CQ182+CR268*CR182+CS268*CS182</f>
        <v>0</v>
      </c>
      <c r="CY182" s="2504">
        <f>E269*E182+F269*F182+G269*G182+H269*H182+I269*I182+J269*J182+K269*K182+L269*L182+M269*M182+N269*N182+O269*O182+P269*P182+Q269*Q182+R269*R182+S269*S182+T269*T182+U269*U182+V269*V182+W269*W182+X269*X182+Y269*Y182+Z269*Z182+AA269*AA182+AB269*AB182+AC269*AC182+AD269*AD182+AE269*AE182+AF269*AF182+AG269*AG182+AH269*AH182+AI269*AI182+AJ269*AJ182+AK269*AK182+AL269*AL182+AM269*AM182+AN269*AN182+AO269*AO182+AP269*AP182+AQ269*AQ182+AR269*AR182+AS269*AS182+AT269*AT182+AU269*AU182+AV269*AV182+AW269*AW182+AX269*AX182+AY269*AY182+AZ269*AZ182+BA269*BA182+BB269*BB182+BC269*BC182+BD269*BD182+BE269*BE182+BF269*BF182+BG269*BG182+BH269*BH182+BI269*BI182+BJ269*BJ182+BK269*BK182+BL269*BL182+BM269*BM182+BN269*BN182+BO269*BO182+BP269*BP182+BQ269*BQ182+BR269*BR182+BS269*BS182+BT269*BT182+BU269*BU182+BV269*BV182+BW269*BW182+BX269*BX182+BY269*BY182+BZ269*BZ182+CA269*CA182+CB269*CB182+CC269*CC182+CD269*CD182+CE269*CE182+CF269*CF182+CG269*CG182+CH269*CH182+CI269*CI182+CJ269*CJ182+CK269*CK182+CL269*CL182+CM269*CM182+CN269*CN182+CO269*CO182+CP269*CP182+CQ269*CQ182+CR269*CR182+CS269*CS182</f>
        <v>0</v>
      </c>
      <c r="CZ182" s="2504">
        <f>E270*E182+F270*F182+G270*G182+H270*H182+I270*I182+J270*J182+K270*K182+L270*L182+M270*M182+N270*N182+O270*O182+P270*P182+Q270*Q182+R270*R182+S270*S182+T270*T182+U270*U182+V270*V182+W270*W182+X270*X182+Y270*Y182+Z270*Z182+AA270*AA182+AB270*AB182+AC270*AC182+AD270*AD182+AE270*AE182+AF270*AF182+AG270*AG182+AH270*AH182+AI270*AI182+AJ270*AJ182+AK270*AK182+AL270*AL182+AM270*AM182+AN270*AN182+AO270*AO182+AP270*AP182+AQ270*AQ182+AR270*AR182+AS270*AS182+AT270*AT182+AU270*AU182+AV270*AV182+AW270*AW182+AX270*AX182+AY270*AY182+AZ270*AZ182+BA270*BA182+BB270*BB182+BC270*BC182+BD270*BD182+BE270*BE182+BF270*BF182+BG270*BG182+BH270*BH182+BI270*BI182+BJ270*BJ182+BK270*BK182+BL270*BL182+BM270*BM182+BN270*BN182+BO270*BO182+BP270*BP182+BQ270*BQ182+BR270*BR182+BS270*BS182+BT270*BT182+BU270*BU182+BV270*BV182+BW270*BW182+BX270*BX182+BY270*BY182+BZ270*BZ182+CA270*CA182+CB270*CB182+CC270*CC182+CD270*CD182+CE270*CE182+CF270*CF182+CG270*CG182+CH270*CH182+CI270*CI182+CJ270*CJ182+CK270*CK182+CL270*CL182+CM270*CM182+CN270*CN182+CO270*CO182+CP270*CP182+CQ270*CQ182+CR270*CR182+CS270*CS182</f>
        <v>0</v>
      </c>
      <c r="DA182" s="2504">
        <f>E271*E182+F271*F182+G271*G182+H271*H182+I271*I182+J271*J182+K271*K182+L271*L182+M271*M182+N271*N182+O271*O182+P271*P182+Q271*Q182+R271*R182+S271*S182+T271*T182+U271*U182+V271*V182+W271*W182+X271*X182+Y271*Y182+Z271*Z182+AA271*AA182+AB271*AB182+AC271*AC182+AD271*AD182+AE271*AE182+AF271*AF182+AG271*AG182+AH271*AH182+AI271*AI182+AJ271*AJ182+AK271*AK182+AL271*AL182+AM271*AM182+AN271*AN182+AO271*AO182+AP271*AP182+AQ271*AQ182+AR271*AR182+AS271*AS182+AT271*AT182+AU271*AU182+AV271*AV182+AW271*AW182+AX271*AX182+AY271*AY182+AZ271*AZ182+BA271*BA182+BB271*BB182+BC271*BC182+BD271*BD182+BE271*BE182+BF271*BF182+BG271*BG182+BH271*BH182+BI271*BI182+BJ271*BJ182+BK271*BK182+BL271*BL182+BM271*BM182+BN271*BN182+BO271*BO182+BP271*BP182+BQ271*BQ182+BR271*BR182+BS271*BS182+BT271*BT182+BU271*BU182+BV271*BV182+BW271*BW182+BX271*BX182+BY271*BY182+BZ271*BZ182+CA271*CA182+CB271*CB182+CC271*CC182+CD271*CD182+CE271*CE182+CF271*CF182+CG271*CG182+CH271*CH182+CI271*CI182+CJ271*CJ182+CK271*CK182+CL271*CL182+CM271*CM182+CN271*CN182+CO271*CO182+CP271*CP182+CQ271*CQ182+CR271*CR182+CS271*CS182</f>
        <v>0</v>
      </c>
      <c r="DB182" s="2504">
        <f>E272*E182+F272*F182+G272*G182+H272*H182+I272*I182+J272*J182+K272*K182+L272*L182+M272*M182+N272*N182+O272*O182+P272*P182+Q272*Q182+R272*R182+S272*S182+T272*T182+U272*U182+V272*V182+W272*W182+X272*X182+Y272*Y182+Z272*Z182+AA272*AA182+AB272*AB182+AC272*AC182+AD272*AD182+AE272*AE182+AF272*AF182+AG272*AG182+AH272*AH182+AI272*AI182+AJ272*AJ182+AK272*AK182+AL272*AL182+AM272*AM182+AN272*AN182+AO272*AO182+AP272*AP182+AQ272*AQ182+AR272*AR182+AS272*AS182+AT272*AT182+AU272*AU182+AV272*AV182+AW272*AW182+AX272*AX182+AY272*AY182+AZ272*AZ182+BA272*BA182+BB272*BB182+BC272*BC182+BD272*BD182+BE272*BE182+BF272*BF182+BG272*BG182+BH272*BH182+BI272*BI182+BJ272*BJ182+BK272*BK182+BL272*BL182+BM272*BM182+BN272*BN182+BO272*BO182+BP272*BP182+BQ272*BQ182+BR272*BR182+BS272*BS182+BT272*BT182+BU272*BU182+BV272*BV182+BW272*BW182+BX272*BX182+BY272*BY182+BZ272*BZ182+CA272*CA182+CB272*CB182+CC272*CC182+CD272*CD182+CE272*CE182+CF272*CF182+CG272*CG182+CH272*CH182+CI272*CI182+CJ272*CJ182+CK272*CK182+CL272*CL182+CM272*CM182+CN272*CN182+CO272*CO182+CP272*CP182+CQ272*CQ182+CR272*CR182+CS272*CS182</f>
        <v>0</v>
      </c>
      <c r="DC182" s="2504">
        <f>E273*E182+F273*F182+G273*G182+H273*H182+I273*I182+J273*J182+K273*K182+L273*L182+M273*M182+N273*N182+O273*O182+P273*P182+Q273*Q182+R273*R182+S273*S182+T273*T182+U273*U182+V273*V182+W273*W182+X273*X182+Y273*Y182+Z273*Z182+AA273*AA182+AB273*AB182+AC273*AC182+AD273*AD182+AE273*AE182+AF273*AF182+AG273*AG182+AH273*AH182+AI273*AI182+AJ273*AJ182+AK273*AK182+AL273*AL182+AM273*AM182+AN273*AN182+AO273*AO182+AP273*AP182+AQ273*AQ182+AR273*AR182+AS273*AS182+AT273*AT182+AU273*AU182+AV273*AV182+AW273*AW182+AX273*AX182+AY273*AY182+AZ273*AZ182+BA273*BA182+BB273*BB182+BC273*BC182+BD273*BD182+BE273*BE182+BF273*BF182+BG273*BG182+BH273*BH182+BI273*BI182+BJ273*BJ182+BK273*BK182+BL273*BL182+BM273*BM182+BN273*BN182+BO273*BO182+BP273*BP182+BQ273*BQ182+BR273*BR182+BS273*BS182+BT273*BT182+BU273*BU182+BV273*BV182+BW273*BW182+BX273*BX182+BY273*BY182+BZ273*BZ182+CA273*CA182+CB273*CB182+CC273*CC182+CD273*CD182+CE273*CE182+CF273*CF182+CG273*CG182+CH273*CH182+CI273*CI182+CJ273*CJ182+CK273*CK182+CL273*CL182+CM273*CM182+CN273*CN182+CO273*CO182+CP273*CP182+CQ273*CQ182+CR273*CR182+CS273*CS182</f>
        <v>0</v>
      </c>
      <c r="DD182" s="2504">
        <f>E274*E182+F274*F182+G274*G182+H274*H182+I274*I182+J274*J182+K274*K182+L274*L182+M274*M182+N274*N182+O274*O182+P274*P182+Q274*Q182+R274*R182+S274*S182+T274*T182+U274*U182+V274*V182+W274*W182+X274*X182+Y274*Y182+Z274*Z182+AA274*AA182+AB274*AB182+AC274*AC182+AD274*AD182+AE274*AE182+AF274*AF182+AG274*AG182+AH274*AH182+AI274*AI182+AJ274*AJ182+AK274*AK182+AL274*AL182+AM274*AM182+AN274*AN182+AO274*AO182+AP274*AP182+AQ274*AQ182+AR274*AR182+AS274*AS182+AT274*AT182+AU274*AU182+AV274*AV182+AW274*AW182+AX274*AX182+AY274*AY182+AZ274*AZ182+BA274*BA182+BB274*BB182+BC274*BC182+BD274*BD182+BE274*BE182+BF274*BF182+BG274*BG182+BH274*BH182+BI274*BI182+BJ274*BJ182+BK274*BK182+BL274*BL182+BM274*BM182+BN274*BN182+BO274*BO182+BP274*BP182+BQ274*BQ182+BR274*BR182+BS274*BS182+BT274*BT182+BU274*BU182+BV274*BV182+BW274*BW182+BX274*BX182+BY274*BY182+BZ274*BZ182+CA274*CA182+CB274*CB182+CC274*CC182+CD274*CD182+CE274*CE182+CF274*CF182+CG274*CG182+CH274*CH182+CI274*CI182+CJ274*CJ182+CK274*CK182+CL274*CL182+CM274*CM182+CN274*CN182+CO274*CO182+CP274*CP182+CQ274*CQ182+CR274*CR182+CS274*CS182</f>
        <v>0</v>
      </c>
      <c r="DE182" s="2504">
        <f>E275*E182+F275*F182+G275*G182+H275*H182+I275*I182+J275*J182+K275*K182+L275*L182+M275*M182+N275*N182+O275*O182+P275*P182+Q275*Q182+R275*R182+S275*S182+T275*T182+U275*U182+V275*V182+W275*W182+X275*X182+Y275*Y182+Z275*Z182+AA275*AA182+AB275*AB182+AC275*AC182+AD275*AD182+AE275*AE182+AF275*AF182+AG275*AG182+AH275*AH182+AI275*AI182+AJ275*AJ182+AK275*AK182+AL275*AL182+AM275*AM182+AN275*AN182+AO275*AO182+AP275*AP182+AQ275*AQ182+AR275*AR182+AS275*AS182+AT275*AT182+AU275*AU182+AV275*AV182+AW275*AW182+AX275*AX182+AY275*AY182+AZ275*AZ182+BA275*BA182+BB275*BB182+BC275*BC182+BD275*BD182+BE275*BE182+BF275*BF182+BG275*BG182+BH275*BH182+BI275*BI182+BJ275*BJ182+BK275*BK182+BL275*BL182+BM275*BM182+BN275*BN182+BO275*BO182+BP275*BP182+BQ275*BQ182+BR275*BR182+BS275*BS182+BT275*BT182+BU275*BU182+BV275*BV182+BW275*BW182+BX275*BX182+BY275*BY182+BZ275*BZ182+CA275*CA182+CB275*CB182+CC275*CC182+CD275*CD182+CE275*CE182+CF275*CF182+CG275*CG182+CH275*CH182+CI275*CI182+CJ275*CJ182+CK275*CK182+CL275*CL182+CM275*CM182+CN275*CN182+CO275*CO182+CP275*CP182+CQ275*CQ182+CR275*CR182+CS275*CS182</f>
        <v>0</v>
      </c>
      <c r="DF182" s="2504">
        <f>E276*E182+F276*F182+G276*G182+H276*H182+I276*I182+J276*J182+K276*K182+L276*L182+M276*M182+N276*N182+O276*O182+P276*P182+Q276*Q182+R276*R182+S276*S182+T276*T182+U276*U182+V276*V182+W276*W182+X276*X182+Y276*Y182+Z276*Z182+AA276*AA182+AB276*AB182+AC276*AC182+AD276*AD182+AE276*AE182+AF276*AF182+AG276*AG182+AH276*AH182+AI276*AI182+AJ276*AJ182+AK276*AK182+AL276*AL182+AM276*AM182+AN276*AN182+AO276*AO182+AP276*AP182+AQ276*AQ182+AR276*AR182+AS276*AS182+AT276*AT182+AU276*AU182+AV276*AV182+AW276*AW182+AX276*AX182+AY276*AY182+AZ276*AZ182+BA276*BA182+BB276*BB182+BC276*BC182+BD276*BD182+BE276*BE182+BF276*BF182+BG276*BG182+BH276*BH182+BI276*BI182+BJ276*BJ182+BK276*BK182+BL276*BL182+BM276*BM182+BN276*BN182+BO276*BO182+BP276*BP182+BQ276*BQ182+BR276*BR182+BS276*BS182+BT276*BT182+BU276*BU182+BV276*BV182+BW276*BW182+BX276*BX182+BY276*BY182+BZ276*BZ182+CA276*CA182+CB276*CB182+CC276*CC182+CD276*CD182+CE276*CE182+CF276*CF182+CG276*CG182+CH276*CH182+CI276*CI182+CJ276*CJ182+CK276*CK182+CL276*CL182+CM276*CM182+CN276*CN182+CO276*CO182+CP276*CP182+CQ276*CQ182+CR276*CR182+CS276*CS182</f>
        <v>0</v>
      </c>
    </row>
    <row r="183" spans="2:110" x14ac:dyDescent="0.25">
      <c r="B183" s="1571">
        <v>41</v>
      </c>
      <c r="C183" s="531" t="s">
        <v>4574</v>
      </c>
      <c r="D183" s="532" t="s">
        <v>3877</v>
      </c>
      <c r="E183" s="533">
        <f>0</f>
        <v>0</v>
      </c>
      <c r="F183" s="500">
        <f>0</f>
        <v>0</v>
      </c>
      <c r="G183" s="500">
        <f>0</f>
        <v>0</v>
      </c>
      <c r="H183" s="500">
        <f>0</f>
        <v>0</v>
      </c>
      <c r="I183" s="500">
        <f>0</f>
        <v>0</v>
      </c>
      <c r="J183" s="500">
        <f>0</f>
        <v>0</v>
      </c>
      <c r="K183" s="500">
        <f>0</f>
        <v>0</v>
      </c>
      <c r="L183" s="500">
        <f>0</f>
        <v>0</v>
      </c>
      <c r="M183" s="500">
        <f>0</f>
        <v>0</v>
      </c>
      <c r="N183" s="533">
        <f>0</f>
        <v>0</v>
      </c>
      <c r="O183" s="533">
        <f>0</f>
        <v>0</v>
      </c>
      <c r="P183" s="500">
        <f>0</f>
        <v>0</v>
      </c>
      <c r="Q183" s="500">
        <f>0</f>
        <v>0</v>
      </c>
      <c r="R183" s="500">
        <f>0</f>
        <v>0</v>
      </c>
      <c r="S183" s="500">
        <f>0</f>
        <v>0</v>
      </c>
      <c r="T183" s="500">
        <f>0</f>
        <v>0</v>
      </c>
      <c r="U183" s="500">
        <f>0</f>
        <v>0</v>
      </c>
      <c r="V183" s="500">
        <f>0</f>
        <v>0</v>
      </c>
      <c r="W183" s="500">
        <f>0</f>
        <v>0</v>
      </c>
      <c r="X183" s="500">
        <f>0</f>
        <v>0</v>
      </c>
      <c r="Y183" s="500">
        <f>0</f>
        <v>0</v>
      </c>
      <c r="Z183" s="500">
        <f>0</f>
        <v>0</v>
      </c>
      <c r="AA183" s="500">
        <f>-1</f>
        <v>-1</v>
      </c>
      <c r="AB183" s="500">
        <f>1</f>
        <v>1</v>
      </c>
      <c r="AC183" s="533">
        <f>0</f>
        <v>0</v>
      </c>
      <c r="AD183" s="533">
        <f>0</f>
        <v>0</v>
      </c>
      <c r="AE183" s="533">
        <f>0</f>
        <v>0</v>
      </c>
      <c r="AF183" s="533">
        <f>0</f>
        <v>0</v>
      </c>
      <c r="AG183" s="533">
        <f>0</f>
        <v>0</v>
      </c>
      <c r="AH183" s="500">
        <f>0</f>
        <v>0</v>
      </c>
      <c r="AI183" s="500">
        <f>0</f>
        <v>0</v>
      </c>
      <c r="AJ183" s="500">
        <f>0</f>
        <v>0</v>
      </c>
      <c r="AK183" s="500">
        <f>0</f>
        <v>0</v>
      </c>
      <c r="AL183" s="500">
        <f>0</f>
        <v>0</v>
      </c>
      <c r="AM183" s="533">
        <f>0</f>
        <v>0</v>
      </c>
      <c r="AN183" s="533">
        <f>0</f>
        <v>0</v>
      </c>
      <c r="AO183" s="500">
        <f>0</f>
        <v>0</v>
      </c>
      <c r="AP183" s="500">
        <f>0</f>
        <v>0</v>
      </c>
      <c r="AQ183" s="500">
        <f>0</f>
        <v>0</v>
      </c>
      <c r="AR183" s="500">
        <f>0</f>
        <v>0</v>
      </c>
      <c r="AS183" s="533">
        <f>-E_EQNH2OH</f>
        <v>-1.1422676290632339</v>
      </c>
      <c r="AT183" s="500">
        <f>0</f>
        <v>0</v>
      </c>
      <c r="AU183" s="500">
        <f>0</f>
        <v>0</v>
      </c>
      <c r="AV183" s="533">
        <f>0</f>
        <v>0</v>
      </c>
      <c r="AW183" s="533">
        <f>0</f>
        <v>0</v>
      </c>
      <c r="AX183" s="533">
        <f>0</f>
        <v>0</v>
      </c>
      <c r="AY183" s="533">
        <f>0</f>
        <v>0</v>
      </c>
      <c r="AZ183" s="533">
        <f>0</f>
        <v>0</v>
      </c>
      <c r="BA183" s="533">
        <f>0</f>
        <v>0</v>
      </c>
      <c r="BB183" s="520">
        <f>0</f>
        <v>0</v>
      </c>
      <c r="BC183" s="500">
        <f>0</f>
        <v>0</v>
      </c>
      <c r="BD183" s="500">
        <f>0</f>
        <v>0</v>
      </c>
      <c r="BE183" s="500">
        <f>0</f>
        <v>0</v>
      </c>
      <c r="BF183" s="500">
        <f>0</f>
        <v>0</v>
      </c>
      <c r="BG183" s="500">
        <f>0</f>
        <v>0</v>
      </c>
      <c r="BH183" s="500">
        <f>0</f>
        <v>0</v>
      </c>
      <c r="BI183" s="500">
        <f>0</f>
        <v>0</v>
      </c>
      <c r="BJ183" s="500">
        <f>0</f>
        <v>0</v>
      </c>
      <c r="BK183" s="500">
        <f>0</f>
        <v>0</v>
      </c>
      <c r="BL183" s="500">
        <f>0</f>
        <v>0</v>
      </c>
      <c r="BM183" s="500">
        <f>0</f>
        <v>0</v>
      </c>
      <c r="BN183" s="500">
        <f>0</f>
        <v>0</v>
      </c>
      <c r="BO183" s="500">
        <f>0</f>
        <v>0</v>
      </c>
      <c r="BP183" s="500">
        <f>0</f>
        <v>0</v>
      </c>
      <c r="BQ183" s="500">
        <f>0</f>
        <v>0</v>
      </c>
      <c r="BR183" s="500">
        <f>0</f>
        <v>0</v>
      </c>
      <c r="BS183" s="500">
        <f>0</f>
        <v>0</v>
      </c>
      <c r="BT183" s="500">
        <f>0</f>
        <v>0</v>
      </c>
      <c r="BU183" s="500">
        <f>0</f>
        <v>0</v>
      </c>
      <c r="BV183" s="500">
        <f>0</f>
        <v>0</v>
      </c>
      <c r="BW183" s="2357">
        <f>0</f>
        <v>0</v>
      </c>
      <c r="BX183" s="2357">
        <f>0</f>
        <v>0</v>
      </c>
      <c r="BY183" s="2357">
        <f>0</f>
        <v>0</v>
      </c>
      <c r="BZ183" s="2357">
        <f>0</f>
        <v>0</v>
      </c>
      <c r="CA183" s="500">
        <f>0</f>
        <v>0</v>
      </c>
      <c r="CB183" s="500">
        <f>0</f>
        <v>0</v>
      </c>
      <c r="CC183" s="500">
        <f>0</f>
        <v>0</v>
      </c>
      <c r="CD183" s="500">
        <f>0</f>
        <v>0</v>
      </c>
      <c r="CE183" s="500">
        <f>0</f>
        <v>0</v>
      </c>
      <c r="CF183" s="500">
        <f>0</f>
        <v>0</v>
      </c>
      <c r="CG183" s="500">
        <f>0</f>
        <v>0</v>
      </c>
      <c r="CH183" s="500">
        <f>0</f>
        <v>0</v>
      </c>
      <c r="CI183" s="500">
        <f>0</f>
        <v>0</v>
      </c>
      <c r="CJ183" s="500">
        <f>0</f>
        <v>0</v>
      </c>
      <c r="CK183" s="500">
        <f>0</f>
        <v>0</v>
      </c>
      <c r="CL183" s="500">
        <f>0</f>
        <v>0</v>
      </c>
      <c r="CM183" s="500">
        <f>0</f>
        <v>0</v>
      </c>
      <c r="CN183" s="500">
        <f>0</f>
        <v>0</v>
      </c>
      <c r="CO183" s="500">
        <f>0</f>
        <v>0</v>
      </c>
      <c r="CP183" s="500">
        <f>0</f>
        <v>0</v>
      </c>
      <c r="CQ183" s="500">
        <f>0</f>
        <v>0</v>
      </c>
      <c r="CR183" s="500">
        <f>0</f>
        <v>0</v>
      </c>
      <c r="CS183" s="500">
        <f>0</f>
        <v>0</v>
      </c>
      <c r="CT183" s="520">
        <f>µ_AOB_T/Y_AOB*X_AOB*M_satSO2_KO2_NHx_AOB*M_satSNHx_KNHx_NH2OH_AOB</f>
        <v>93.176470588235304</v>
      </c>
      <c r="CV183" s="2502">
        <f>E266*E183+F266*F183+G266*G183+H266*H183+I266*I183+J266*J183+K266*K183+L266*L183+M266*M183+N266*N183+O266*O183+P266*P183+Q266*Q183+R266*R183+S266*S183+T266*T183+U266*U183+V266*V183+W266*W183+X266*X183+Y266*Y183+Z266*Z183+AA266*AA183+AB266*AB183+AC266*AC183+AD266*AD183+AE266*AE183+AF266*AF183+AG266*AG183+AH266*AH183+AI266*AI183+AJ266*AJ183+AK266*AK183+AL266*AL183+AM266*AM183+AN266*AN183+AO266*AO183+AP266*AP183+AQ266*AQ183+AR266*AR183+AS266*AS183+AT266*AT183+AU266*AU183+AV266*AV183+AW266*AW183+AX266*AX183+AY266*AY183+AZ266*AZ183+BA266*BA183+BB266*BB183+BC266*BC183+BD266*BD183+BE266*BE183+BF266*BF183+BG266*BG183+BH266*BH183+BI266*BI183+BJ266*BJ183+BK266*BK183+BL266*BL183+BM266*BM183+BN266*BN183+BO266*BO183+BP266*BP183+BQ266*BQ183+BR266*BR183+BS266*BS183+BT266*BT183+BU266*BU183+BV266*BV183+BW266*BW183+BX266*BX183+BY266*BY183+BZ266*BZ183+CA266*CA183+CB266*CB183+CC266*CC183+CD266*CD183+CE266*CE183+CF266*CF183+CG266*CG183+CH266*CH183+CI266*CI183+CJ266*CJ183+CK266*CK183+CL266*CL183+CM266*CM183+CN266*CN183+CO266*CO183+CP266*CP183+CQ266*CQ183+CR266*CR183+CS266*CS183</f>
        <v>0</v>
      </c>
      <c r="CW183" s="2502">
        <f>E267*E183+F267*F183+G267*G183+H267*H183+I267*I183+J267*J183+K267*K183+L267*L183+M267*M183+N267*N183+O267*O183+P267*P183+Q267*Q183+R267*R183+S267*S183+T267*T183+U267*U183+V267*V183+W267*W183+X267*X183+Y267*Y183+Z267*Z183+AA267*AA183+AB267*AB183+AC267*AC183+AD267*AD183+AE267*AE183+AF267*AF183+AG267*AG183+AH267*AH183+AI267*AI183+AJ267*AJ183+AK267*AK183+AL267*AL183+AM267*AM183+AN267*AN183+AO267*AO183+AP267*AP183+AQ267*AQ183+AR267*AR183+AS267*AS183+AT267*AT183+AU267*AU183+AV267*AV183+AW267*AW183+AX267*AX183+AY267*AY183+AZ267*AZ183+BA267*BA183+BB267*BB183+BC267*BC183+BD267*BD183+BE267*BE183+BF267*BF183+BG267*BG183+BH267*BH183+BI267*BI183+BJ267*BJ183+BK267*BK183+BL267*BL183+BM267*BM183+BN267*BN183+BO267*BO183+BP267*BP183+BQ267*BQ183+BR267*BR183+BS267*BS183+BT267*BT183+BU267*BU183+BV267*BV183+BW267*BW183+BX267*BX183+BY267*BY183+BZ267*BZ183+CA267*CA183+CB267*CB183+CC267*CC183+CD267*CD183+CE267*CE183+CF267*CF183+CG267*CG183+CH267*CH183+CI267*CI183+CJ267*CJ183+CK267*CK183+CL267*CL183+CM267*CM183+CN267*CN183+CO267*CO183+CP267*CP183+CQ267*CQ183+CR267*CR183+CS267*CS183</f>
        <v>0</v>
      </c>
      <c r="CX183" s="2503">
        <f>E268*E183+F268*F183+G268*G183+H268*H183+I268*I183+J268*J183+K268*K183+L268*L183+M268*M183+N268*N183+O268*O183+P268*P183+Q268*Q183+R268*R183+S268*S183+T268*T183+U268*U183+V268*V183+W268*W183+X268*X183+Y268*Y183+Z268*Z183+AA268*AA183+AB268*AB183+AC268*AC183+AD268*AD183+AE268*AE183+AF268*AF183+AG268*AG183+AH268*AH183+AI268*AI183+AJ268*AJ183+AK268*AK183+AL268*AL183+AM268*AM183+AN268*AN183+AO268*AO183+AP268*AP183+AQ268*AQ183+AR268*AR183+AS268*AS183+AT268*AT183+AU268*AU183+AV268*AV183+AW268*AW183+AX268*AX183+AY268*AY183+AZ268*AZ183+BA268*BA183+BB268*BB183+BC268*BC183+BD268*BD183+BE268*BE183+BF268*BF183+BG268*BG183+BH268*BH183+BI268*BI183+BJ268*BJ183+BK268*BK183+BL268*BL183+BM268*BM183+BN268*BN183+BO268*BO183+BP268*BP183+BQ268*BQ183+BR268*BR183+BS268*BS183+BT268*BT183+BU268*BU183+BV268*BV183+BW268*BW183+BX268*BX183+BY268*BY183+BZ268*BZ183+CA268*CA183+CB268*CB183+CC268*CC183+CD268*CD183+CE268*CE183+CF268*CF183+CG268*CG183+CH268*CH183+CI268*CI183+CJ268*CJ183+CK268*CK183+CL268*CL183+CM268*CM183+CN268*CN183+CO268*CO183+CP268*CP183+CQ268*CQ183+CR268*CR183+CS268*CS183</f>
        <v>0</v>
      </c>
      <c r="CY183" s="2504">
        <f>E269*E183+F269*F183+G269*G183+H269*H183+I269*I183+J269*J183+K269*K183+L269*L183+M269*M183+N269*N183+O269*O183+P269*P183+Q269*Q183+R269*R183+S269*S183+T269*T183+U269*U183+V269*V183+W269*W183+X269*X183+Y269*Y183+Z269*Z183+AA269*AA183+AB269*AB183+AC269*AC183+AD269*AD183+AE269*AE183+AF269*AF183+AG269*AG183+AH269*AH183+AI269*AI183+AJ269*AJ183+AK269*AK183+AL269*AL183+AM269*AM183+AN269*AN183+AO269*AO183+AP269*AP183+AQ269*AQ183+AR269*AR183+AS269*AS183+AT269*AT183+AU269*AU183+AV269*AV183+AW269*AW183+AX269*AX183+AY269*AY183+AZ269*AZ183+BA269*BA183+BB269*BB183+BC269*BC183+BD269*BD183+BE269*BE183+BF269*BF183+BG269*BG183+BH269*BH183+BI269*BI183+BJ269*BJ183+BK269*BK183+BL269*BL183+BM269*BM183+BN269*BN183+BO269*BO183+BP269*BP183+BQ269*BQ183+BR269*BR183+BS269*BS183+BT269*BT183+BU269*BU183+BV269*BV183+BW269*BW183+BX269*BX183+BY269*BY183+BZ269*BZ183+CA269*CA183+CB269*CB183+CC269*CC183+CD269*CD183+CE269*CE183+CF269*CF183+CG269*CG183+CH269*CH183+CI269*CI183+CJ269*CJ183+CK269*CK183+CL269*CL183+CM269*CM183+CN269*CN183+CO269*CO183+CP269*CP183+CQ269*CQ183+CR269*CR183+CS269*CS183</f>
        <v>0</v>
      </c>
      <c r="CZ183" s="2504">
        <f>E270*E183+F270*F183+G270*G183+H270*H183+I270*I183+J270*J183+K270*K183+L270*L183+M270*M183+N270*N183+O270*O183+P270*P183+Q270*Q183+R270*R183+S270*S183+T270*T183+U270*U183+V270*V183+W270*W183+X270*X183+Y270*Y183+Z270*Z183+AA270*AA183+AB270*AB183+AC270*AC183+AD270*AD183+AE270*AE183+AF270*AF183+AG270*AG183+AH270*AH183+AI270*AI183+AJ270*AJ183+AK270*AK183+AL270*AL183+AM270*AM183+AN270*AN183+AO270*AO183+AP270*AP183+AQ270*AQ183+AR270*AR183+AS270*AS183+AT270*AT183+AU270*AU183+AV270*AV183+AW270*AW183+AX270*AX183+AY270*AY183+AZ270*AZ183+BA270*BA183+BB270*BB183+BC270*BC183+BD270*BD183+BE270*BE183+BF270*BF183+BG270*BG183+BH270*BH183+BI270*BI183+BJ270*BJ183+BK270*BK183+BL270*BL183+BM270*BM183+BN270*BN183+BO270*BO183+BP270*BP183+BQ270*BQ183+BR270*BR183+BS270*BS183+BT270*BT183+BU270*BU183+BV270*BV183+BW270*BW183+BX270*BX183+BY270*BY183+BZ270*BZ183+CA270*CA183+CB270*CB183+CC270*CC183+CD270*CD183+CE270*CE183+CF270*CF183+CG270*CG183+CH270*CH183+CI270*CI183+CJ270*CJ183+CK270*CK183+CL270*CL183+CM270*CM183+CN270*CN183+CO270*CO183+CP270*CP183+CQ270*CQ183+CR270*CR183+CS270*CS183</f>
        <v>0</v>
      </c>
      <c r="DA183" s="2504">
        <f>E271*E183+F271*F183+G271*G183+H271*H183+I271*I183+J271*J183+K271*K183+L271*L183+M271*M183+N271*N183+O271*O183+P271*P183+Q271*Q183+R271*R183+S271*S183+T271*T183+U271*U183+V271*V183+W271*W183+X271*X183+Y271*Y183+Z271*Z183+AA271*AA183+AB271*AB183+AC271*AC183+AD271*AD183+AE271*AE183+AF271*AF183+AG271*AG183+AH271*AH183+AI271*AI183+AJ271*AJ183+AK271*AK183+AL271*AL183+AM271*AM183+AN271*AN183+AO271*AO183+AP271*AP183+AQ271*AQ183+AR271*AR183+AS271*AS183+AT271*AT183+AU271*AU183+AV271*AV183+AW271*AW183+AX271*AX183+AY271*AY183+AZ271*AZ183+BA271*BA183+BB271*BB183+BC271*BC183+BD271*BD183+BE271*BE183+BF271*BF183+BG271*BG183+BH271*BH183+BI271*BI183+BJ271*BJ183+BK271*BK183+BL271*BL183+BM271*BM183+BN271*BN183+BO271*BO183+BP271*BP183+BQ271*BQ183+BR271*BR183+BS271*BS183+BT271*BT183+BU271*BU183+BV271*BV183+BW271*BW183+BX271*BX183+BY271*BY183+BZ271*BZ183+CA271*CA183+CB271*CB183+CC271*CC183+CD271*CD183+CE271*CE183+CF271*CF183+CG271*CG183+CH271*CH183+CI271*CI183+CJ271*CJ183+CK271*CK183+CL271*CL183+CM271*CM183+CN271*CN183+CO271*CO183+CP271*CP183+CQ271*CQ183+CR271*CR183+CS271*CS183</f>
        <v>0</v>
      </c>
      <c r="DB183" s="2504">
        <f>E272*E183+F272*F183+G272*G183+H272*H183+I272*I183+J272*J183+K272*K183+L272*L183+M272*M183+N272*N183+O272*O183+P272*P183+Q272*Q183+R272*R183+S272*S183+T272*T183+U272*U183+V272*V183+W272*W183+X272*X183+Y272*Y183+Z272*Z183+AA272*AA183+AB272*AB183+AC272*AC183+AD272*AD183+AE272*AE183+AF272*AF183+AG272*AG183+AH272*AH183+AI272*AI183+AJ272*AJ183+AK272*AK183+AL272*AL183+AM272*AM183+AN272*AN183+AO272*AO183+AP272*AP183+AQ272*AQ183+AR272*AR183+AS272*AS183+AT272*AT183+AU272*AU183+AV272*AV183+AW272*AW183+AX272*AX183+AY272*AY183+AZ272*AZ183+BA272*BA183+BB272*BB183+BC272*BC183+BD272*BD183+BE272*BE183+BF272*BF183+BG272*BG183+BH272*BH183+BI272*BI183+BJ272*BJ183+BK272*BK183+BL272*BL183+BM272*BM183+BN272*BN183+BO272*BO183+BP272*BP183+BQ272*BQ183+BR272*BR183+BS272*BS183+BT272*BT183+BU272*BU183+BV272*BV183+BW272*BW183+BX272*BX183+BY272*BY183+BZ272*BZ183+CA272*CA183+CB272*CB183+CC272*CC183+CD272*CD183+CE272*CE183+CF272*CF183+CG272*CG183+CH272*CH183+CI272*CI183+CJ272*CJ183+CK272*CK183+CL272*CL183+CM272*CM183+CN272*CN183+CO272*CO183+CP272*CP183+CQ272*CQ183+CR272*CR183+CS272*CS183</f>
        <v>0</v>
      </c>
      <c r="DC183" s="2504">
        <f>E273*E183+F273*F183+G273*G183+H273*H183+I273*I183+J273*J183+K273*K183+L273*L183+M273*M183+N273*N183+O273*O183+P273*P183+Q273*Q183+R273*R183+S273*S183+T273*T183+U273*U183+V273*V183+W273*W183+X273*X183+Y273*Y183+Z273*Z183+AA273*AA183+AB273*AB183+AC273*AC183+AD273*AD183+AE273*AE183+AF273*AF183+AG273*AG183+AH273*AH183+AI273*AI183+AJ273*AJ183+AK273*AK183+AL273*AL183+AM273*AM183+AN273*AN183+AO273*AO183+AP273*AP183+AQ273*AQ183+AR273*AR183+AS273*AS183+AT273*AT183+AU273*AU183+AV273*AV183+AW273*AW183+AX273*AX183+AY273*AY183+AZ273*AZ183+BA273*BA183+BB273*BB183+BC273*BC183+BD273*BD183+BE273*BE183+BF273*BF183+BG273*BG183+BH273*BH183+BI273*BI183+BJ273*BJ183+BK273*BK183+BL273*BL183+BM273*BM183+BN273*BN183+BO273*BO183+BP273*BP183+BQ273*BQ183+BR273*BR183+BS273*BS183+BT273*BT183+BU273*BU183+BV273*BV183+BW273*BW183+BX273*BX183+BY273*BY183+BZ273*BZ183+CA273*CA183+CB273*CB183+CC273*CC183+CD273*CD183+CE273*CE183+CF273*CF183+CG273*CG183+CH273*CH183+CI273*CI183+CJ273*CJ183+CK273*CK183+CL273*CL183+CM273*CM183+CN273*CN183+CO273*CO183+CP273*CP183+CQ273*CQ183+CR273*CR183+CS273*CS183</f>
        <v>0</v>
      </c>
      <c r="DD183" s="2504">
        <f>E274*E183+F274*F183+G274*G183+H274*H183+I274*I183+J274*J183+K274*K183+L274*L183+M274*M183+N274*N183+O274*O183+P274*P183+Q274*Q183+R274*R183+S274*S183+T274*T183+U274*U183+V274*V183+W274*W183+X274*X183+Y274*Y183+Z274*Z183+AA274*AA183+AB274*AB183+AC274*AC183+AD274*AD183+AE274*AE183+AF274*AF183+AG274*AG183+AH274*AH183+AI274*AI183+AJ274*AJ183+AK274*AK183+AL274*AL183+AM274*AM183+AN274*AN183+AO274*AO183+AP274*AP183+AQ274*AQ183+AR274*AR183+AS274*AS183+AT274*AT183+AU274*AU183+AV274*AV183+AW274*AW183+AX274*AX183+AY274*AY183+AZ274*AZ183+BA274*BA183+BB274*BB183+BC274*BC183+BD274*BD183+BE274*BE183+BF274*BF183+BG274*BG183+BH274*BH183+BI274*BI183+BJ274*BJ183+BK274*BK183+BL274*BL183+BM274*BM183+BN274*BN183+BO274*BO183+BP274*BP183+BQ274*BQ183+BR274*BR183+BS274*BS183+BT274*BT183+BU274*BU183+BV274*BV183+BW274*BW183+BX274*BX183+BY274*BY183+BZ274*BZ183+CA274*CA183+CB274*CB183+CC274*CC183+CD274*CD183+CE274*CE183+CF274*CF183+CG274*CG183+CH274*CH183+CI274*CI183+CJ274*CJ183+CK274*CK183+CL274*CL183+CM274*CM183+CN274*CN183+CO274*CO183+CP274*CP183+CQ274*CQ183+CR274*CR183+CS274*CS183</f>
        <v>0</v>
      </c>
      <c r="DE183" s="2504">
        <f>E275*E183+F275*F183+G275*G183+H275*H183+I275*I183+J275*J183+K275*K183+L275*L183+M275*M183+N275*N183+O275*O183+P275*P183+Q275*Q183+R275*R183+S275*S183+T275*T183+U275*U183+V275*V183+W275*W183+X275*X183+Y275*Y183+Z275*Z183+AA275*AA183+AB275*AB183+AC275*AC183+AD275*AD183+AE275*AE183+AF275*AF183+AG275*AG183+AH275*AH183+AI275*AI183+AJ275*AJ183+AK275*AK183+AL275*AL183+AM275*AM183+AN275*AN183+AO275*AO183+AP275*AP183+AQ275*AQ183+AR275*AR183+AS275*AS183+AT275*AT183+AU275*AU183+AV275*AV183+AW275*AW183+AX275*AX183+AY275*AY183+AZ275*AZ183+BA275*BA183+BB275*BB183+BC275*BC183+BD275*BD183+BE275*BE183+BF275*BF183+BG275*BG183+BH275*BH183+BI275*BI183+BJ275*BJ183+BK275*BK183+BL275*BL183+BM275*BM183+BN275*BN183+BO275*BO183+BP275*BP183+BQ275*BQ183+BR275*BR183+BS275*BS183+BT275*BT183+BU275*BU183+BV275*BV183+BW275*BW183+BX275*BX183+BY275*BY183+BZ275*BZ183+CA275*CA183+CB275*CB183+CC275*CC183+CD275*CD183+CE275*CE183+CF275*CF183+CG275*CG183+CH275*CH183+CI275*CI183+CJ275*CJ183+CK275*CK183+CL275*CL183+CM275*CM183+CN275*CN183+CO275*CO183+CP275*CP183+CQ275*CQ183+CR275*CR183+CS275*CS183</f>
        <v>0</v>
      </c>
      <c r="DF183" s="2504">
        <f>E276*E183+F276*F183+G276*G183+H276*H183+I276*I183+J276*J183+K276*K183+L276*L183+M276*M183+N276*N183+O276*O183+P276*P183+Q276*Q183+R276*R183+S276*S183+T276*T183+U276*U183+V276*V183+W276*W183+X276*X183+Y276*Y183+Z276*Z183+AA276*AA183+AB276*AB183+AC276*AC183+AD276*AD183+AE276*AE183+AF276*AF183+AG276*AG183+AH276*AH183+AI276*AI183+AJ276*AJ183+AK276*AK183+AL276*AL183+AM276*AM183+AN276*AN183+AO276*AO183+AP276*AP183+AQ276*AQ183+AR276*AR183+AS276*AS183+AT276*AT183+AU276*AU183+AV276*AV183+AW276*AW183+AX276*AX183+AY276*AY183+AZ276*AZ183+BA276*BA183+BB276*BB183+BC276*BC183+BD276*BD183+BE276*BE183+BF276*BF183+BG276*BG183+BH276*BH183+BI276*BI183+BJ276*BJ183+BK276*BK183+BL276*BL183+BM276*BM183+BN276*BN183+BO276*BO183+BP276*BP183+BQ276*BQ183+BR276*BR183+BS276*BS183+BT276*BT183+BU276*BU183+BV276*BV183+BW276*BW183+BX276*BX183+BY276*BY183+BZ276*BZ183+CA276*CA183+CB276*CB183+CC276*CC183+CD276*CD183+CE276*CE183+CF276*CF183+CG276*CG183+CH276*CH183+CI276*CI183+CJ276*CJ183+CK276*CK183+CL276*CL183+CM276*CM183+CN276*CN183+CO276*CO183+CP276*CP183+CQ276*CQ183+CR276*CR183+CS276*CS183</f>
        <v>0</v>
      </c>
    </row>
    <row r="184" spans="2:110" x14ac:dyDescent="0.25">
      <c r="B184" s="1571">
        <v>42</v>
      </c>
      <c r="C184" s="531" t="s">
        <v>4575</v>
      </c>
      <c r="D184" s="532" t="s">
        <v>3857</v>
      </c>
      <c r="E184" s="533">
        <f>0</f>
        <v>0</v>
      </c>
      <c r="F184" s="500">
        <f>0</f>
        <v>0</v>
      </c>
      <c r="G184" s="500">
        <f>0</f>
        <v>0</v>
      </c>
      <c r="H184" s="500">
        <f>0</f>
        <v>0</v>
      </c>
      <c r="I184" s="500">
        <f>0</f>
        <v>0</v>
      </c>
      <c r="J184" s="500">
        <f>0</f>
        <v>0</v>
      </c>
      <c r="K184" s="500">
        <f>0</f>
        <v>0</v>
      </c>
      <c r="L184" s="500">
        <f>0</f>
        <v>0</v>
      </c>
      <c r="M184" s="500">
        <f>0</f>
        <v>0</v>
      </c>
      <c r="N184" s="533">
        <f>0</f>
        <v>0</v>
      </c>
      <c r="O184" s="533">
        <f>0</f>
        <v>0</v>
      </c>
      <c r="P184" s="500">
        <f>0</f>
        <v>0</v>
      </c>
      <c r="Q184" s="500">
        <f>0</f>
        <v>0</v>
      </c>
      <c r="R184" s="500">
        <f>0</f>
        <v>0</v>
      </c>
      <c r="S184" s="500">
        <f>0</f>
        <v>0</v>
      </c>
      <c r="T184" s="500">
        <f>0</f>
        <v>0</v>
      </c>
      <c r="U184" s="500">
        <f>1</f>
        <v>1</v>
      </c>
      <c r="V184" s="500">
        <f>0</f>
        <v>0</v>
      </c>
      <c r="W184" s="500">
        <f>0</f>
        <v>0</v>
      </c>
      <c r="X184" s="500">
        <f>0</f>
        <v>0</v>
      </c>
      <c r="Y184" s="500">
        <f>0</f>
        <v>0</v>
      </c>
      <c r="Z184" s="500">
        <f>0</f>
        <v>0</v>
      </c>
      <c r="AA184" s="533">
        <f>-i_N_BIO</f>
        <v>-7.0000000000000007E-2</v>
      </c>
      <c r="AB184" s="533">
        <f>-1/Y_AOB</f>
        <v>-6.666666666666667</v>
      </c>
      <c r="AC184" s="533">
        <f>0</f>
        <v>0</v>
      </c>
      <c r="AD184" s="533">
        <f>0</f>
        <v>0</v>
      </c>
      <c r="AE184" s="533">
        <f>1/Y_AOB</f>
        <v>6.666666666666667</v>
      </c>
      <c r="AF184" s="533">
        <f>0</f>
        <v>0</v>
      </c>
      <c r="AG184" s="533">
        <f>0</f>
        <v>0</v>
      </c>
      <c r="AH184" s="500">
        <f>0</f>
        <v>0</v>
      </c>
      <c r="AI184" s="500">
        <f>0</f>
        <v>0</v>
      </c>
      <c r="AJ184" s="500">
        <f>0</f>
        <v>0</v>
      </c>
      <c r="AK184" s="500">
        <f>0</f>
        <v>0</v>
      </c>
      <c r="AL184" s="500">
        <f>0</f>
        <v>0</v>
      </c>
      <c r="AM184" s="533">
        <f>-i_P_BIO</f>
        <v>-0.02</v>
      </c>
      <c r="AN184" s="533">
        <f>0</f>
        <v>0</v>
      </c>
      <c r="AO184" s="500">
        <f>0</f>
        <v>0</v>
      </c>
      <c r="AP184" s="500">
        <f>0</f>
        <v>0</v>
      </c>
      <c r="AQ184" s="500">
        <f>0</f>
        <v>0</v>
      </c>
      <c r="AR184" s="500">
        <f>0</f>
        <v>0</v>
      </c>
      <c r="AS184" s="533">
        <f>-(E_EQNH2OH_NO-Y_AOB)/Y_AOB</f>
        <v>-10.42267629063234</v>
      </c>
      <c r="AT184" s="500">
        <f>0</f>
        <v>0</v>
      </c>
      <c r="AU184" s="500">
        <f>0</f>
        <v>0</v>
      </c>
      <c r="AV184" s="533">
        <f>-i_CIT_BIO</f>
        <v>-0.35199999999999998</v>
      </c>
      <c r="AW184" s="533">
        <f>i_INORG</f>
        <v>0.11</v>
      </c>
      <c r="AX184" s="533">
        <f>-i_INORG*(1-i_Ca_INORG*(A_MCa+2*A_MCl)/A_MCa-i_Mg_INORG*(A_MMg+2*A_MCl)/A_MMg)*f_Na</f>
        <v>-2.8804303582798466E-2</v>
      </c>
      <c r="AY184" s="533">
        <f>-i_INORG*(i_Ca_INORG*(2*A_MCl)/A_MCa+i_Mg_INORG*(2*A_MCl)/A_MMg)-i_INORG*(1-i_Ca_INORG*(A_MCa+2*A_MCl)/A_MCa-i_Mg_INORG*(A_MMg+2*A_MCl)/A_MMg)*(1-f_Na)</f>
        <v>-7.0195696417201539E-2</v>
      </c>
      <c r="AZ184" s="533">
        <f>-i_INORG*i_Ca_INORG</f>
        <v>-5.5000000000000005E-3</v>
      </c>
      <c r="BA184" s="533">
        <f>-i_INORG*i_Mg_INORG</f>
        <v>-5.5000000000000005E-3</v>
      </c>
      <c r="BB184" s="520">
        <f>0</f>
        <v>0</v>
      </c>
      <c r="BC184" s="500">
        <f>0</f>
        <v>0</v>
      </c>
      <c r="BD184" s="500">
        <f>0</f>
        <v>0</v>
      </c>
      <c r="BE184" s="500">
        <f>0</f>
        <v>0</v>
      </c>
      <c r="BF184" s="500">
        <f>0</f>
        <v>0</v>
      </c>
      <c r="BG184" s="500">
        <f>0</f>
        <v>0</v>
      </c>
      <c r="BH184" s="500">
        <f>0</f>
        <v>0</v>
      </c>
      <c r="BI184" s="500">
        <f>0</f>
        <v>0</v>
      </c>
      <c r="BJ184" s="500">
        <f>0</f>
        <v>0</v>
      </c>
      <c r="BK184" s="500">
        <f>0</f>
        <v>0</v>
      </c>
      <c r="BL184" s="500">
        <f>0</f>
        <v>0</v>
      </c>
      <c r="BM184" s="500">
        <f>0</f>
        <v>0</v>
      </c>
      <c r="BN184" s="500">
        <f>0</f>
        <v>0</v>
      </c>
      <c r="BO184" s="500">
        <f>0</f>
        <v>0</v>
      </c>
      <c r="BP184" s="500">
        <f>0</f>
        <v>0</v>
      </c>
      <c r="BQ184" s="500">
        <f>0</f>
        <v>0</v>
      </c>
      <c r="BR184" s="500">
        <f>0</f>
        <v>0</v>
      </c>
      <c r="BS184" s="500">
        <f>0</f>
        <v>0</v>
      </c>
      <c r="BT184" s="500">
        <f>0</f>
        <v>0</v>
      </c>
      <c r="BU184" s="500">
        <f>0</f>
        <v>0</v>
      </c>
      <c r="BV184" s="500">
        <f>0</f>
        <v>0</v>
      </c>
      <c r="BW184" s="2357">
        <f>0</f>
        <v>0</v>
      </c>
      <c r="BX184" s="2357">
        <f>0</f>
        <v>0</v>
      </c>
      <c r="BY184" s="2357">
        <f>0</f>
        <v>0</v>
      </c>
      <c r="BZ184" s="2357">
        <f>0</f>
        <v>0</v>
      </c>
      <c r="CA184" s="500">
        <f>0</f>
        <v>0</v>
      </c>
      <c r="CB184" s="500">
        <f>0</f>
        <v>0</v>
      </c>
      <c r="CC184" s="500">
        <f>0</f>
        <v>0</v>
      </c>
      <c r="CD184" s="500">
        <f>0</f>
        <v>0</v>
      </c>
      <c r="CE184" s="500">
        <f>0</f>
        <v>0</v>
      </c>
      <c r="CF184" s="500">
        <f>0</f>
        <v>0</v>
      </c>
      <c r="CG184" s="500">
        <f>0</f>
        <v>0</v>
      </c>
      <c r="CH184" s="500">
        <f>0</f>
        <v>0</v>
      </c>
      <c r="CI184" s="500">
        <f>0</f>
        <v>0</v>
      </c>
      <c r="CJ184" s="500">
        <f>0</f>
        <v>0</v>
      </c>
      <c r="CK184" s="500">
        <f>0</f>
        <v>0</v>
      </c>
      <c r="CL184" s="500">
        <f>0</f>
        <v>0</v>
      </c>
      <c r="CM184" s="500">
        <f>0</f>
        <v>0</v>
      </c>
      <c r="CN184" s="500">
        <f>0</f>
        <v>0</v>
      </c>
      <c r="CO184" s="500">
        <f>0</f>
        <v>0</v>
      </c>
      <c r="CP184" s="500">
        <f>0</f>
        <v>0</v>
      </c>
      <c r="CQ184" s="500">
        <f>0</f>
        <v>0</v>
      </c>
      <c r="CR184" s="500">
        <f>0</f>
        <v>0</v>
      </c>
      <c r="CS184" s="500">
        <f>0</f>
        <v>0</v>
      </c>
      <c r="CT184" s="520">
        <f>µ_AOB_T*X_AOB*M_satSNH2OH_KNH2OH_AOB*M_satSO2_KO2_NH2OH_AOB*M_satSNHx_KNHx_AOB*L_ogsatpHCO2_AOB*M_satSPO4_KPO4_BIO*M_satSCAT_KCAT*M_satSAN_KAN*M_satSCa_KCa*M_satSMg_KMg*B_ellinhpH_AOB</f>
        <v>0.2930740403940898</v>
      </c>
      <c r="CV184" s="2502">
        <f>E266*E184+F266*F184+G266*G184+H266*H184+I266*I184+J266*J184+K266*K184+L266*L184+M266*M184+N266*N184+O266*O184+P266*P184+Q266*Q184+R266*R184+S266*S184+T266*T184+U266*U184+V266*V184+W266*W184+X266*X184+Y266*Y184+Z266*Z184+AA266*AA184+AB266*AB184+AC266*AC184+AD266*AD184+AE266*AE184+AF266*AF184+AG266*AG184+AH266*AH184+AI266*AI184+AJ266*AJ184+AK266*AK184+AL266*AL184+AM266*AM184+AN266*AN184+AO266*AO184+AP266*AP184+AQ266*AQ184+AR266*AR184+AS266*AS184+AT266*AT184+AU266*AU184+AV266*AV184+AW266*AW184+AX266*AX184+AY266*AY184+AZ266*AZ184+BA266*BA184+BB266*BB184+BC266*BC184+BD266*BD184+BE266*BE184+BF266*BF184+BG266*BG184+BH266*BH184+BI266*BI184+BJ266*BJ184+BK266*BK184+BL266*BL184+BM266*BM184+BN266*BN184+BO266*BO184+BP266*BP184+BQ266*BQ184+BR266*BR184+BS266*BS184+BT266*BT184+BU266*BU184+BV266*BV184+BW266*BW184+BX266*BX184+BY266*BY184+BZ266*BZ184+CA266*CA184+CB266*CB184+CC266*CC184+CD266*CD184+CE266*CE184+CF266*CF184+CG266*CG184+CH266*CH184+CI266*CI184+CJ266*CJ184+CK266*CK184+CL266*CL184+CM266*CM184+CN266*CN184+CO266*CO184+CP266*CP184+CQ266*CQ184+CR266*CR184+CS266*CS184</f>
        <v>-1.7763568394002505E-15</v>
      </c>
      <c r="CW184" s="2502">
        <f>E267*E184+F267*F184+G267*G184+H267*H184+I267*I184+J267*J184+K267*K184+L267*L184+M267*M184+N267*N184+O267*O184+P267*P184+Q267*Q184+R267*R184+S267*S184+T267*T184+U267*U184+V267*V184+W267*W184+X267*X184+Y267*Y184+Z267*Z184+AA267*AA184+AB267*AB184+AC267*AC184+AD267*AD184+AE267*AE184+AF267*AF184+AG267*AG184+AH267*AH184+AI267*AI184+AJ267*AJ184+AK267*AK184+AL267*AL184+AM267*AM184+AN267*AN184+AO267*AO184+AP267*AP184+AQ267*AQ184+AR267*AR184+AS267*AS184+AT267*AT184+AU267*AU184+AV267*AV184+AW267*AW184+AX267*AX184+AY267*AY184+AZ267*AZ184+BA267*BA184+BB267*BB184+BC267*BC184+BD267*BD184+BE267*BE184+BF267*BF184+BG267*BG184+BH267*BH184+BI267*BI184+BJ267*BJ184+BK267*BK184+BL267*BL184+BM267*BM184+BN267*BN184+BO267*BO184+BP267*BP184+BQ267*BQ184+BR267*BR184+BS267*BS184+BT267*BT184+BU267*BU184+BV267*BV184+BW267*BW184+BX267*BX184+BY267*BY184+BZ267*BZ184+CA267*CA184+CB267*CB184+CC267*CC184+CD267*CD184+CE267*CE184+CF267*CF184+CG267*CG184+CH267*CH184+CI267*CI184+CJ267*CJ184+CK267*CK184+CL267*CL184+CM267*CM184+CN267*CN184+CO267*CO184+CP267*CP184+CQ267*CQ184+CR267*CR184+CS267*CS184</f>
        <v>0</v>
      </c>
      <c r="CX184" s="2503">
        <f>E268*E184+F268*F184+G268*G184+H268*H184+I268*I184+J268*J184+K268*K184+L268*L184+M268*M184+N268*N184+O268*O184+P268*P184+Q268*Q184+R268*R184+S268*S184+T268*T184+U268*U184+V268*V184+W268*W184+X268*X184+Y268*Y184+Z268*Z184+AA268*AA184+AB268*AB184+AC268*AC184+AD268*AD184+AE268*AE184+AF268*AF184+AG268*AG184+AH268*AH184+AI268*AI184+AJ268*AJ184+AK268*AK184+AL268*AL184+AM268*AM184+AN268*AN184+AO268*AO184+AP268*AP184+AQ268*AQ184+AR268*AR184+AS268*AS184+AT268*AT184+AU268*AU184+AV268*AV184+AW268*AW184+AX268*AX184+AY268*AY184+AZ268*AZ184+BA268*BA184+BB268*BB184+BC268*BC184+BD268*BD184+BE268*BE184+BF268*BF184+BG268*BG184+BH268*BH184+BI268*BI184+BJ268*BJ184+BK268*BK184+BL268*BL184+BM268*BM184+BN268*BN184+BO268*BO184+BP268*BP184+BQ268*BQ184+BR268*BR184+BS268*BS184+BT268*BT184+BU268*BU184+BV268*BV184+BW268*BW184+BX268*BX184+BY268*BY184+BZ268*BZ184+CA268*CA184+CB268*CB184+CC268*CC184+CD268*CD184+CE268*CE184+CF268*CF184+CG268*CG184+CH268*CH184+CI268*CI184+CJ268*CJ184+CK268*CK184+CL268*CL184+CM268*CM184+CN268*CN184+CO268*CO184+CP268*CP184+CQ268*CQ184+CR268*CR184+CS268*CS184</f>
        <v>0</v>
      </c>
      <c r="CY184" s="2504">
        <f>E269*E184+F269*F184+G269*G184+H269*H184+I269*I184+J269*J184+K269*K184+L269*L184+M269*M184+N269*N184+O269*O184+P269*P184+Q269*Q184+R269*R184+S269*S184+T269*T184+U269*U184+V269*V184+W269*W184+X269*X184+Y269*Y184+Z269*Z184+AA269*AA184+AB269*AB184+AC269*AC184+AD269*AD184+AE269*AE184+AF269*AF184+AG269*AG184+AH269*AH184+AI269*AI184+AJ269*AJ184+AK269*AK184+AL269*AL184+AM269*AM184+AN269*AN184+AO269*AO184+AP269*AP184+AQ269*AQ184+AR269*AR184+AS269*AS184+AT269*AT184+AU269*AU184+AV269*AV184+AW269*AW184+AX269*AX184+AY269*AY184+AZ269*AZ184+BA269*BA184+BB269*BB184+BC269*BC184+BD269*BD184+BE269*BE184+BF269*BF184+BG269*BG184+BH269*BH184+BI269*BI184+BJ269*BJ184+BK269*BK184+BL269*BL184+BM269*BM184+BN269*BN184+BO269*BO184+BP269*BP184+BQ269*BQ184+BR269*BR184+BS269*BS184+BT269*BT184+BU269*BU184+BV269*BV184+BW269*BW184+BX269*BX184+BY269*BY184+BZ269*BZ184+CA269*CA184+CB269*CB184+CC269*CC184+CD269*CD184+CE269*CE184+CF269*CF184+CG269*CG184+CH269*CH184+CI269*CI184+CJ269*CJ184+CK269*CK184+CL269*CL184+CM269*CM184+CN269*CN184+CO269*CO184+CP269*CP184+CQ269*CQ184+CR269*CR184+CS269*CS184</f>
        <v>0</v>
      </c>
      <c r="CZ184" s="2504">
        <f>E270*E184+F270*F184+G270*G184+H270*H184+I270*I184+J270*J184+K270*K184+L270*L184+M270*M184+N270*N184+O270*O184+P270*P184+Q270*Q184+R270*R184+S270*S184+T270*T184+U270*U184+V270*V184+W270*W184+X270*X184+Y270*Y184+Z270*Z184+AA270*AA184+AB270*AB184+AC270*AC184+AD270*AD184+AE270*AE184+AF270*AF184+AG270*AG184+AH270*AH184+AI270*AI184+AJ270*AJ184+AK270*AK184+AL270*AL184+AM270*AM184+AN270*AN184+AO270*AO184+AP270*AP184+AQ270*AQ184+AR270*AR184+AS270*AS184+AT270*AT184+AU270*AU184+AV270*AV184+AW270*AW184+AX270*AX184+AY270*AY184+AZ270*AZ184+BA270*BA184+BB270*BB184+BC270*BC184+BD270*BD184+BE270*BE184+BF270*BF184+BG270*BG184+BH270*BH184+BI270*BI184+BJ270*BJ184+BK270*BK184+BL270*BL184+BM270*BM184+BN270*BN184+BO270*BO184+BP270*BP184+BQ270*BQ184+BR270*BR184+BS270*BS184+BT270*BT184+BU270*BU184+BV270*BV184+BW270*BW184+BX270*BX184+BY270*BY184+BZ270*BZ184+CA270*CA184+CB270*CB184+CC270*CC184+CD270*CD184+CE270*CE184+CF270*CF184+CG270*CG184+CH270*CH184+CI270*CI184+CJ270*CJ184+CK270*CK184+CL270*CL184+CM270*CM184+CN270*CN184+CO270*CO184+CP270*CP184+CQ270*CQ184+CR270*CR184+CS270*CS184</f>
        <v>0</v>
      </c>
      <c r="DA184" s="2504">
        <f>E271*E184+F271*F184+G271*G184+H271*H184+I271*I184+J271*J184+K271*K184+L271*L184+M271*M184+N271*N184+O271*O184+P271*P184+Q271*Q184+R271*R184+S271*S184+T271*T184+U271*U184+V271*V184+W271*W184+X271*X184+Y271*Y184+Z271*Z184+AA271*AA184+AB271*AB184+AC271*AC184+AD271*AD184+AE271*AE184+AF271*AF184+AG271*AG184+AH271*AH184+AI271*AI184+AJ271*AJ184+AK271*AK184+AL271*AL184+AM271*AM184+AN271*AN184+AO271*AO184+AP271*AP184+AQ271*AQ184+AR271*AR184+AS271*AS184+AT271*AT184+AU271*AU184+AV271*AV184+AW271*AW184+AX271*AX184+AY271*AY184+AZ271*AZ184+BA271*BA184+BB271*BB184+BC271*BC184+BD271*BD184+BE271*BE184+BF271*BF184+BG271*BG184+BH271*BH184+BI271*BI184+BJ271*BJ184+BK271*BK184+BL271*BL184+BM271*BM184+BN271*BN184+BO271*BO184+BP271*BP184+BQ271*BQ184+BR271*BR184+BS271*BS184+BT271*BT184+BU271*BU184+BV271*BV184+BW271*BW184+BX271*BX184+BY271*BY184+BZ271*BZ184+CA271*CA184+CB271*CB184+CC271*CC184+CD271*CD184+CE271*CE184+CF271*CF184+CG271*CG184+CH271*CH184+CI271*CI184+CJ271*CJ184+CK271*CK184+CL271*CL184+CM271*CM184+CN271*CN184+CO271*CO184+CP271*CP184+CQ271*CQ184+CR271*CR184+CS271*CS184</f>
        <v>0</v>
      </c>
      <c r="DB184" s="2504">
        <f>E272*E184+F272*F184+G272*G184+H272*H184+I272*I184+J272*J184+K272*K184+L272*L184+M272*M184+N272*N184+O272*O184+P272*P184+Q272*Q184+R272*R184+S272*S184+T272*T184+U272*U184+V272*V184+W272*W184+X272*X184+Y272*Y184+Z272*Z184+AA272*AA184+AB272*AB184+AC272*AC184+AD272*AD184+AE272*AE184+AF272*AF184+AG272*AG184+AH272*AH184+AI272*AI184+AJ272*AJ184+AK272*AK184+AL272*AL184+AM272*AM184+AN272*AN184+AO272*AO184+AP272*AP184+AQ272*AQ184+AR272*AR184+AS272*AS184+AT272*AT184+AU272*AU184+AV272*AV184+AW272*AW184+AX272*AX184+AY272*AY184+AZ272*AZ184+BA272*BA184+BB272*BB184+BC272*BC184+BD272*BD184+BE272*BE184+BF272*BF184+BG272*BG184+BH272*BH184+BI272*BI184+BJ272*BJ184+BK272*BK184+BL272*BL184+BM272*BM184+BN272*BN184+BO272*BO184+BP272*BP184+BQ272*BQ184+BR272*BR184+BS272*BS184+BT272*BT184+BU272*BU184+BV272*BV184+BW272*BW184+BX272*BX184+BY272*BY184+BZ272*BZ184+CA272*CA184+CB272*CB184+CC272*CC184+CD272*CD184+CE272*CE184+CF272*CF184+CG272*CG184+CH272*CH184+CI272*CI184+CJ272*CJ184+CK272*CK184+CL272*CL184+CM272*CM184+CN272*CN184+CO272*CO184+CP272*CP184+CQ272*CQ184+CR272*CR184+CS272*CS184</f>
        <v>0</v>
      </c>
      <c r="DC184" s="2504">
        <f>E273*E184+F273*F184+G273*G184+H273*H184+I273*I184+J273*J184+K273*K184+L273*L184+M273*M184+N273*N184+O273*O184+P273*P184+Q273*Q184+R273*R184+S273*S184+T273*T184+U273*U184+V273*V184+W273*W184+X273*X184+Y273*Y184+Z273*Z184+AA273*AA184+AB273*AB184+AC273*AC184+AD273*AD184+AE273*AE184+AF273*AF184+AG273*AG184+AH273*AH184+AI273*AI184+AJ273*AJ184+AK273*AK184+AL273*AL184+AM273*AM184+AN273*AN184+AO273*AO184+AP273*AP184+AQ273*AQ184+AR273*AR184+AS273*AS184+AT273*AT184+AU273*AU184+AV273*AV184+AW273*AW184+AX273*AX184+AY273*AY184+AZ273*AZ184+BA273*BA184+BB273*BB184+BC273*BC184+BD273*BD184+BE273*BE184+BF273*BF184+BG273*BG184+BH273*BH184+BI273*BI184+BJ273*BJ184+BK273*BK184+BL273*BL184+BM273*BM184+BN273*BN184+BO273*BO184+BP273*BP184+BQ273*BQ184+BR273*BR184+BS273*BS184+BT273*BT184+BU273*BU184+BV273*BV184+BW273*BW184+BX273*BX184+BY273*BY184+BZ273*BZ184+CA273*CA184+CB273*CB184+CC273*CC184+CD273*CD184+CE273*CE184+CF273*CF184+CG273*CG184+CH273*CH184+CI273*CI184+CJ273*CJ184+CK273*CK184+CL273*CL184+CM273*CM184+CN273*CN184+CO273*CO184+CP273*CP184+CQ273*CQ184+CR273*CR184+CS273*CS184</f>
        <v>0</v>
      </c>
      <c r="DD184" s="2504">
        <f>E274*E184+F274*F184+G274*G184+H274*H184+I274*I184+J274*J184+K274*K184+L274*L184+M274*M184+N274*N184+O274*O184+P274*P184+Q274*Q184+R274*R184+S274*S184+T274*T184+U274*U184+V274*V184+W274*W184+X274*X184+Y274*Y184+Z274*Z184+AA274*AA184+AB274*AB184+AC274*AC184+AD274*AD184+AE274*AE184+AF274*AF184+AG274*AG184+AH274*AH184+AI274*AI184+AJ274*AJ184+AK274*AK184+AL274*AL184+AM274*AM184+AN274*AN184+AO274*AO184+AP274*AP184+AQ274*AQ184+AR274*AR184+AS274*AS184+AT274*AT184+AU274*AU184+AV274*AV184+AW274*AW184+AX274*AX184+AY274*AY184+AZ274*AZ184+BA274*BA184+BB274*BB184+BC274*BC184+BD274*BD184+BE274*BE184+BF274*BF184+BG274*BG184+BH274*BH184+BI274*BI184+BJ274*BJ184+BK274*BK184+BL274*BL184+BM274*BM184+BN274*BN184+BO274*BO184+BP274*BP184+BQ274*BQ184+BR274*BR184+BS274*BS184+BT274*BT184+BU274*BU184+BV274*BV184+BW274*BW184+BX274*BX184+BY274*BY184+BZ274*BZ184+CA274*CA184+CB274*CB184+CC274*CC184+CD274*CD184+CE274*CE184+CF274*CF184+CG274*CG184+CH274*CH184+CI274*CI184+CJ274*CJ184+CK274*CK184+CL274*CL184+CM274*CM184+CN274*CN184+CO274*CO184+CP274*CP184+CQ274*CQ184+CR274*CR184+CS274*CS184</f>
        <v>0</v>
      </c>
      <c r="DE184" s="2504">
        <f>E275*E184+F275*F184+G275*G184+H275*H184+I275*I184+J275*J184+K275*K184+L275*L184+M275*M184+N275*N184+O275*O184+P275*P184+Q275*Q184+R275*R184+S275*S184+T275*T184+U275*U184+V275*V184+W275*W184+X275*X184+Y275*Y184+Z275*Z184+AA275*AA184+AB275*AB184+AC275*AC184+AD275*AD184+AE275*AE184+AF275*AF184+AG275*AG184+AH275*AH184+AI275*AI184+AJ275*AJ184+AK275*AK184+AL275*AL184+AM275*AM184+AN275*AN184+AO275*AO184+AP275*AP184+AQ275*AQ184+AR275*AR184+AS275*AS184+AT275*AT184+AU275*AU184+AV275*AV184+AW275*AW184+AX275*AX184+AY275*AY184+AZ275*AZ184+BA275*BA184+BB275*BB184+BC275*BC184+BD275*BD184+BE275*BE184+BF275*BF184+BG275*BG184+BH275*BH184+BI275*BI184+BJ275*BJ184+BK275*BK184+BL275*BL184+BM275*BM184+BN275*BN184+BO275*BO184+BP275*BP184+BQ275*BQ184+BR275*BR184+BS275*BS184+BT275*BT184+BU275*BU184+BV275*BV184+BW275*BW184+BX275*BX184+BY275*BY184+BZ275*BZ184+CA275*CA184+CB275*CB184+CC275*CC184+CD275*CD184+CE275*CE184+CF275*CF184+CG275*CG184+CH275*CH184+CI275*CI184+CJ275*CJ184+CK275*CK184+CL275*CL184+CM275*CM184+CN275*CN184+CO275*CO184+CP275*CP184+CQ275*CQ184+CR275*CR184+CS275*CS184</f>
        <v>0</v>
      </c>
      <c r="DF184" s="2504">
        <f>E276*E184+F276*F184+G276*G184+H276*H184+I276*I184+J276*J184+K276*K184+L276*L184+M276*M184+N276*N184+O276*O184+P276*P184+Q276*Q184+R276*R184+S276*S184+T276*T184+U276*U184+V276*V184+W276*W184+X276*X184+Y276*Y184+Z276*Z184+AA276*AA184+AB276*AB184+AC276*AC184+AD276*AD184+AE276*AE184+AF276*AF184+AG276*AG184+AH276*AH184+AI276*AI184+AJ276*AJ184+AK276*AK184+AL276*AL184+AM276*AM184+AN276*AN184+AO276*AO184+AP276*AP184+AQ276*AQ184+AR276*AR184+AS276*AS184+AT276*AT184+AU276*AU184+AV276*AV184+AW276*AW184+AX276*AX184+AY276*AY184+AZ276*AZ184+BA276*BA184+BB276*BB184+BC276*BC184+BD276*BD184+BE276*BE184+BF276*BF184+BG276*BG184+BH276*BH184+BI276*BI184+BJ276*BJ184+BK276*BK184+BL276*BL184+BM276*BM184+BN276*BN184+BO276*BO184+BP276*BP184+BQ276*BQ184+BR276*BR184+BS276*BS184+BT276*BT184+BU276*BU184+BV276*BV184+BW276*BW184+BX276*BX184+BY276*BY184+BZ276*BZ184+CA276*CA184+CB276*CB184+CC276*CC184+CD276*CD184+CE276*CE184+CF276*CF184+CG276*CG184+CH276*CH184+CI276*CI184+CJ276*CJ184+CK276*CK184+CL276*CL184+CM276*CM184+CN276*CN184+CO276*CO184+CP276*CP184+CQ276*CQ184+CR276*CR184+CS276*CS184</f>
        <v>0</v>
      </c>
    </row>
    <row r="185" spans="2:110" x14ac:dyDescent="0.25">
      <c r="B185" s="1571">
        <v>43</v>
      </c>
      <c r="C185" s="531" t="s">
        <v>4576</v>
      </c>
      <c r="D185" s="532" t="s">
        <v>3858</v>
      </c>
      <c r="E185" s="533">
        <f>0</f>
        <v>0</v>
      </c>
      <c r="F185" s="500">
        <f>0</f>
        <v>0</v>
      </c>
      <c r="G185" s="500">
        <f>0</f>
        <v>0</v>
      </c>
      <c r="H185" s="500">
        <f>0</f>
        <v>0</v>
      </c>
      <c r="I185" s="500">
        <f>0</f>
        <v>0</v>
      </c>
      <c r="J185" s="500">
        <f>0</f>
        <v>0</v>
      </c>
      <c r="K185" s="500">
        <f>0</f>
        <v>0</v>
      </c>
      <c r="L185" s="500">
        <f>0</f>
        <v>0</v>
      </c>
      <c r="M185" s="500">
        <f>0</f>
        <v>0</v>
      </c>
      <c r="N185" s="533">
        <f>0</f>
        <v>0</v>
      </c>
      <c r="O185" s="533">
        <f>0</f>
        <v>0</v>
      </c>
      <c r="P185" s="500">
        <f>0</f>
        <v>0</v>
      </c>
      <c r="Q185" s="500">
        <f>0</f>
        <v>0</v>
      </c>
      <c r="R185" s="500">
        <f>0</f>
        <v>0</v>
      </c>
      <c r="S185" s="500">
        <f>0</f>
        <v>0</v>
      </c>
      <c r="T185" s="500">
        <f>0</f>
        <v>0</v>
      </c>
      <c r="U185" s="500">
        <f>0</f>
        <v>0</v>
      </c>
      <c r="V185" s="500">
        <f>0</f>
        <v>0</v>
      </c>
      <c r="W185" s="500">
        <f>0</f>
        <v>0</v>
      </c>
      <c r="X185" s="500">
        <f>0</f>
        <v>0</v>
      </c>
      <c r="Y185" s="500">
        <f>0</f>
        <v>0</v>
      </c>
      <c r="Z185" s="500">
        <f>0</f>
        <v>0</v>
      </c>
      <c r="AA185" s="500">
        <f>0</f>
        <v>0</v>
      </c>
      <c r="AB185" s="500">
        <f>0</f>
        <v>0</v>
      </c>
      <c r="AC185" s="533">
        <f>0</f>
        <v>0</v>
      </c>
      <c r="AD185" s="533">
        <f>1</f>
        <v>1</v>
      </c>
      <c r="AE185" s="533">
        <f>-1</f>
        <v>-1</v>
      </c>
      <c r="AF185" s="533">
        <f>0</f>
        <v>0</v>
      </c>
      <c r="AG185" s="533">
        <f>0</f>
        <v>0</v>
      </c>
      <c r="AH185" s="500">
        <f>0</f>
        <v>0</v>
      </c>
      <c r="AI185" s="500">
        <f>0</f>
        <v>0</v>
      </c>
      <c r="AJ185" s="500">
        <f>0</f>
        <v>0</v>
      </c>
      <c r="AK185" s="500">
        <f>0</f>
        <v>0</v>
      </c>
      <c r="AL185" s="500">
        <f>0</f>
        <v>0</v>
      </c>
      <c r="AM185" s="533">
        <f>0</f>
        <v>0</v>
      </c>
      <c r="AN185" s="533">
        <f>0</f>
        <v>0</v>
      </c>
      <c r="AO185" s="500">
        <f>0</f>
        <v>0</v>
      </c>
      <c r="AP185" s="500">
        <f>0</f>
        <v>0</v>
      </c>
      <c r="AQ185" s="500">
        <f>0</f>
        <v>0</v>
      </c>
      <c r="AR185" s="500">
        <f>0</f>
        <v>0</v>
      </c>
      <c r="AS185" s="533">
        <f>-E_EQNO_NO2</f>
        <v>-0.57113381453161693</v>
      </c>
      <c r="AT185" s="500">
        <f>0</f>
        <v>0</v>
      </c>
      <c r="AU185" s="500">
        <f>0</f>
        <v>0</v>
      </c>
      <c r="AV185" s="533">
        <f>0</f>
        <v>0</v>
      </c>
      <c r="AW185" s="533">
        <f>0</f>
        <v>0</v>
      </c>
      <c r="AX185" s="533">
        <f>0</f>
        <v>0</v>
      </c>
      <c r="AY185" s="533">
        <f>0</f>
        <v>0</v>
      </c>
      <c r="AZ185" s="533">
        <f>0</f>
        <v>0</v>
      </c>
      <c r="BA185" s="533">
        <f>0</f>
        <v>0</v>
      </c>
      <c r="BB185" s="520">
        <f>0</f>
        <v>0</v>
      </c>
      <c r="BC185" s="500">
        <f>0</f>
        <v>0</v>
      </c>
      <c r="BD185" s="500">
        <f>0</f>
        <v>0</v>
      </c>
      <c r="BE185" s="500">
        <f>0</f>
        <v>0</v>
      </c>
      <c r="BF185" s="500">
        <f>0</f>
        <v>0</v>
      </c>
      <c r="BG185" s="500">
        <f>0</f>
        <v>0</v>
      </c>
      <c r="BH185" s="500">
        <f>0</f>
        <v>0</v>
      </c>
      <c r="BI185" s="500">
        <f>0</f>
        <v>0</v>
      </c>
      <c r="BJ185" s="500">
        <f>0</f>
        <v>0</v>
      </c>
      <c r="BK185" s="500">
        <f>0</f>
        <v>0</v>
      </c>
      <c r="BL185" s="500">
        <f>0</f>
        <v>0</v>
      </c>
      <c r="BM185" s="500">
        <f>0</f>
        <v>0</v>
      </c>
      <c r="BN185" s="500">
        <f>0</f>
        <v>0</v>
      </c>
      <c r="BO185" s="500">
        <f>0</f>
        <v>0</v>
      </c>
      <c r="BP185" s="500">
        <f>0</f>
        <v>0</v>
      </c>
      <c r="BQ185" s="500">
        <f>0</f>
        <v>0</v>
      </c>
      <c r="BR185" s="500">
        <f>0</f>
        <v>0</v>
      </c>
      <c r="BS185" s="500">
        <f>0</f>
        <v>0</v>
      </c>
      <c r="BT185" s="500">
        <f>0</f>
        <v>0</v>
      </c>
      <c r="BU185" s="500">
        <f>0</f>
        <v>0</v>
      </c>
      <c r="BV185" s="500">
        <f>0</f>
        <v>0</v>
      </c>
      <c r="BW185" s="2357">
        <f>0</f>
        <v>0</v>
      </c>
      <c r="BX185" s="2357">
        <f>0</f>
        <v>0</v>
      </c>
      <c r="BY185" s="2357">
        <f>0</f>
        <v>0</v>
      </c>
      <c r="BZ185" s="2357">
        <f>0</f>
        <v>0</v>
      </c>
      <c r="CA185" s="500">
        <f>0</f>
        <v>0</v>
      </c>
      <c r="CB185" s="500">
        <f>0</f>
        <v>0</v>
      </c>
      <c r="CC185" s="500">
        <f>0</f>
        <v>0</v>
      </c>
      <c r="CD185" s="500">
        <f>0</f>
        <v>0</v>
      </c>
      <c r="CE185" s="500">
        <f>0</f>
        <v>0</v>
      </c>
      <c r="CF185" s="500">
        <f>0</f>
        <v>0</v>
      </c>
      <c r="CG185" s="500">
        <f>0</f>
        <v>0</v>
      </c>
      <c r="CH185" s="500">
        <f>0</f>
        <v>0</v>
      </c>
      <c r="CI185" s="500">
        <f>0</f>
        <v>0</v>
      </c>
      <c r="CJ185" s="500">
        <f>0</f>
        <v>0</v>
      </c>
      <c r="CK185" s="500">
        <f>0</f>
        <v>0</v>
      </c>
      <c r="CL185" s="500">
        <f>0</f>
        <v>0</v>
      </c>
      <c r="CM185" s="500">
        <f>0</f>
        <v>0</v>
      </c>
      <c r="CN185" s="500">
        <f>0</f>
        <v>0</v>
      </c>
      <c r="CO185" s="500">
        <f>0</f>
        <v>0</v>
      </c>
      <c r="CP185" s="500">
        <f>0</f>
        <v>0</v>
      </c>
      <c r="CQ185" s="500">
        <f>0</f>
        <v>0</v>
      </c>
      <c r="CR185" s="500">
        <f>0</f>
        <v>0</v>
      </c>
      <c r="CS185" s="500">
        <f>0</f>
        <v>0</v>
      </c>
      <c r="CT185" s="520">
        <f>µ_AOB_T/Y_AOB*X_AOB*M_satSO2_KO2_NH2OH_AOB*M_satSNO_KNO_NO2_AOB</f>
        <v>178.82140438022125</v>
      </c>
      <c r="CV185" s="2502">
        <f>E266*E185+F266*F185+G266*G185+H266*H185+I266*I185+J266*J185+K266*K185+L266*L185+M266*M185+N266*N185+O266*O185+P266*P185+Q266*Q185+R266*R185+S266*S185+T266*T185+U266*U185+V266*V185+W266*W185+X266*X185+Y266*Y185+Z266*Z185+AA266*AA185+AB266*AB185+AC266*AC185+AD266*AD185+AE266*AE185+AF266*AF185+AG266*AG185+AH266*AH185+AI266*AI185+AJ266*AJ185+AK266*AK185+AL266*AL185+AM266*AM185+AN266*AN185+AO266*AO185+AP266*AP185+AQ266*AQ185+AR266*AR185+AS266*AS185+AT266*AT185+AU266*AU185+AV266*AV185+AW266*AW185+AX266*AX185+AY266*AY185+AZ266*AZ185+BA266*BA185+BB266*BB185+BC266*BC185+BD266*BD185+BE266*BE185+BF266*BF185+BG266*BG185+BH266*BH185+BI266*BI185+BJ266*BJ185+BK266*BK185+BL266*BL185+BM266*BM185+BN266*BN185+BO266*BO185+BP266*BP185+BQ266*BQ185+BR266*BR185+BS266*BS185+BT266*BT185+BU266*BU185+BV266*BV185+BW266*BW185+BX266*BX185+BY266*BY185+BZ266*BZ185+CA266*CA185+CB266*CB185+CC266*CC185+CD266*CD185+CE266*CE185+CF266*CF185+CG266*CG185+CH266*CH185+CI266*CI185+CJ266*CJ185+CK266*CK185+CL266*CL185+CM266*CM185+CN266*CN185+CO266*CO185+CP266*CP185+CQ266*CQ185+CR266*CR185+CS266*CS185</f>
        <v>4.4408920985006262E-16</v>
      </c>
      <c r="CW185" s="2502">
        <f>E267*E185+F267*F185+G267*G185+H267*H185+I267*I185+J267*J185+K267*K185+L267*L185+M267*M185+N267*N185+O267*O185+P267*P185+Q267*Q185+R267*R185+S267*S185+T267*T185+U267*U185+V267*V185+W267*W185+X267*X185+Y267*Y185+Z267*Z185+AA267*AA185+AB267*AB185+AC267*AC185+AD267*AD185+AE267*AE185+AF267*AF185+AG267*AG185+AH267*AH185+AI267*AI185+AJ267*AJ185+AK267*AK185+AL267*AL185+AM267*AM185+AN267*AN185+AO267*AO185+AP267*AP185+AQ267*AQ185+AR267*AR185+AS267*AS185+AT267*AT185+AU267*AU185+AV267*AV185+AW267*AW185+AX267*AX185+AY267*AY185+AZ267*AZ185+BA267*BA185+BB267*BB185+BC267*BC185+BD267*BD185+BE267*BE185+BF267*BF185+BG267*BG185+BH267*BH185+BI267*BI185+BJ267*BJ185+BK267*BK185+BL267*BL185+BM267*BM185+BN267*BN185+BO267*BO185+BP267*BP185+BQ267*BQ185+BR267*BR185+BS267*BS185+BT267*BT185+BU267*BU185+BV267*BV185+BW267*BW185+BX267*BX185+BY267*BY185+BZ267*BZ185+CA267*CA185+CB267*CB185+CC267*CC185+CD267*CD185+CE267*CE185+CF267*CF185+CG267*CG185+CH267*CH185+CI267*CI185+CJ267*CJ185+CK267*CK185+CL267*CL185+CM267*CM185+CN267*CN185+CO267*CO185+CP267*CP185+CQ267*CQ185+CR267*CR185+CS267*CS185</f>
        <v>0</v>
      </c>
      <c r="CX185" s="2503">
        <f>E268*E185+F268*F185+G268*G185+H268*H185+I268*I185+J268*J185+K268*K185+L268*L185+M268*M185+N268*N185+O268*O185+P268*P185+Q268*Q185+R268*R185+S268*S185+T268*T185+U268*U185+V268*V185+W268*W185+X268*X185+Y268*Y185+Z268*Z185+AA268*AA185+AB268*AB185+AC268*AC185+AD268*AD185+AE268*AE185+AF268*AF185+AG268*AG185+AH268*AH185+AI268*AI185+AJ268*AJ185+AK268*AK185+AL268*AL185+AM268*AM185+AN268*AN185+AO268*AO185+AP268*AP185+AQ268*AQ185+AR268*AR185+AS268*AS185+AT268*AT185+AU268*AU185+AV268*AV185+AW268*AW185+AX268*AX185+AY268*AY185+AZ268*AZ185+BA268*BA185+BB268*BB185+BC268*BC185+BD268*BD185+BE268*BE185+BF268*BF185+BG268*BG185+BH268*BH185+BI268*BI185+BJ268*BJ185+BK268*BK185+BL268*BL185+BM268*BM185+BN268*BN185+BO268*BO185+BP268*BP185+BQ268*BQ185+BR268*BR185+BS268*BS185+BT268*BT185+BU268*BU185+BV268*BV185+BW268*BW185+BX268*BX185+BY268*BY185+BZ268*BZ185+CA268*CA185+CB268*CB185+CC268*CC185+CD268*CD185+CE268*CE185+CF268*CF185+CG268*CG185+CH268*CH185+CI268*CI185+CJ268*CJ185+CK268*CK185+CL268*CL185+CM268*CM185+CN268*CN185+CO268*CO185+CP268*CP185+CQ268*CQ185+CR268*CR185+CS268*CS185</f>
        <v>0</v>
      </c>
      <c r="CY185" s="2504">
        <f>E269*E185+F269*F185+G269*G185+H269*H185+I269*I185+J269*J185+K269*K185+L269*L185+M269*M185+N269*N185+O269*O185+P269*P185+Q269*Q185+R269*R185+S269*S185+T269*T185+U269*U185+V269*V185+W269*W185+X269*X185+Y269*Y185+Z269*Z185+AA269*AA185+AB269*AB185+AC269*AC185+AD269*AD185+AE269*AE185+AF269*AF185+AG269*AG185+AH269*AH185+AI269*AI185+AJ269*AJ185+AK269*AK185+AL269*AL185+AM269*AM185+AN269*AN185+AO269*AO185+AP269*AP185+AQ269*AQ185+AR269*AR185+AS269*AS185+AT269*AT185+AU269*AU185+AV269*AV185+AW269*AW185+AX269*AX185+AY269*AY185+AZ269*AZ185+BA269*BA185+BB269*BB185+BC269*BC185+BD269*BD185+BE269*BE185+BF269*BF185+BG269*BG185+BH269*BH185+BI269*BI185+BJ269*BJ185+BK269*BK185+BL269*BL185+BM269*BM185+BN269*BN185+BO269*BO185+BP269*BP185+BQ269*BQ185+BR269*BR185+BS269*BS185+BT269*BT185+BU269*BU185+BV269*BV185+BW269*BW185+BX269*BX185+BY269*BY185+BZ269*BZ185+CA269*CA185+CB269*CB185+CC269*CC185+CD269*CD185+CE269*CE185+CF269*CF185+CG269*CG185+CH269*CH185+CI269*CI185+CJ269*CJ185+CK269*CK185+CL269*CL185+CM269*CM185+CN269*CN185+CO269*CO185+CP269*CP185+CQ269*CQ185+CR269*CR185+CS269*CS185</f>
        <v>0</v>
      </c>
      <c r="CZ185" s="2504">
        <f>E270*E185+F270*F185+G270*G185+H270*H185+I270*I185+J270*J185+K270*K185+L270*L185+M270*M185+N270*N185+O270*O185+P270*P185+Q270*Q185+R270*R185+S270*S185+T270*T185+U270*U185+V270*V185+W270*W185+X270*X185+Y270*Y185+Z270*Z185+AA270*AA185+AB270*AB185+AC270*AC185+AD270*AD185+AE270*AE185+AF270*AF185+AG270*AG185+AH270*AH185+AI270*AI185+AJ270*AJ185+AK270*AK185+AL270*AL185+AM270*AM185+AN270*AN185+AO270*AO185+AP270*AP185+AQ270*AQ185+AR270*AR185+AS270*AS185+AT270*AT185+AU270*AU185+AV270*AV185+AW270*AW185+AX270*AX185+AY270*AY185+AZ270*AZ185+BA270*BA185+BB270*BB185+BC270*BC185+BD270*BD185+BE270*BE185+BF270*BF185+BG270*BG185+BH270*BH185+BI270*BI185+BJ270*BJ185+BK270*BK185+BL270*BL185+BM270*BM185+BN270*BN185+BO270*BO185+BP270*BP185+BQ270*BQ185+BR270*BR185+BS270*BS185+BT270*BT185+BU270*BU185+BV270*BV185+BW270*BW185+BX270*BX185+BY270*BY185+BZ270*BZ185+CA270*CA185+CB270*CB185+CC270*CC185+CD270*CD185+CE270*CE185+CF270*CF185+CG270*CG185+CH270*CH185+CI270*CI185+CJ270*CJ185+CK270*CK185+CL270*CL185+CM270*CM185+CN270*CN185+CO270*CO185+CP270*CP185+CQ270*CQ185+CR270*CR185+CS270*CS185</f>
        <v>0</v>
      </c>
      <c r="DA185" s="2504">
        <f>E271*E185+F271*F185+G271*G185+H271*H185+I271*I185+J271*J185+K271*K185+L271*L185+M271*M185+N271*N185+O271*O185+P271*P185+Q271*Q185+R271*R185+S271*S185+T271*T185+U271*U185+V271*V185+W271*W185+X271*X185+Y271*Y185+Z271*Z185+AA271*AA185+AB271*AB185+AC271*AC185+AD271*AD185+AE271*AE185+AF271*AF185+AG271*AG185+AH271*AH185+AI271*AI185+AJ271*AJ185+AK271*AK185+AL271*AL185+AM271*AM185+AN271*AN185+AO271*AO185+AP271*AP185+AQ271*AQ185+AR271*AR185+AS271*AS185+AT271*AT185+AU271*AU185+AV271*AV185+AW271*AW185+AX271*AX185+AY271*AY185+AZ271*AZ185+BA271*BA185+BB271*BB185+BC271*BC185+BD271*BD185+BE271*BE185+BF271*BF185+BG271*BG185+BH271*BH185+BI271*BI185+BJ271*BJ185+BK271*BK185+BL271*BL185+BM271*BM185+BN271*BN185+BO271*BO185+BP271*BP185+BQ271*BQ185+BR271*BR185+BS271*BS185+BT271*BT185+BU271*BU185+BV271*BV185+BW271*BW185+BX271*BX185+BY271*BY185+BZ271*BZ185+CA271*CA185+CB271*CB185+CC271*CC185+CD271*CD185+CE271*CE185+CF271*CF185+CG271*CG185+CH271*CH185+CI271*CI185+CJ271*CJ185+CK271*CK185+CL271*CL185+CM271*CM185+CN271*CN185+CO271*CO185+CP271*CP185+CQ271*CQ185+CR271*CR185+CS271*CS185</f>
        <v>0</v>
      </c>
      <c r="DB185" s="2504">
        <f>E272*E185+F272*F185+G272*G185+H272*H185+I272*I185+J272*J185+K272*K185+L272*L185+M272*M185+N272*N185+O272*O185+P272*P185+Q272*Q185+R272*R185+S272*S185+T272*T185+U272*U185+V272*V185+W272*W185+X272*X185+Y272*Y185+Z272*Z185+AA272*AA185+AB272*AB185+AC272*AC185+AD272*AD185+AE272*AE185+AF272*AF185+AG272*AG185+AH272*AH185+AI272*AI185+AJ272*AJ185+AK272*AK185+AL272*AL185+AM272*AM185+AN272*AN185+AO272*AO185+AP272*AP185+AQ272*AQ185+AR272*AR185+AS272*AS185+AT272*AT185+AU272*AU185+AV272*AV185+AW272*AW185+AX272*AX185+AY272*AY185+AZ272*AZ185+BA272*BA185+BB272*BB185+BC272*BC185+BD272*BD185+BE272*BE185+BF272*BF185+BG272*BG185+BH272*BH185+BI272*BI185+BJ272*BJ185+BK272*BK185+BL272*BL185+BM272*BM185+BN272*BN185+BO272*BO185+BP272*BP185+BQ272*BQ185+BR272*BR185+BS272*BS185+BT272*BT185+BU272*BU185+BV272*BV185+BW272*BW185+BX272*BX185+BY272*BY185+BZ272*BZ185+CA272*CA185+CB272*CB185+CC272*CC185+CD272*CD185+CE272*CE185+CF272*CF185+CG272*CG185+CH272*CH185+CI272*CI185+CJ272*CJ185+CK272*CK185+CL272*CL185+CM272*CM185+CN272*CN185+CO272*CO185+CP272*CP185+CQ272*CQ185+CR272*CR185+CS272*CS185</f>
        <v>0</v>
      </c>
      <c r="DC185" s="2504">
        <f>E273*E185+F273*F185+G273*G185+H273*H185+I273*I185+J273*J185+K273*K185+L273*L185+M273*M185+N273*N185+O273*O185+P273*P185+Q273*Q185+R273*R185+S273*S185+T273*T185+U273*U185+V273*V185+W273*W185+X273*X185+Y273*Y185+Z273*Z185+AA273*AA185+AB273*AB185+AC273*AC185+AD273*AD185+AE273*AE185+AF273*AF185+AG273*AG185+AH273*AH185+AI273*AI185+AJ273*AJ185+AK273*AK185+AL273*AL185+AM273*AM185+AN273*AN185+AO273*AO185+AP273*AP185+AQ273*AQ185+AR273*AR185+AS273*AS185+AT273*AT185+AU273*AU185+AV273*AV185+AW273*AW185+AX273*AX185+AY273*AY185+AZ273*AZ185+BA273*BA185+BB273*BB185+BC273*BC185+BD273*BD185+BE273*BE185+BF273*BF185+BG273*BG185+BH273*BH185+BI273*BI185+BJ273*BJ185+BK273*BK185+BL273*BL185+BM273*BM185+BN273*BN185+BO273*BO185+BP273*BP185+BQ273*BQ185+BR273*BR185+BS273*BS185+BT273*BT185+BU273*BU185+BV273*BV185+BW273*BW185+BX273*BX185+BY273*BY185+BZ273*BZ185+CA273*CA185+CB273*CB185+CC273*CC185+CD273*CD185+CE273*CE185+CF273*CF185+CG273*CG185+CH273*CH185+CI273*CI185+CJ273*CJ185+CK273*CK185+CL273*CL185+CM273*CM185+CN273*CN185+CO273*CO185+CP273*CP185+CQ273*CQ185+CR273*CR185+CS273*CS185</f>
        <v>0</v>
      </c>
      <c r="DD185" s="2504">
        <f>E274*E185+F274*F185+G274*G185+H274*H185+I274*I185+J274*J185+K274*K185+L274*L185+M274*M185+N274*N185+O274*O185+P274*P185+Q274*Q185+R274*R185+S274*S185+T274*T185+U274*U185+V274*V185+W274*W185+X274*X185+Y274*Y185+Z274*Z185+AA274*AA185+AB274*AB185+AC274*AC185+AD274*AD185+AE274*AE185+AF274*AF185+AG274*AG185+AH274*AH185+AI274*AI185+AJ274*AJ185+AK274*AK185+AL274*AL185+AM274*AM185+AN274*AN185+AO274*AO185+AP274*AP185+AQ274*AQ185+AR274*AR185+AS274*AS185+AT274*AT185+AU274*AU185+AV274*AV185+AW274*AW185+AX274*AX185+AY274*AY185+AZ274*AZ185+BA274*BA185+BB274*BB185+BC274*BC185+BD274*BD185+BE274*BE185+BF274*BF185+BG274*BG185+BH274*BH185+BI274*BI185+BJ274*BJ185+BK274*BK185+BL274*BL185+BM274*BM185+BN274*BN185+BO274*BO185+BP274*BP185+BQ274*BQ185+BR274*BR185+BS274*BS185+BT274*BT185+BU274*BU185+BV274*BV185+BW274*BW185+BX274*BX185+BY274*BY185+BZ274*BZ185+CA274*CA185+CB274*CB185+CC274*CC185+CD274*CD185+CE274*CE185+CF274*CF185+CG274*CG185+CH274*CH185+CI274*CI185+CJ274*CJ185+CK274*CK185+CL274*CL185+CM274*CM185+CN274*CN185+CO274*CO185+CP274*CP185+CQ274*CQ185+CR274*CR185+CS274*CS185</f>
        <v>0</v>
      </c>
      <c r="DE185" s="2504">
        <f>E275*E185+F275*F185+G275*G185+H275*H185+I275*I185+J275*J185+K275*K185+L275*L185+M275*M185+N275*N185+O275*O185+P275*P185+Q275*Q185+R275*R185+S275*S185+T275*T185+U275*U185+V275*V185+W275*W185+X275*X185+Y275*Y185+Z275*Z185+AA275*AA185+AB275*AB185+AC275*AC185+AD275*AD185+AE275*AE185+AF275*AF185+AG275*AG185+AH275*AH185+AI275*AI185+AJ275*AJ185+AK275*AK185+AL275*AL185+AM275*AM185+AN275*AN185+AO275*AO185+AP275*AP185+AQ275*AQ185+AR275*AR185+AS275*AS185+AT275*AT185+AU275*AU185+AV275*AV185+AW275*AW185+AX275*AX185+AY275*AY185+AZ275*AZ185+BA275*BA185+BB275*BB185+BC275*BC185+BD275*BD185+BE275*BE185+BF275*BF185+BG275*BG185+BH275*BH185+BI275*BI185+BJ275*BJ185+BK275*BK185+BL275*BL185+BM275*BM185+BN275*BN185+BO275*BO185+BP275*BP185+BQ275*BQ185+BR275*BR185+BS275*BS185+BT275*BT185+BU275*BU185+BV275*BV185+BW275*BW185+BX275*BX185+BY275*BY185+BZ275*BZ185+CA275*CA185+CB275*CB185+CC275*CC185+CD275*CD185+CE275*CE185+CF275*CF185+CG275*CG185+CH275*CH185+CI275*CI185+CJ275*CJ185+CK275*CK185+CL275*CL185+CM275*CM185+CN275*CN185+CO275*CO185+CP275*CP185+CQ275*CQ185+CR275*CR185+CS275*CS185</f>
        <v>0</v>
      </c>
      <c r="DF185" s="2504">
        <f>E276*E185+F276*F185+G276*G185+H276*H185+I276*I185+J276*J185+K276*K185+L276*L185+M276*M185+N276*N185+O276*O185+P276*P185+Q276*Q185+R276*R185+S276*S185+T276*T185+U276*U185+V276*V185+W276*W185+X276*X185+Y276*Y185+Z276*Z185+AA276*AA185+AB276*AB185+AC276*AC185+AD276*AD185+AE276*AE185+AF276*AF185+AG276*AG185+AH276*AH185+AI276*AI185+AJ276*AJ185+AK276*AK185+AL276*AL185+AM276*AM185+AN276*AN185+AO276*AO185+AP276*AP185+AQ276*AQ185+AR276*AR185+AS276*AS185+AT276*AT185+AU276*AU185+AV276*AV185+AW276*AW185+AX276*AX185+AY276*AY185+AZ276*AZ185+BA276*BA185+BB276*BB185+BC276*BC185+BD276*BD185+BE276*BE185+BF276*BF185+BG276*BG185+BH276*BH185+BI276*BI185+BJ276*BJ185+BK276*BK185+BL276*BL185+BM276*BM185+BN276*BN185+BO276*BO185+BP276*BP185+BQ276*BQ185+BR276*BR185+BS276*BS185+BT276*BT185+BU276*BU185+BV276*BV185+BW276*BW185+BX276*BX185+BY276*BY185+BZ276*BZ185+CA276*CA185+CB276*CB185+CC276*CC185+CD276*CD185+CE276*CE185+CF276*CF185+CG276*CG185+CH276*CH185+CI276*CI185+CJ276*CJ185+CK276*CK185+CL276*CL185+CM276*CM185+CN276*CN185+CO276*CO185+CP276*CP185+CQ276*CQ185+CR276*CR185+CS276*CS185</f>
        <v>0</v>
      </c>
    </row>
    <row r="186" spans="2:110" x14ac:dyDescent="0.25">
      <c r="B186" s="1571">
        <v>44</v>
      </c>
      <c r="C186" s="531" t="s">
        <v>4577</v>
      </c>
      <c r="D186" s="532" t="s">
        <v>3924</v>
      </c>
      <c r="E186" s="533">
        <f>0</f>
        <v>0</v>
      </c>
      <c r="F186" s="500">
        <f>0</f>
        <v>0</v>
      </c>
      <c r="G186" s="500">
        <f>0</f>
        <v>0</v>
      </c>
      <c r="H186" s="500">
        <f>0</f>
        <v>0</v>
      </c>
      <c r="I186" s="500">
        <f>0</f>
        <v>0</v>
      </c>
      <c r="J186" s="500">
        <f>0</f>
        <v>0</v>
      </c>
      <c r="K186" s="500">
        <f>0</f>
        <v>0</v>
      </c>
      <c r="L186" s="500">
        <f>0</f>
        <v>0</v>
      </c>
      <c r="M186" s="500">
        <f>0</f>
        <v>0</v>
      </c>
      <c r="N186" s="533">
        <f>0</f>
        <v>0</v>
      </c>
      <c r="O186" s="533">
        <f>0</f>
        <v>0</v>
      </c>
      <c r="P186" s="500">
        <f>0</f>
        <v>0</v>
      </c>
      <c r="Q186" s="500">
        <f>0</f>
        <v>0</v>
      </c>
      <c r="R186" s="500">
        <f>0</f>
        <v>0</v>
      </c>
      <c r="S186" s="500">
        <f>0</f>
        <v>0</v>
      </c>
      <c r="T186" s="500">
        <f>0</f>
        <v>0</v>
      </c>
      <c r="U186" s="500">
        <f>0</f>
        <v>0</v>
      </c>
      <c r="V186" s="500">
        <f>0</f>
        <v>0</v>
      </c>
      <c r="W186" s="500">
        <f>0</f>
        <v>0</v>
      </c>
      <c r="X186" s="500">
        <f>0</f>
        <v>0</v>
      </c>
      <c r="Y186" s="500">
        <f>0</f>
        <v>0</v>
      </c>
      <c r="Z186" s="500">
        <f>0</f>
        <v>0</v>
      </c>
      <c r="AA186" s="500">
        <f>0</f>
        <v>0</v>
      </c>
      <c r="AB186" s="500">
        <f>-1</f>
        <v>-1</v>
      </c>
      <c r="AC186" s="533">
        <f>0</f>
        <v>0</v>
      </c>
      <c r="AD186" s="533">
        <f>1</f>
        <v>1</v>
      </c>
      <c r="AE186" s="533">
        <f>-4</f>
        <v>-4</v>
      </c>
      <c r="AF186" s="533">
        <f>0</f>
        <v>0</v>
      </c>
      <c r="AG186" s="533">
        <f>4</f>
        <v>4</v>
      </c>
      <c r="AH186" s="500">
        <f>0</f>
        <v>0</v>
      </c>
      <c r="AI186" s="500">
        <f>0</f>
        <v>0</v>
      </c>
      <c r="AJ186" s="500">
        <f>0</f>
        <v>0</v>
      </c>
      <c r="AK186" s="500">
        <f>0</f>
        <v>0</v>
      </c>
      <c r="AL186" s="500">
        <f>0</f>
        <v>0</v>
      </c>
      <c r="AM186" s="533">
        <f>0</f>
        <v>0</v>
      </c>
      <c r="AN186" s="533">
        <f>0</f>
        <v>0</v>
      </c>
      <c r="AO186" s="500">
        <f>0</f>
        <v>0</v>
      </c>
      <c r="AP186" s="500">
        <f>0</f>
        <v>0</v>
      </c>
      <c r="AQ186" s="500">
        <f>0</f>
        <v>0</v>
      </c>
      <c r="AR186" s="500">
        <f>0</f>
        <v>0</v>
      </c>
      <c r="AS186" s="533">
        <f>0</f>
        <v>0</v>
      </c>
      <c r="AT186" s="500">
        <f>0</f>
        <v>0</v>
      </c>
      <c r="AU186" s="500">
        <f>0</f>
        <v>0</v>
      </c>
      <c r="AV186" s="533">
        <f>0</f>
        <v>0</v>
      </c>
      <c r="AW186" s="533">
        <f>0</f>
        <v>0</v>
      </c>
      <c r="AX186" s="533">
        <f>0</f>
        <v>0</v>
      </c>
      <c r="AY186" s="533">
        <f>0</f>
        <v>0</v>
      </c>
      <c r="AZ186" s="533">
        <f>0</f>
        <v>0</v>
      </c>
      <c r="BA186" s="533">
        <f>0</f>
        <v>0</v>
      </c>
      <c r="BB186" s="520">
        <f>0</f>
        <v>0</v>
      </c>
      <c r="BC186" s="500">
        <f>0</f>
        <v>0</v>
      </c>
      <c r="BD186" s="500">
        <f>0</f>
        <v>0</v>
      </c>
      <c r="BE186" s="500">
        <f>0</f>
        <v>0</v>
      </c>
      <c r="BF186" s="500">
        <f>0</f>
        <v>0</v>
      </c>
      <c r="BG186" s="500">
        <f>0</f>
        <v>0</v>
      </c>
      <c r="BH186" s="500">
        <f>0</f>
        <v>0</v>
      </c>
      <c r="BI186" s="500">
        <f>0</f>
        <v>0</v>
      </c>
      <c r="BJ186" s="500">
        <f>0</f>
        <v>0</v>
      </c>
      <c r="BK186" s="500">
        <f>0</f>
        <v>0</v>
      </c>
      <c r="BL186" s="500">
        <f>0</f>
        <v>0</v>
      </c>
      <c r="BM186" s="500">
        <f>0</f>
        <v>0</v>
      </c>
      <c r="BN186" s="500">
        <f>0</f>
        <v>0</v>
      </c>
      <c r="BO186" s="500">
        <f>0</f>
        <v>0</v>
      </c>
      <c r="BP186" s="500">
        <f>0</f>
        <v>0</v>
      </c>
      <c r="BQ186" s="500">
        <f>0</f>
        <v>0</v>
      </c>
      <c r="BR186" s="500">
        <f>0</f>
        <v>0</v>
      </c>
      <c r="BS186" s="500">
        <f>0</f>
        <v>0</v>
      </c>
      <c r="BT186" s="500">
        <f>0</f>
        <v>0</v>
      </c>
      <c r="BU186" s="500">
        <f>0</f>
        <v>0</v>
      </c>
      <c r="BV186" s="500">
        <f>0</f>
        <v>0</v>
      </c>
      <c r="BW186" s="2357">
        <f>0</f>
        <v>0</v>
      </c>
      <c r="BX186" s="2357">
        <f>0</f>
        <v>0</v>
      </c>
      <c r="BY186" s="2357">
        <f>0</f>
        <v>0</v>
      </c>
      <c r="BZ186" s="2357">
        <f>0</f>
        <v>0</v>
      </c>
      <c r="CA186" s="500">
        <f>0</f>
        <v>0</v>
      </c>
      <c r="CB186" s="500">
        <f>0</f>
        <v>0</v>
      </c>
      <c r="CC186" s="500">
        <f>0</f>
        <v>0</v>
      </c>
      <c r="CD186" s="500">
        <f>0</f>
        <v>0</v>
      </c>
      <c r="CE186" s="500">
        <f>0</f>
        <v>0</v>
      </c>
      <c r="CF186" s="500">
        <f>0</f>
        <v>0</v>
      </c>
      <c r="CG186" s="500">
        <f>0</f>
        <v>0</v>
      </c>
      <c r="CH186" s="500">
        <f>0</f>
        <v>0</v>
      </c>
      <c r="CI186" s="500">
        <f>0</f>
        <v>0</v>
      </c>
      <c r="CJ186" s="500">
        <f>0</f>
        <v>0</v>
      </c>
      <c r="CK186" s="500">
        <f>0</f>
        <v>0</v>
      </c>
      <c r="CL186" s="500">
        <f>0</f>
        <v>0</v>
      </c>
      <c r="CM186" s="500">
        <f>0</f>
        <v>0</v>
      </c>
      <c r="CN186" s="500">
        <f>0</f>
        <v>0</v>
      </c>
      <c r="CO186" s="500">
        <f>0</f>
        <v>0</v>
      </c>
      <c r="CP186" s="500">
        <f>0</f>
        <v>0</v>
      </c>
      <c r="CQ186" s="500">
        <f>0</f>
        <v>0</v>
      </c>
      <c r="CR186" s="500">
        <f>0</f>
        <v>0</v>
      </c>
      <c r="CS186" s="500">
        <f>0</f>
        <v>0</v>
      </c>
      <c r="CT186" s="520">
        <f>µ_AOB_T/Y_AOB*ƞ_AOB_NO_N2O*X_AOB*M_satSNH2OH_KNH2OH_AOB*M_satSNO_KNO_N2O_AOB</f>
        <v>1.8131868131868131E-3</v>
      </c>
      <c r="CV186" s="2502">
        <f>E266*E186+F266*F186+G266*G186+H266*H186+I266*I186+J266*J186+K266*K186+L266*L186+M266*M186+N266*N186+O266*O186+P266*P186+Q266*Q186+R266*R186+S266*S186+T266*T186+U266*U186+V266*V186+W266*W186+X266*X186+Y266*Y186+Z266*Z186+AA266*AA186+AB266*AB186+AC266*AC186+AD266*AD186+AE266*AE186+AF266*AF186+AG266*AG186+AH266*AH186+AI266*AI186+AJ266*AJ186+AK266*AK186+AL266*AL186+AM266*AM186+AN266*AN186+AO266*AO186+AP266*AP186+AQ266*AQ186+AR266*AR186+AS266*AS186+AT266*AT186+AU266*AU186+AV266*AV186+AW266*AW186+AX266*AX186+AY266*AY186+AZ266*AZ186+BA266*BA186+BB266*BB186+BC266*BC186+BD266*BD186+BE266*BE186+BF266*BF186+BG266*BG186+BH266*BH186+BI266*BI186+BJ266*BJ186+BK266*BK186+BL266*BL186+BM266*BM186+BN266*BN186+BO266*BO186+BP266*BP186+BQ266*BQ186+BR266*BR186+BS266*BS186+BT266*BT186+BU266*BU186+BV266*BV186+BW266*BW186+BX266*BX186+BY266*BY186+BZ266*BZ186+CA266*CA186+CB266*CB186+CC266*CC186+CD266*CD186+CE266*CE186+CF266*CF186+CG266*CG186+CH266*CH186+CI266*CI186+CJ266*CJ186+CK266*CK186+CL266*CL186+CM266*CM186+CN266*CN186+CO266*CO186+CP266*CP186+CQ266*CQ186+CR266*CR186+CS266*CS186</f>
        <v>1.7763568394002505E-15</v>
      </c>
      <c r="CW186" s="2502">
        <f>E267*E186+F267*F186+G267*G186+H267*H186+I267*I186+J267*J186+K267*K186+L267*L186+M267*M186+N267*N186+O267*O186+P267*P186+Q267*Q186+R267*R186+S267*S186+T267*T186+U267*U186+V267*V186+W267*W186+X267*X186+Y267*Y186+Z267*Z186+AA267*AA186+AB267*AB186+AC267*AC186+AD267*AD186+AE267*AE186+AF267*AF186+AG267*AG186+AH267*AH186+AI267*AI186+AJ267*AJ186+AK267*AK186+AL267*AL186+AM267*AM186+AN267*AN186+AO267*AO186+AP267*AP186+AQ267*AQ186+AR267*AR186+AS267*AS186+AT267*AT186+AU267*AU186+AV267*AV186+AW267*AW186+AX267*AX186+AY267*AY186+AZ267*AZ186+BA267*BA186+BB267*BB186+BC267*BC186+BD267*BD186+BE267*BE186+BF267*BF186+BG267*BG186+BH267*BH186+BI267*BI186+BJ267*BJ186+BK267*BK186+BL267*BL186+BM267*BM186+BN267*BN186+BO267*BO186+BP267*BP186+BQ267*BQ186+BR267*BR186+BS267*BS186+BT267*BT186+BU267*BU186+BV267*BV186+BW267*BW186+BX267*BX186+BY267*BY186+BZ267*BZ186+CA267*CA186+CB267*CB186+CC267*CC186+CD267*CD186+CE267*CE186+CF267*CF186+CG267*CG186+CH267*CH186+CI267*CI186+CJ267*CJ186+CK267*CK186+CL267*CL186+CM267*CM186+CN267*CN186+CO267*CO186+CP267*CP186+CQ267*CQ186+CR267*CR186+CS267*CS186</f>
        <v>0</v>
      </c>
      <c r="CX186" s="2503">
        <f>E268*E186+F268*F186+G268*G186+H268*H186+I268*I186+J268*J186+K268*K186+L268*L186+M268*M186+N268*N186+O268*O186+P268*P186+Q268*Q186+R268*R186+S268*S186+T268*T186+U268*U186+V268*V186+W268*W186+X268*X186+Y268*Y186+Z268*Z186+AA268*AA186+AB268*AB186+AC268*AC186+AD268*AD186+AE268*AE186+AF268*AF186+AG268*AG186+AH268*AH186+AI268*AI186+AJ268*AJ186+AK268*AK186+AL268*AL186+AM268*AM186+AN268*AN186+AO268*AO186+AP268*AP186+AQ268*AQ186+AR268*AR186+AS268*AS186+AT268*AT186+AU268*AU186+AV268*AV186+AW268*AW186+AX268*AX186+AY268*AY186+AZ268*AZ186+BA268*BA186+BB268*BB186+BC268*BC186+BD268*BD186+BE268*BE186+BF268*BF186+BG268*BG186+BH268*BH186+BI268*BI186+BJ268*BJ186+BK268*BK186+BL268*BL186+BM268*BM186+BN268*BN186+BO268*BO186+BP268*BP186+BQ268*BQ186+BR268*BR186+BS268*BS186+BT268*BT186+BU268*BU186+BV268*BV186+BW268*BW186+BX268*BX186+BY268*BY186+BZ268*BZ186+CA268*CA186+CB268*CB186+CC268*CC186+CD268*CD186+CE268*CE186+CF268*CF186+CG268*CG186+CH268*CH186+CI268*CI186+CJ268*CJ186+CK268*CK186+CL268*CL186+CM268*CM186+CN268*CN186+CO268*CO186+CP268*CP186+CQ268*CQ186+CR268*CR186+CS268*CS186</f>
        <v>0</v>
      </c>
      <c r="CY186" s="2504">
        <f>E269*E186+F269*F186+G269*G186+H269*H186+I269*I186+J269*J186+K269*K186+L269*L186+M269*M186+N269*N186+O269*O186+P269*P186+Q269*Q186+R269*R186+S269*S186+T269*T186+U269*U186+V269*V186+W269*W186+X269*X186+Y269*Y186+Z269*Z186+AA269*AA186+AB269*AB186+AC269*AC186+AD269*AD186+AE269*AE186+AF269*AF186+AG269*AG186+AH269*AH186+AI269*AI186+AJ269*AJ186+AK269*AK186+AL269*AL186+AM269*AM186+AN269*AN186+AO269*AO186+AP269*AP186+AQ269*AQ186+AR269*AR186+AS269*AS186+AT269*AT186+AU269*AU186+AV269*AV186+AW269*AW186+AX269*AX186+AY269*AY186+AZ269*AZ186+BA269*BA186+BB269*BB186+BC269*BC186+BD269*BD186+BE269*BE186+BF269*BF186+BG269*BG186+BH269*BH186+BI269*BI186+BJ269*BJ186+BK269*BK186+BL269*BL186+BM269*BM186+BN269*BN186+BO269*BO186+BP269*BP186+BQ269*BQ186+BR269*BR186+BS269*BS186+BT269*BT186+BU269*BU186+BV269*BV186+BW269*BW186+BX269*BX186+BY269*BY186+BZ269*BZ186+CA269*CA186+CB269*CB186+CC269*CC186+CD269*CD186+CE269*CE186+CF269*CF186+CG269*CG186+CH269*CH186+CI269*CI186+CJ269*CJ186+CK269*CK186+CL269*CL186+CM269*CM186+CN269*CN186+CO269*CO186+CP269*CP186+CQ269*CQ186+CR269*CR186+CS269*CS186</f>
        <v>0</v>
      </c>
      <c r="CZ186" s="2504">
        <f>E270*E186+F270*F186+G270*G186+H270*H186+I270*I186+J270*J186+K270*K186+L270*L186+M270*M186+N270*N186+O270*O186+P270*P186+Q270*Q186+R270*R186+S270*S186+T270*T186+U270*U186+V270*V186+W270*W186+X270*X186+Y270*Y186+Z270*Z186+AA270*AA186+AB270*AB186+AC270*AC186+AD270*AD186+AE270*AE186+AF270*AF186+AG270*AG186+AH270*AH186+AI270*AI186+AJ270*AJ186+AK270*AK186+AL270*AL186+AM270*AM186+AN270*AN186+AO270*AO186+AP270*AP186+AQ270*AQ186+AR270*AR186+AS270*AS186+AT270*AT186+AU270*AU186+AV270*AV186+AW270*AW186+AX270*AX186+AY270*AY186+AZ270*AZ186+BA270*BA186+BB270*BB186+BC270*BC186+BD270*BD186+BE270*BE186+BF270*BF186+BG270*BG186+BH270*BH186+BI270*BI186+BJ270*BJ186+BK270*BK186+BL270*BL186+BM270*BM186+BN270*BN186+BO270*BO186+BP270*BP186+BQ270*BQ186+BR270*BR186+BS270*BS186+BT270*BT186+BU270*BU186+BV270*BV186+BW270*BW186+BX270*BX186+BY270*BY186+BZ270*BZ186+CA270*CA186+CB270*CB186+CC270*CC186+CD270*CD186+CE270*CE186+CF270*CF186+CG270*CG186+CH270*CH186+CI270*CI186+CJ270*CJ186+CK270*CK186+CL270*CL186+CM270*CM186+CN270*CN186+CO270*CO186+CP270*CP186+CQ270*CQ186+CR270*CR186+CS270*CS186</f>
        <v>0</v>
      </c>
      <c r="DA186" s="2504">
        <f>E271*E186+F271*F186+G271*G186+H271*H186+I271*I186+J271*J186+K271*K186+L271*L186+M271*M186+N271*N186+O271*O186+P271*P186+Q271*Q186+R271*R186+S271*S186+T271*T186+U271*U186+V271*V186+W271*W186+X271*X186+Y271*Y186+Z271*Z186+AA271*AA186+AB271*AB186+AC271*AC186+AD271*AD186+AE271*AE186+AF271*AF186+AG271*AG186+AH271*AH186+AI271*AI186+AJ271*AJ186+AK271*AK186+AL271*AL186+AM271*AM186+AN271*AN186+AO271*AO186+AP271*AP186+AQ271*AQ186+AR271*AR186+AS271*AS186+AT271*AT186+AU271*AU186+AV271*AV186+AW271*AW186+AX271*AX186+AY271*AY186+AZ271*AZ186+BA271*BA186+BB271*BB186+BC271*BC186+BD271*BD186+BE271*BE186+BF271*BF186+BG271*BG186+BH271*BH186+BI271*BI186+BJ271*BJ186+BK271*BK186+BL271*BL186+BM271*BM186+BN271*BN186+BO271*BO186+BP271*BP186+BQ271*BQ186+BR271*BR186+BS271*BS186+BT271*BT186+BU271*BU186+BV271*BV186+BW271*BW186+BX271*BX186+BY271*BY186+BZ271*BZ186+CA271*CA186+CB271*CB186+CC271*CC186+CD271*CD186+CE271*CE186+CF271*CF186+CG271*CG186+CH271*CH186+CI271*CI186+CJ271*CJ186+CK271*CK186+CL271*CL186+CM271*CM186+CN271*CN186+CO271*CO186+CP271*CP186+CQ271*CQ186+CR271*CR186+CS271*CS186</f>
        <v>0</v>
      </c>
      <c r="DB186" s="2504">
        <f>E272*E186+F272*F186+G272*G186+H272*H186+I272*I186+J272*J186+K272*K186+L272*L186+M272*M186+N272*N186+O272*O186+P272*P186+Q272*Q186+R272*R186+S272*S186+T272*T186+U272*U186+V272*V186+W272*W186+X272*X186+Y272*Y186+Z272*Z186+AA272*AA186+AB272*AB186+AC272*AC186+AD272*AD186+AE272*AE186+AF272*AF186+AG272*AG186+AH272*AH186+AI272*AI186+AJ272*AJ186+AK272*AK186+AL272*AL186+AM272*AM186+AN272*AN186+AO272*AO186+AP272*AP186+AQ272*AQ186+AR272*AR186+AS272*AS186+AT272*AT186+AU272*AU186+AV272*AV186+AW272*AW186+AX272*AX186+AY272*AY186+AZ272*AZ186+BA272*BA186+BB272*BB186+BC272*BC186+BD272*BD186+BE272*BE186+BF272*BF186+BG272*BG186+BH272*BH186+BI272*BI186+BJ272*BJ186+BK272*BK186+BL272*BL186+BM272*BM186+BN272*BN186+BO272*BO186+BP272*BP186+BQ272*BQ186+BR272*BR186+BS272*BS186+BT272*BT186+BU272*BU186+BV272*BV186+BW272*BW186+BX272*BX186+BY272*BY186+BZ272*BZ186+CA272*CA186+CB272*CB186+CC272*CC186+CD272*CD186+CE272*CE186+CF272*CF186+CG272*CG186+CH272*CH186+CI272*CI186+CJ272*CJ186+CK272*CK186+CL272*CL186+CM272*CM186+CN272*CN186+CO272*CO186+CP272*CP186+CQ272*CQ186+CR272*CR186+CS272*CS186</f>
        <v>0</v>
      </c>
      <c r="DC186" s="2504">
        <f>E273*E186+F273*F186+G273*G186+H273*H186+I273*I186+J273*J186+K273*K186+L273*L186+M273*M186+N273*N186+O273*O186+P273*P186+Q273*Q186+R273*R186+S273*S186+T273*T186+U273*U186+V273*V186+W273*W186+X273*X186+Y273*Y186+Z273*Z186+AA273*AA186+AB273*AB186+AC273*AC186+AD273*AD186+AE273*AE186+AF273*AF186+AG273*AG186+AH273*AH186+AI273*AI186+AJ273*AJ186+AK273*AK186+AL273*AL186+AM273*AM186+AN273*AN186+AO273*AO186+AP273*AP186+AQ273*AQ186+AR273*AR186+AS273*AS186+AT273*AT186+AU273*AU186+AV273*AV186+AW273*AW186+AX273*AX186+AY273*AY186+AZ273*AZ186+BA273*BA186+BB273*BB186+BC273*BC186+BD273*BD186+BE273*BE186+BF273*BF186+BG273*BG186+BH273*BH186+BI273*BI186+BJ273*BJ186+BK273*BK186+BL273*BL186+BM273*BM186+BN273*BN186+BO273*BO186+BP273*BP186+BQ273*BQ186+BR273*BR186+BS273*BS186+BT273*BT186+BU273*BU186+BV273*BV186+BW273*BW186+BX273*BX186+BY273*BY186+BZ273*BZ186+CA273*CA186+CB273*CB186+CC273*CC186+CD273*CD186+CE273*CE186+CF273*CF186+CG273*CG186+CH273*CH186+CI273*CI186+CJ273*CJ186+CK273*CK186+CL273*CL186+CM273*CM186+CN273*CN186+CO273*CO186+CP273*CP186+CQ273*CQ186+CR273*CR186+CS273*CS186</f>
        <v>0</v>
      </c>
      <c r="DD186" s="2504">
        <f>E274*E186+F274*F186+G274*G186+H274*H186+I274*I186+J274*J186+K274*K186+L274*L186+M274*M186+N274*N186+O274*O186+P274*P186+Q274*Q186+R274*R186+S274*S186+T274*T186+U274*U186+V274*V186+W274*W186+X274*X186+Y274*Y186+Z274*Z186+AA274*AA186+AB274*AB186+AC274*AC186+AD274*AD186+AE274*AE186+AF274*AF186+AG274*AG186+AH274*AH186+AI274*AI186+AJ274*AJ186+AK274*AK186+AL274*AL186+AM274*AM186+AN274*AN186+AO274*AO186+AP274*AP186+AQ274*AQ186+AR274*AR186+AS274*AS186+AT274*AT186+AU274*AU186+AV274*AV186+AW274*AW186+AX274*AX186+AY274*AY186+AZ274*AZ186+BA274*BA186+BB274*BB186+BC274*BC186+BD274*BD186+BE274*BE186+BF274*BF186+BG274*BG186+BH274*BH186+BI274*BI186+BJ274*BJ186+BK274*BK186+BL274*BL186+BM274*BM186+BN274*BN186+BO274*BO186+BP274*BP186+BQ274*BQ186+BR274*BR186+BS274*BS186+BT274*BT186+BU274*BU186+BV274*BV186+BW274*BW186+BX274*BX186+BY274*BY186+BZ274*BZ186+CA274*CA186+CB274*CB186+CC274*CC186+CD274*CD186+CE274*CE186+CF274*CF186+CG274*CG186+CH274*CH186+CI274*CI186+CJ274*CJ186+CK274*CK186+CL274*CL186+CM274*CM186+CN274*CN186+CO274*CO186+CP274*CP186+CQ274*CQ186+CR274*CR186+CS274*CS186</f>
        <v>0</v>
      </c>
      <c r="DE186" s="2504">
        <f>E275*E186+F275*F186+G275*G186+H275*H186+I275*I186+J275*J186+K275*K186+L275*L186+M275*M186+N275*N186+O275*O186+P275*P186+Q275*Q186+R275*R186+S275*S186+T275*T186+U275*U186+V275*V186+W275*W186+X275*X186+Y275*Y186+Z275*Z186+AA275*AA186+AB275*AB186+AC275*AC186+AD275*AD186+AE275*AE186+AF275*AF186+AG275*AG186+AH275*AH186+AI275*AI186+AJ275*AJ186+AK275*AK186+AL275*AL186+AM275*AM186+AN275*AN186+AO275*AO186+AP275*AP186+AQ275*AQ186+AR275*AR186+AS275*AS186+AT275*AT186+AU275*AU186+AV275*AV186+AW275*AW186+AX275*AX186+AY275*AY186+AZ275*AZ186+BA275*BA186+BB275*BB186+BC275*BC186+BD275*BD186+BE275*BE186+BF275*BF186+BG275*BG186+BH275*BH186+BI275*BI186+BJ275*BJ186+BK275*BK186+BL275*BL186+BM275*BM186+BN275*BN186+BO275*BO186+BP275*BP186+BQ275*BQ186+BR275*BR186+BS275*BS186+BT275*BT186+BU275*BU186+BV275*BV186+BW275*BW186+BX275*BX186+BY275*BY186+BZ275*BZ186+CA275*CA186+CB275*CB186+CC275*CC186+CD275*CD186+CE275*CE186+CF275*CF186+CG275*CG186+CH275*CH186+CI275*CI186+CJ275*CJ186+CK275*CK186+CL275*CL186+CM275*CM186+CN275*CN186+CO275*CO186+CP275*CP186+CQ275*CQ186+CR275*CR186+CS275*CS186</f>
        <v>0</v>
      </c>
      <c r="DF186" s="2504">
        <f>E276*E186+F276*F186+G276*G186+H276*H186+I276*I186+J276*J186+K276*K186+L276*L186+M276*M186+N276*N186+O276*O186+P276*P186+Q276*Q186+R276*R186+S276*S186+T276*T186+U276*U186+V276*V186+W276*W186+X276*X186+Y276*Y186+Z276*Z186+AA276*AA186+AB276*AB186+AC276*AC186+AD276*AD186+AE276*AE186+AF276*AF186+AG276*AG186+AH276*AH186+AI276*AI186+AJ276*AJ186+AK276*AK186+AL276*AL186+AM276*AM186+AN276*AN186+AO276*AO186+AP276*AP186+AQ276*AQ186+AR276*AR186+AS276*AS186+AT276*AT186+AU276*AU186+AV276*AV186+AW276*AW186+AX276*AX186+AY276*AY186+AZ276*AZ186+BA276*BA186+BB276*BB186+BC276*BC186+BD276*BD186+BE276*BE186+BF276*BF186+BG276*BG186+BH276*BH186+BI276*BI186+BJ276*BJ186+BK276*BK186+BL276*BL186+BM276*BM186+BN276*BN186+BO276*BO186+BP276*BP186+BQ276*BQ186+BR276*BR186+BS276*BS186+BT276*BT186+BU276*BU186+BV276*BV186+BW276*BW186+BX276*BX186+BY276*BY186+BZ276*BZ186+CA276*CA186+CB276*CB186+CC276*CC186+CD276*CD186+CE276*CE186+CF276*CF186+CG276*CG186+CH276*CH186+CI276*CI186+CJ276*CJ186+CK276*CK186+CL276*CL186+CM276*CM186+CN276*CN186+CO276*CO186+CP276*CP186+CQ276*CQ186+CR276*CR186+CS276*CS186</f>
        <v>0</v>
      </c>
    </row>
    <row r="187" spans="2:110" x14ac:dyDescent="0.25">
      <c r="B187" s="1571">
        <v>45</v>
      </c>
      <c r="C187" s="531" t="s">
        <v>441</v>
      </c>
      <c r="D187" s="532" t="s">
        <v>3925</v>
      </c>
      <c r="E187" s="533">
        <f>0</f>
        <v>0</v>
      </c>
      <c r="F187" s="500">
        <f>0</f>
        <v>0</v>
      </c>
      <c r="G187" s="500">
        <f>0</f>
        <v>0</v>
      </c>
      <c r="H187" s="500">
        <f>0</f>
        <v>0</v>
      </c>
      <c r="I187" s="500">
        <f>0</f>
        <v>0</v>
      </c>
      <c r="J187" s="500">
        <f>0</f>
        <v>0</v>
      </c>
      <c r="K187" s="500">
        <f>0</f>
        <v>0</v>
      </c>
      <c r="L187" s="500">
        <f>0</f>
        <v>0</v>
      </c>
      <c r="M187" s="500">
        <f>0</f>
        <v>0</v>
      </c>
      <c r="N187" s="533">
        <f>0</f>
        <v>0</v>
      </c>
      <c r="O187" s="533">
        <f>0</f>
        <v>0</v>
      </c>
      <c r="P187" s="500">
        <f>0</f>
        <v>0</v>
      </c>
      <c r="Q187" s="500">
        <f>0</f>
        <v>0</v>
      </c>
      <c r="R187" s="500">
        <f>0</f>
        <v>0</v>
      </c>
      <c r="S187" s="500">
        <f>0</f>
        <v>0</v>
      </c>
      <c r="T187" s="500">
        <f>0</f>
        <v>0</v>
      </c>
      <c r="U187" s="500">
        <f>0</f>
        <v>0</v>
      </c>
      <c r="V187" s="500">
        <f>0</f>
        <v>0</v>
      </c>
      <c r="W187" s="500">
        <f>0</f>
        <v>0</v>
      </c>
      <c r="X187" s="500">
        <f>0</f>
        <v>0</v>
      </c>
      <c r="Y187" s="500">
        <f>0</f>
        <v>0</v>
      </c>
      <c r="Z187" s="500">
        <f>0</f>
        <v>0</v>
      </c>
      <c r="AA187" s="500">
        <f>0</f>
        <v>0</v>
      </c>
      <c r="AB187" s="500">
        <f>-1</f>
        <v>-1</v>
      </c>
      <c r="AC187" s="533">
        <f>0</f>
        <v>0</v>
      </c>
      <c r="AD187" s="2474">
        <f>-1</f>
        <v>-1</v>
      </c>
      <c r="AE187" s="533">
        <f>0</f>
        <v>0</v>
      </c>
      <c r="AF187" s="533">
        <f>0</f>
        <v>0</v>
      </c>
      <c r="AG187" s="533">
        <f>2</f>
        <v>2</v>
      </c>
      <c r="AH187" s="500">
        <f>0</f>
        <v>0</v>
      </c>
      <c r="AI187" s="500">
        <f>0</f>
        <v>0</v>
      </c>
      <c r="AJ187" s="500">
        <f>0</f>
        <v>0</v>
      </c>
      <c r="AK187" s="500">
        <f>0</f>
        <v>0</v>
      </c>
      <c r="AL187" s="500">
        <f>0</f>
        <v>0</v>
      </c>
      <c r="AM187" s="533">
        <f>0</f>
        <v>0</v>
      </c>
      <c r="AN187" s="533">
        <f>0</f>
        <v>0</v>
      </c>
      <c r="AO187" s="500">
        <f>0</f>
        <v>0</v>
      </c>
      <c r="AP187" s="500">
        <f>0</f>
        <v>0</v>
      </c>
      <c r="AQ187" s="500">
        <f>0</f>
        <v>0</v>
      </c>
      <c r="AR187" s="500">
        <f>0</f>
        <v>0</v>
      </c>
      <c r="AS187" s="533">
        <f>0</f>
        <v>0</v>
      </c>
      <c r="AT187" s="500">
        <f>0</f>
        <v>0</v>
      </c>
      <c r="AU187" s="500">
        <f>0</f>
        <v>0</v>
      </c>
      <c r="AV187" s="533">
        <f>0</f>
        <v>0</v>
      </c>
      <c r="AW187" s="533">
        <f>0</f>
        <v>0</v>
      </c>
      <c r="AX187" s="533">
        <f>0</f>
        <v>0</v>
      </c>
      <c r="AY187" s="533">
        <f>0</f>
        <v>0</v>
      </c>
      <c r="AZ187" s="533">
        <f>0</f>
        <v>0</v>
      </c>
      <c r="BA187" s="533">
        <f>0</f>
        <v>0</v>
      </c>
      <c r="BB187" s="520">
        <f>0</f>
        <v>0</v>
      </c>
      <c r="BC187" s="500">
        <f>0</f>
        <v>0</v>
      </c>
      <c r="BD187" s="500">
        <f>0</f>
        <v>0</v>
      </c>
      <c r="BE187" s="500">
        <f>0</f>
        <v>0</v>
      </c>
      <c r="BF187" s="500">
        <f>0</f>
        <v>0</v>
      </c>
      <c r="BG187" s="500">
        <f>0</f>
        <v>0</v>
      </c>
      <c r="BH187" s="500">
        <f>0</f>
        <v>0</v>
      </c>
      <c r="BI187" s="500">
        <f>0</f>
        <v>0</v>
      </c>
      <c r="BJ187" s="500">
        <f>0</f>
        <v>0</v>
      </c>
      <c r="BK187" s="500">
        <f>0</f>
        <v>0</v>
      </c>
      <c r="BL187" s="500">
        <f>0</f>
        <v>0</v>
      </c>
      <c r="BM187" s="500">
        <f>0</f>
        <v>0</v>
      </c>
      <c r="BN187" s="500">
        <f>0</f>
        <v>0</v>
      </c>
      <c r="BO187" s="500">
        <f>0</f>
        <v>0</v>
      </c>
      <c r="BP187" s="500">
        <f>0</f>
        <v>0</v>
      </c>
      <c r="BQ187" s="500">
        <f>0</f>
        <v>0</v>
      </c>
      <c r="BR187" s="500">
        <f>0</f>
        <v>0</v>
      </c>
      <c r="BS187" s="500">
        <f>0</f>
        <v>0</v>
      </c>
      <c r="BT187" s="500">
        <f>0</f>
        <v>0</v>
      </c>
      <c r="BU187" s="500">
        <f>0</f>
        <v>0</v>
      </c>
      <c r="BV187" s="500">
        <f>0</f>
        <v>0</v>
      </c>
      <c r="BW187" s="2357">
        <f>0</f>
        <v>0</v>
      </c>
      <c r="BX187" s="2357">
        <f>0</f>
        <v>0</v>
      </c>
      <c r="BY187" s="2357">
        <f>0</f>
        <v>0</v>
      </c>
      <c r="BZ187" s="2357">
        <f>0</f>
        <v>0</v>
      </c>
      <c r="CA187" s="500">
        <f>0</f>
        <v>0</v>
      </c>
      <c r="CB187" s="500">
        <f>0</f>
        <v>0</v>
      </c>
      <c r="CC187" s="500">
        <f>0</f>
        <v>0</v>
      </c>
      <c r="CD187" s="500">
        <f>0</f>
        <v>0</v>
      </c>
      <c r="CE187" s="500">
        <f>0</f>
        <v>0</v>
      </c>
      <c r="CF187" s="500">
        <f>0</f>
        <v>0</v>
      </c>
      <c r="CG187" s="500">
        <f>0</f>
        <v>0</v>
      </c>
      <c r="CH187" s="500">
        <f>0</f>
        <v>0</v>
      </c>
      <c r="CI187" s="500">
        <f>0</f>
        <v>0</v>
      </c>
      <c r="CJ187" s="500">
        <f>0</f>
        <v>0</v>
      </c>
      <c r="CK187" s="500">
        <f>0</f>
        <v>0</v>
      </c>
      <c r="CL187" s="500">
        <f>0</f>
        <v>0</v>
      </c>
      <c r="CM187" s="500">
        <f>0</f>
        <v>0</v>
      </c>
      <c r="CN187" s="500">
        <f>0</f>
        <v>0</v>
      </c>
      <c r="CO187" s="500">
        <f>0</f>
        <v>0</v>
      </c>
      <c r="CP187" s="500">
        <f>0</f>
        <v>0</v>
      </c>
      <c r="CQ187" s="500">
        <f>0</f>
        <v>0</v>
      </c>
      <c r="CR187" s="500">
        <f>0</f>
        <v>0</v>
      </c>
      <c r="CS187" s="500">
        <f>0</f>
        <v>0</v>
      </c>
      <c r="CT187" s="520">
        <f>µ_AOB_T/Y_AOB*ƞ_AOB_NO2_N2O*X_AOB*M_satSNH2OH_KNH2OH_AOB*M_satSHNO2_KHNO2_AOB*M_inhSO2_KiO2_AOB</f>
        <v>4.6662719827577417E-4</v>
      </c>
      <c r="CV187" s="2502">
        <f>E266*E187+F266*F187+G266*G187+H266*H187+I266*I187+J266*J187+K266*K187+L266*L187+M266*M187+N266*N187+O266*O187+P266*P187+Q266*Q187+R266*R187+S266*S187+T266*T187+U266*U187+V266*V187+W266*W187+X266*X187+Y266*Y187+Z266*Z187+AA266*AA187+AB266*AB187+AC266*AC187+AD266*AD187+AE266*AE187+AF266*AF187+AG266*AG187+AH266*AH187+AI266*AI187+AJ266*AJ187+AK266*AK187+AL266*AL187+AM266*AM187+AN266*AN187+AO266*AO187+AP266*AP187+AQ266*AQ187+AR266*AR187+AS266*AS187+AT266*AT187+AU266*AU187+AV266*AV187+AW266*AW187+AX266*AX187+AY266*AY187+AZ266*AZ187+BA266*BA187+BB266*BB187+BC266*BC187+BD266*BD187+BE266*BE187+BF266*BF187+BG266*BG187+BH266*BH187+BI266*BI187+BJ266*BJ187+BK266*BK187+BL266*BL187+BM266*BM187+BN266*BN187+BO266*BO187+BP266*BP187+BQ266*BQ187+BR266*BR187+BS266*BS187+BT266*BT187+BU266*BU187+BV266*BV187+BW266*BW187+BX266*BX187+BY266*BY187+BZ266*BZ187+CA266*CA187+CB266*CB187+CC266*CC187+CD266*CD187+CE266*CE187+CF266*CF187+CG266*CG187+CH266*CH187+CI266*CI187+CJ266*CJ187+CK266*CK187+CL266*CL187+CM266*CM187+CN266*CN187+CO266*CO187+CP266*CP187+CQ266*CQ187+CR266*CR187+CS266*CS187</f>
        <v>0</v>
      </c>
      <c r="CW187" s="2502">
        <f>E267*E187+F267*F187+G267*G187+H267*H187+I267*I187+J267*J187+K267*K187+L267*L187+M267*M187+N267*N187+O267*O187+P267*P187+Q267*Q187+R267*R187+S267*S187+T267*T187+U267*U187+V267*V187+W267*W187+X267*X187+Y267*Y187+Z267*Z187+AA267*AA187+AB267*AB187+AC267*AC187+AD267*AD187+AE267*AE187+AF267*AF187+AG267*AG187+AH267*AH187+AI267*AI187+AJ267*AJ187+AK267*AK187+AL267*AL187+AM267*AM187+AN267*AN187+AO267*AO187+AP267*AP187+AQ267*AQ187+AR267*AR187+AS267*AS187+AT267*AT187+AU267*AU187+AV267*AV187+AW267*AW187+AX267*AX187+AY267*AY187+AZ267*AZ187+BA267*BA187+BB267*BB187+BC267*BC187+BD267*BD187+BE267*BE187+BF267*BF187+BG267*BG187+BH267*BH187+BI267*BI187+BJ267*BJ187+BK267*BK187+BL267*BL187+BM267*BM187+BN267*BN187+BO267*BO187+BP267*BP187+BQ267*BQ187+BR267*BR187+BS267*BS187+BT267*BT187+BU267*BU187+BV267*BV187+BW267*BW187+BX267*BX187+BY267*BY187+BZ267*BZ187+CA267*CA187+CB267*CB187+CC267*CC187+CD267*CD187+CE267*CE187+CF267*CF187+CG267*CG187+CH267*CH187+CI267*CI187+CJ267*CJ187+CK267*CK187+CL267*CL187+CM267*CM187+CN267*CN187+CO267*CO187+CP267*CP187+CQ267*CQ187+CR267*CR187+CS267*CS187</f>
        <v>0</v>
      </c>
      <c r="CX187" s="2503">
        <f>E268*E187+F268*F187+G268*G187+H268*H187+I268*I187+J268*J187+K268*K187+L268*L187+M268*M187+N268*N187+O268*O187+P268*P187+Q268*Q187+R268*R187+S268*S187+T268*T187+U268*U187+V268*V187+W268*W187+X268*X187+Y268*Y187+Z268*Z187+AA268*AA187+AB268*AB187+AC268*AC187+AD268*AD187+AE268*AE187+AF268*AF187+AG268*AG187+AH268*AH187+AI268*AI187+AJ268*AJ187+AK268*AK187+AL268*AL187+AM268*AM187+AN268*AN187+AO268*AO187+AP268*AP187+AQ268*AQ187+AR268*AR187+AS268*AS187+AT268*AT187+AU268*AU187+AV268*AV187+AW268*AW187+AX268*AX187+AY268*AY187+AZ268*AZ187+BA268*BA187+BB268*BB187+BC268*BC187+BD268*BD187+BE268*BE187+BF268*BF187+BG268*BG187+BH268*BH187+BI268*BI187+BJ268*BJ187+BK268*BK187+BL268*BL187+BM268*BM187+BN268*BN187+BO268*BO187+BP268*BP187+BQ268*BQ187+BR268*BR187+BS268*BS187+BT268*BT187+BU268*BU187+BV268*BV187+BW268*BW187+BX268*BX187+BY268*BY187+BZ268*BZ187+CA268*CA187+CB268*CB187+CC268*CC187+CD268*CD187+CE268*CE187+CF268*CF187+CG268*CG187+CH268*CH187+CI268*CI187+CJ268*CJ187+CK268*CK187+CL268*CL187+CM268*CM187+CN268*CN187+CO268*CO187+CP268*CP187+CQ268*CQ187+CR268*CR187+CS268*CS187</f>
        <v>0</v>
      </c>
      <c r="CY187" s="2504">
        <f>E269*E187+F269*F187+G269*G187+H269*H187+I269*I187+J269*J187+K269*K187+L269*L187+M269*M187+N269*N187+O269*O187+P269*P187+Q269*Q187+R269*R187+S269*S187+T269*T187+U269*U187+V269*V187+W269*W187+X269*X187+Y269*Y187+Z269*Z187+AA269*AA187+AB269*AB187+AC269*AC187+AD269*AD187+AE269*AE187+AF269*AF187+AG269*AG187+AH269*AH187+AI269*AI187+AJ269*AJ187+AK269*AK187+AL269*AL187+AM269*AM187+AN269*AN187+AO269*AO187+AP269*AP187+AQ269*AQ187+AR269*AR187+AS269*AS187+AT269*AT187+AU269*AU187+AV269*AV187+AW269*AW187+AX269*AX187+AY269*AY187+AZ269*AZ187+BA269*BA187+BB269*BB187+BC269*BC187+BD269*BD187+BE269*BE187+BF269*BF187+BG269*BG187+BH269*BH187+BI269*BI187+BJ269*BJ187+BK269*BK187+BL269*BL187+BM269*BM187+BN269*BN187+BO269*BO187+BP269*BP187+BQ269*BQ187+BR269*BR187+BS269*BS187+BT269*BT187+BU269*BU187+BV269*BV187+BW269*BW187+BX269*BX187+BY269*BY187+BZ269*BZ187+CA269*CA187+CB269*CB187+CC269*CC187+CD269*CD187+CE269*CE187+CF269*CF187+CG269*CG187+CH269*CH187+CI269*CI187+CJ269*CJ187+CK269*CK187+CL269*CL187+CM269*CM187+CN269*CN187+CO269*CO187+CP269*CP187+CQ269*CQ187+CR269*CR187+CS269*CS187</f>
        <v>0</v>
      </c>
      <c r="CZ187" s="2504">
        <f>E270*E187+F270*F187+G270*G187+H270*H187+I270*I187+J270*J187+K270*K187+L270*L187+M270*M187+N270*N187+O270*O187+P270*P187+Q270*Q187+R270*R187+S270*S187+T270*T187+U270*U187+V270*V187+W270*W187+X270*X187+Y270*Y187+Z270*Z187+AA270*AA187+AB270*AB187+AC270*AC187+AD270*AD187+AE270*AE187+AF270*AF187+AG270*AG187+AH270*AH187+AI270*AI187+AJ270*AJ187+AK270*AK187+AL270*AL187+AM270*AM187+AN270*AN187+AO270*AO187+AP270*AP187+AQ270*AQ187+AR270*AR187+AS270*AS187+AT270*AT187+AU270*AU187+AV270*AV187+AW270*AW187+AX270*AX187+AY270*AY187+AZ270*AZ187+BA270*BA187+BB270*BB187+BC270*BC187+BD270*BD187+BE270*BE187+BF270*BF187+BG270*BG187+BH270*BH187+BI270*BI187+BJ270*BJ187+BK270*BK187+BL270*BL187+BM270*BM187+BN270*BN187+BO270*BO187+BP270*BP187+BQ270*BQ187+BR270*BR187+BS270*BS187+BT270*BT187+BU270*BU187+BV270*BV187+BW270*BW187+BX270*BX187+BY270*BY187+BZ270*BZ187+CA270*CA187+CB270*CB187+CC270*CC187+CD270*CD187+CE270*CE187+CF270*CF187+CG270*CG187+CH270*CH187+CI270*CI187+CJ270*CJ187+CK270*CK187+CL270*CL187+CM270*CM187+CN270*CN187+CO270*CO187+CP270*CP187+CQ270*CQ187+CR270*CR187+CS270*CS187</f>
        <v>0</v>
      </c>
      <c r="DA187" s="2504">
        <f>E271*E187+F271*F187+G271*G187+H271*H187+I271*I187+J271*J187+K271*K187+L271*L187+M271*M187+N271*N187+O271*O187+P271*P187+Q271*Q187+R271*R187+S271*S187+T271*T187+U271*U187+V271*V187+W271*W187+X271*X187+Y271*Y187+Z271*Z187+AA271*AA187+AB271*AB187+AC271*AC187+AD271*AD187+AE271*AE187+AF271*AF187+AG271*AG187+AH271*AH187+AI271*AI187+AJ271*AJ187+AK271*AK187+AL271*AL187+AM271*AM187+AN271*AN187+AO271*AO187+AP271*AP187+AQ271*AQ187+AR271*AR187+AS271*AS187+AT271*AT187+AU271*AU187+AV271*AV187+AW271*AW187+AX271*AX187+AY271*AY187+AZ271*AZ187+BA271*BA187+BB271*BB187+BC271*BC187+BD271*BD187+BE271*BE187+BF271*BF187+BG271*BG187+BH271*BH187+BI271*BI187+BJ271*BJ187+BK271*BK187+BL271*BL187+BM271*BM187+BN271*BN187+BO271*BO187+BP271*BP187+BQ271*BQ187+BR271*BR187+BS271*BS187+BT271*BT187+BU271*BU187+BV271*BV187+BW271*BW187+BX271*BX187+BY271*BY187+BZ271*BZ187+CA271*CA187+CB271*CB187+CC271*CC187+CD271*CD187+CE271*CE187+CF271*CF187+CG271*CG187+CH271*CH187+CI271*CI187+CJ271*CJ187+CK271*CK187+CL271*CL187+CM271*CM187+CN271*CN187+CO271*CO187+CP271*CP187+CQ271*CQ187+CR271*CR187+CS271*CS187</f>
        <v>0</v>
      </c>
      <c r="DB187" s="2504">
        <f>E272*E187+F272*F187+G272*G187+H272*H187+I272*I187+J272*J187+K272*K187+L272*L187+M272*M187+N272*N187+O272*O187+P272*P187+Q272*Q187+R272*R187+S272*S187+T272*T187+U272*U187+V272*V187+W272*W187+X272*X187+Y272*Y187+Z272*Z187+AA272*AA187+AB272*AB187+AC272*AC187+AD272*AD187+AE272*AE187+AF272*AF187+AG272*AG187+AH272*AH187+AI272*AI187+AJ272*AJ187+AK272*AK187+AL272*AL187+AM272*AM187+AN272*AN187+AO272*AO187+AP272*AP187+AQ272*AQ187+AR272*AR187+AS272*AS187+AT272*AT187+AU272*AU187+AV272*AV187+AW272*AW187+AX272*AX187+AY272*AY187+AZ272*AZ187+BA272*BA187+BB272*BB187+BC272*BC187+BD272*BD187+BE272*BE187+BF272*BF187+BG272*BG187+BH272*BH187+BI272*BI187+BJ272*BJ187+BK272*BK187+BL272*BL187+BM272*BM187+BN272*BN187+BO272*BO187+BP272*BP187+BQ272*BQ187+BR272*BR187+BS272*BS187+BT272*BT187+BU272*BU187+BV272*BV187+BW272*BW187+BX272*BX187+BY272*BY187+BZ272*BZ187+CA272*CA187+CB272*CB187+CC272*CC187+CD272*CD187+CE272*CE187+CF272*CF187+CG272*CG187+CH272*CH187+CI272*CI187+CJ272*CJ187+CK272*CK187+CL272*CL187+CM272*CM187+CN272*CN187+CO272*CO187+CP272*CP187+CQ272*CQ187+CR272*CR187+CS272*CS187</f>
        <v>0</v>
      </c>
      <c r="DC187" s="2504">
        <f>E273*E187+F273*F187+G273*G187+H273*H187+I273*I187+J273*J187+K273*K187+L273*L187+M273*M187+N273*N187+O273*O187+P273*P187+Q273*Q187+R273*R187+S273*S187+T273*T187+U273*U187+V273*V187+W273*W187+X273*X187+Y273*Y187+Z273*Z187+AA273*AA187+AB273*AB187+AC273*AC187+AD273*AD187+AE273*AE187+AF273*AF187+AG273*AG187+AH273*AH187+AI273*AI187+AJ273*AJ187+AK273*AK187+AL273*AL187+AM273*AM187+AN273*AN187+AO273*AO187+AP273*AP187+AQ273*AQ187+AR273*AR187+AS273*AS187+AT273*AT187+AU273*AU187+AV273*AV187+AW273*AW187+AX273*AX187+AY273*AY187+AZ273*AZ187+BA273*BA187+BB273*BB187+BC273*BC187+BD273*BD187+BE273*BE187+BF273*BF187+BG273*BG187+BH273*BH187+BI273*BI187+BJ273*BJ187+BK273*BK187+BL273*BL187+BM273*BM187+BN273*BN187+BO273*BO187+BP273*BP187+BQ273*BQ187+BR273*BR187+BS273*BS187+BT273*BT187+BU273*BU187+BV273*BV187+BW273*BW187+BX273*BX187+BY273*BY187+BZ273*BZ187+CA273*CA187+CB273*CB187+CC273*CC187+CD273*CD187+CE273*CE187+CF273*CF187+CG273*CG187+CH273*CH187+CI273*CI187+CJ273*CJ187+CK273*CK187+CL273*CL187+CM273*CM187+CN273*CN187+CO273*CO187+CP273*CP187+CQ273*CQ187+CR273*CR187+CS273*CS187</f>
        <v>0</v>
      </c>
      <c r="DD187" s="2504">
        <f>E274*E187+F274*F187+G274*G187+H274*H187+I274*I187+J274*J187+K274*K187+L274*L187+M274*M187+N274*N187+O274*O187+P274*P187+Q274*Q187+R274*R187+S274*S187+T274*T187+U274*U187+V274*V187+W274*W187+X274*X187+Y274*Y187+Z274*Z187+AA274*AA187+AB274*AB187+AC274*AC187+AD274*AD187+AE274*AE187+AF274*AF187+AG274*AG187+AH274*AH187+AI274*AI187+AJ274*AJ187+AK274*AK187+AL274*AL187+AM274*AM187+AN274*AN187+AO274*AO187+AP274*AP187+AQ274*AQ187+AR274*AR187+AS274*AS187+AT274*AT187+AU274*AU187+AV274*AV187+AW274*AW187+AX274*AX187+AY274*AY187+AZ274*AZ187+BA274*BA187+BB274*BB187+BC274*BC187+BD274*BD187+BE274*BE187+BF274*BF187+BG274*BG187+BH274*BH187+BI274*BI187+BJ274*BJ187+BK274*BK187+BL274*BL187+BM274*BM187+BN274*BN187+BO274*BO187+BP274*BP187+BQ274*BQ187+BR274*BR187+BS274*BS187+BT274*BT187+BU274*BU187+BV274*BV187+BW274*BW187+BX274*BX187+BY274*BY187+BZ274*BZ187+CA274*CA187+CB274*CB187+CC274*CC187+CD274*CD187+CE274*CE187+CF274*CF187+CG274*CG187+CH274*CH187+CI274*CI187+CJ274*CJ187+CK274*CK187+CL274*CL187+CM274*CM187+CN274*CN187+CO274*CO187+CP274*CP187+CQ274*CQ187+CR274*CR187+CS274*CS187</f>
        <v>0</v>
      </c>
      <c r="DE187" s="2504">
        <f>E275*E187+F275*F187+G275*G187+H275*H187+I275*I187+J275*J187+K275*K187+L275*L187+M275*M187+N275*N187+O275*O187+P275*P187+Q275*Q187+R275*R187+S275*S187+T275*T187+U275*U187+V275*V187+W275*W187+X275*X187+Y275*Y187+Z275*Z187+AA275*AA187+AB275*AB187+AC275*AC187+AD275*AD187+AE275*AE187+AF275*AF187+AG275*AG187+AH275*AH187+AI275*AI187+AJ275*AJ187+AK275*AK187+AL275*AL187+AM275*AM187+AN275*AN187+AO275*AO187+AP275*AP187+AQ275*AQ187+AR275*AR187+AS275*AS187+AT275*AT187+AU275*AU187+AV275*AV187+AW275*AW187+AX275*AX187+AY275*AY187+AZ275*AZ187+BA275*BA187+BB275*BB187+BC275*BC187+BD275*BD187+BE275*BE187+BF275*BF187+BG275*BG187+BH275*BH187+BI275*BI187+BJ275*BJ187+BK275*BK187+BL275*BL187+BM275*BM187+BN275*BN187+BO275*BO187+BP275*BP187+BQ275*BQ187+BR275*BR187+BS275*BS187+BT275*BT187+BU275*BU187+BV275*BV187+BW275*BW187+BX275*BX187+BY275*BY187+BZ275*BZ187+CA275*CA187+CB275*CB187+CC275*CC187+CD275*CD187+CE275*CE187+CF275*CF187+CG275*CG187+CH275*CH187+CI275*CI187+CJ275*CJ187+CK275*CK187+CL275*CL187+CM275*CM187+CN275*CN187+CO275*CO187+CP275*CP187+CQ275*CQ187+CR275*CR187+CS275*CS187</f>
        <v>0</v>
      </c>
      <c r="DF187" s="2504">
        <f>E276*E187+F276*F187+G276*G187+H276*H187+I276*I187+J276*J187+K276*K187+L276*L187+M276*M187+N276*N187+O276*O187+P276*P187+Q276*Q187+R276*R187+S276*S187+T276*T187+U276*U187+V276*V187+W276*W187+X276*X187+Y276*Y187+Z276*Z187+AA276*AA187+AB276*AB187+AC276*AC187+AD276*AD187+AE276*AE187+AF276*AF187+AG276*AG187+AH276*AH187+AI276*AI187+AJ276*AJ187+AK276*AK187+AL276*AL187+AM276*AM187+AN276*AN187+AO276*AO187+AP276*AP187+AQ276*AQ187+AR276*AR187+AS276*AS187+AT276*AT187+AU276*AU187+AV276*AV187+AW276*AW187+AX276*AX187+AY276*AY187+AZ276*AZ187+BA276*BA187+BB276*BB187+BC276*BC187+BD276*BD187+BE276*BE187+BF276*BF187+BG276*BG187+BH276*BH187+BI276*BI187+BJ276*BJ187+BK276*BK187+BL276*BL187+BM276*BM187+BN276*BN187+BO276*BO187+BP276*BP187+BQ276*BQ187+BR276*BR187+BS276*BS187+BT276*BT187+BU276*BU187+BV276*BV187+BW276*BW187+BX276*BX187+BY276*BY187+BZ276*BZ187+CA276*CA187+CB276*CB187+CC276*CC187+CD276*CD187+CE276*CE187+CF276*CF187+CG276*CG187+CH276*CH187+CI276*CI187+CJ276*CJ187+CK276*CK187+CL276*CL187+CM276*CM187+CN276*CN187+CO276*CO187+CP276*CP187+CQ276*CQ187+CR276*CR187+CS276*CS187</f>
        <v>0</v>
      </c>
    </row>
    <row r="188" spans="2:110" x14ac:dyDescent="0.25">
      <c r="B188" s="1571">
        <v>46</v>
      </c>
      <c r="C188" s="531" t="s">
        <v>442</v>
      </c>
      <c r="D188" s="532" t="s">
        <v>2201</v>
      </c>
      <c r="E188" s="533">
        <f>0</f>
        <v>0</v>
      </c>
      <c r="F188" s="500">
        <f>0</f>
        <v>0</v>
      </c>
      <c r="G188" s="500">
        <f>0</f>
        <v>0</v>
      </c>
      <c r="H188" s="500">
        <f>0</f>
        <v>0</v>
      </c>
      <c r="I188" s="500">
        <f>0</f>
        <v>0</v>
      </c>
      <c r="J188" s="500">
        <f>1-f_E</f>
        <v>0.92</v>
      </c>
      <c r="K188" s="500">
        <f>0</f>
        <v>0</v>
      </c>
      <c r="L188" s="500">
        <f>0</f>
        <v>0</v>
      </c>
      <c r="M188" s="500">
        <f>0</f>
        <v>0</v>
      </c>
      <c r="N188" s="533">
        <f>0</f>
        <v>0</v>
      </c>
      <c r="O188" s="533">
        <f>0</f>
        <v>0</v>
      </c>
      <c r="P188" s="500">
        <f>f_E</f>
        <v>0.08</v>
      </c>
      <c r="Q188" s="500">
        <f>0</f>
        <v>0</v>
      </c>
      <c r="R188" s="500">
        <f>0</f>
        <v>0</v>
      </c>
      <c r="S188" s="500">
        <f>0</f>
        <v>0</v>
      </c>
      <c r="T188" s="500">
        <f>0</f>
        <v>0</v>
      </c>
      <c r="U188" s="500">
        <f>-1</f>
        <v>-1</v>
      </c>
      <c r="V188" s="500">
        <f>0</f>
        <v>0</v>
      </c>
      <c r="W188" s="500">
        <f>0</f>
        <v>0</v>
      </c>
      <c r="X188" s="500">
        <f>0</f>
        <v>0</v>
      </c>
      <c r="Y188" s="500">
        <f>0</f>
        <v>0</v>
      </c>
      <c r="Z188" s="500">
        <f>0</f>
        <v>0</v>
      </c>
      <c r="AA188" s="500">
        <f>-f_E*(i_N_XE-i_N_BIO)</f>
        <v>8.0000000000000069E-4</v>
      </c>
      <c r="AB188" s="500">
        <f>0</f>
        <v>0</v>
      </c>
      <c r="AC188" s="500">
        <f>0</f>
        <v>0</v>
      </c>
      <c r="AD188" s="500">
        <f>0</f>
        <v>0</v>
      </c>
      <c r="AE188" s="500">
        <f>0</f>
        <v>0</v>
      </c>
      <c r="AF188" s="500">
        <f>0</f>
        <v>0</v>
      </c>
      <c r="AG188" s="500">
        <f>0</f>
        <v>0</v>
      </c>
      <c r="AH188" s="500">
        <f>0</f>
        <v>0</v>
      </c>
      <c r="AI188" s="500">
        <f>0</f>
        <v>0</v>
      </c>
      <c r="AJ188" s="500">
        <f>0</f>
        <v>0</v>
      </c>
      <c r="AK188" s="500">
        <f>(1-f_E)*i_N_BIO</f>
        <v>6.4400000000000013E-2</v>
      </c>
      <c r="AL188" s="500">
        <f>0</f>
        <v>0</v>
      </c>
      <c r="AM188" s="500">
        <f>0</f>
        <v>0</v>
      </c>
      <c r="AN188" s="533">
        <f>0</f>
        <v>0</v>
      </c>
      <c r="AO188" s="500">
        <f>0</f>
        <v>0</v>
      </c>
      <c r="AP188" s="500">
        <f>0</f>
        <v>0</v>
      </c>
      <c r="AQ188" s="500">
        <f>(1-f_E)*i_P_BIO</f>
        <v>1.84E-2</v>
      </c>
      <c r="AR188" s="500">
        <f>0</f>
        <v>0</v>
      </c>
      <c r="AS188" s="500">
        <f>0</f>
        <v>0</v>
      </c>
      <c r="AT188" s="500">
        <f>0</f>
        <v>0</v>
      </c>
      <c r="AU188" s="500">
        <f>0</f>
        <v>0</v>
      </c>
      <c r="AV188" s="500">
        <f>(1-f_E)*(i_CIT_BIO-i_CIT_XBe)</f>
        <v>6.0720000000000003E-2</v>
      </c>
      <c r="AW188" s="533">
        <f>0</f>
        <v>0</v>
      </c>
      <c r="AX188" s="533">
        <f>0</f>
        <v>0</v>
      </c>
      <c r="AY188" s="533">
        <f>0</f>
        <v>0</v>
      </c>
      <c r="AZ188" s="533">
        <f>0</f>
        <v>0</v>
      </c>
      <c r="BA188" s="533">
        <f>0</f>
        <v>0</v>
      </c>
      <c r="BB188" s="533">
        <f>0</f>
        <v>0</v>
      </c>
      <c r="BC188" s="500">
        <f>0</f>
        <v>0</v>
      </c>
      <c r="BD188" s="500">
        <f>0</f>
        <v>0</v>
      </c>
      <c r="BE188" s="500">
        <f>0</f>
        <v>0</v>
      </c>
      <c r="BF188" s="500">
        <f>0</f>
        <v>0</v>
      </c>
      <c r="BG188" s="500">
        <f>0</f>
        <v>0</v>
      </c>
      <c r="BH188" s="500">
        <f>0</f>
        <v>0</v>
      </c>
      <c r="BI188" s="500">
        <f>0</f>
        <v>0</v>
      </c>
      <c r="BJ188" s="500">
        <f>0</f>
        <v>0</v>
      </c>
      <c r="BK188" s="500">
        <f>0</f>
        <v>0</v>
      </c>
      <c r="BL188" s="500">
        <f>0</f>
        <v>0</v>
      </c>
      <c r="BM188" s="500">
        <f>0</f>
        <v>0</v>
      </c>
      <c r="BN188" s="500">
        <f>0</f>
        <v>0</v>
      </c>
      <c r="BO188" s="500">
        <f>0</f>
        <v>0</v>
      </c>
      <c r="BP188" s="500">
        <f>0</f>
        <v>0</v>
      </c>
      <c r="BQ188" s="500">
        <f>0</f>
        <v>0</v>
      </c>
      <c r="BR188" s="500">
        <f>0</f>
        <v>0</v>
      </c>
      <c r="BS188" s="500">
        <f>0</f>
        <v>0</v>
      </c>
      <c r="BT188" s="500">
        <f>0</f>
        <v>0</v>
      </c>
      <c r="BU188" s="500">
        <f>0</f>
        <v>0</v>
      </c>
      <c r="BV188" s="500">
        <f>0</f>
        <v>0</v>
      </c>
      <c r="BW188" s="2357">
        <f>0</f>
        <v>0</v>
      </c>
      <c r="BX188" s="2357">
        <f>0</f>
        <v>0</v>
      </c>
      <c r="BY188" s="2357">
        <f>0</f>
        <v>0</v>
      </c>
      <c r="BZ188" s="2357">
        <f>0</f>
        <v>0</v>
      </c>
      <c r="CA188" s="500">
        <f>0</f>
        <v>0</v>
      </c>
      <c r="CB188" s="500">
        <f>0</f>
        <v>0</v>
      </c>
      <c r="CC188" s="500">
        <f>0</f>
        <v>0</v>
      </c>
      <c r="CD188" s="500">
        <f>0</f>
        <v>0</v>
      </c>
      <c r="CE188" s="500">
        <f>0</f>
        <v>0</v>
      </c>
      <c r="CF188" s="500">
        <f>0</f>
        <v>0</v>
      </c>
      <c r="CG188" s="500">
        <f>0</f>
        <v>0</v>
      </c>
      <c r="CH188" s="500">
        <f>0</f>
        <v>0</v>
      </c>
      <c r="CI188" s="500">
        <f>0</f>
        <v>0</v>
      </c>
      <c r="CJ188" s="500">
        <f>0</f>
        <v>0</v>
      </c>
      <c r="CK188" s="500">
        <f>0</f>
        <v>0</v>
      </c>
      <c r="CL188" s="500">
        <f>0</f>
        <v>0</v>
      </c>
      <c r="CM188" s="500">
        <f>0</f>
        <v>0</v>
      </c>
      <c r="CN188" s="500">
        <f>0</f>
        <v>0</v>
      </c>
      <c r="CO188" s="500">
        <f>0</f>
        <v>0</v>
      </c>
      <c r="CP188" s="500">
        <f>0</f>
        <v>0</v>
      </c>
      <c r="CQ188" s="500">
        <f>0</f>
        <v>0</v>
      </c>
      <c r="CR188" s="500">
        <f>0</f>
        <v>0</v>
      </c>
      <c r="CS188" s="500">
        <f>0</f>
        <v>0</v>
      </c>
      <c r="CT188" s="520">
        <f>b_AOB_T*X_AOB*(M_satSO2_KO2_AOB+η_b_anox*M_satSNOx_KNOx_AOB*M_inhSO2_KO2_AOB)</f>
        <v>5.045719298245614</v>
      </c>
      <c r="CV188" s="2502">
        <f>E266*E188+F266*F188+G266*G188+H266*H188+I266*I188+J266*J188+K266*K188+L266*L188+M266*M188+N266*N188+O266*O188+P266*P188+Q266*Q188+R266*R188+S266*S188+T266*T188+U266*U188+V266*V188+W266*W188+X266*X188+Y266*Y188+Z266*Z188+AA266*AA188+AB266*AB188+AC266*AC188+AD266*AD188+AE266*AE188+AF266*AF188+AG266*AG188+AH266*AH188+AI266*AI188+AJ266*AJ188+AK266*AK188+AL266*AL188+AM266*AM188+AN266*AN188+AO266*AO188+AP266*AP188+AQ266*AQ188+AR266*AR188+AS266*AS188+AT266*AT188+AU266*AU188+AV266*AV188+AW266*AW188+AX266*AX188+AY266*AY188+AZ266*AZ188+BA266*BA188+BB266*BB188+BC266*BC188+BD266*BD188+BE266*BE188+BF266*BF188+BG266*BG188+BH266*BH188+BI266*BI188+BJ266*BJ188+BK266*BK188+BL266*BL188+BM266*BM188+BN266*BN188+BO266*BO188+BP266*BP188+BQ266*BQ188+BR266*BR188+BS266*BS188+BT266*BT188+BU266*BU188+BV266*BV188+BW266*BW188+BX266*BX188+BY266*BY188+BZ266*BZ188+CA266*CA188+CB266*CB188+CC266*CC188+CD266*CD188+CE266*CE188+CF266*CF188+CG266*CG188+CH266*CH188+CI266*CI188+CJ266*CJ188+CK266*CK188+CL266*CL188+CM266*CM188+CN266*CN188+CO266*CO188+CP266*CP188+CQ266*CQ188+CR266*CR188+CS266*CS188</f>
        <v>0</v>
      </c>
      <c r="CW188" s="2502">
        <f>E267*E188+F267*F188+G267*G188+H267*H188+I267*I188+J267*J188+K267*K188+L267*L188+M267*M188+N267*N188+O267*O188+P267*P188+Q267*Q188+R267*R188+S267*S188+T267*T188+U267*U188+V267*V188+W267*W188+X267*X188+Y267*Y188+Z267*Z188+AA267*AA188+AB267*AB188+AC267*AC188+AD267*AD188+AE267*AE188+AF267*AF188+AG267*AG188+AH267*AH188+AI267*AI188+AJ267*AJ188+AK267*AK188+AL267*AL188+AM267*AM188+AN267*AN188+AO267*AO188+AP267*AP188+AQ267*AQ188+AR267*AR188+AS267*AS188+AT267*AT188+AU267*AU188+AV267*AV188+AW267*AW188+AX267*AX188+AY267*AY188+AZ267*AZ188+BA267*BA188+BB267*BB188+BC267*BC188+BD267*BD188+BE267*BE188+BF267*BF188+BG267*BG188+BH267*BH188+BI267*BI188+BJ267*BJ188+BK267*BK188+BL267*BL188+BM267*BM188+BN267*BN188+BO267*BO188+BP267*BP188+BQ267*BQ188+BR267*BR188+BS267*BS188+BT267*BT188+BU267*BU188+BV267*BV188+BW267*BW188+BX267*BX188+BY267*BY188+BZ267*BZ188+CA267*CA188+CB267*CB188+CC267*CC188+CD267*CD188+CE267*CE188+CF267*CF188+CG267*CG188+CH267*CH188+CI267*CI188+CJ267*CJ188+CK267*CK188+CL267*CL188+CM267*CM188+CN267*CN188+CO267*CO188+CP267*CP188+CQ267*CQ188+CR267*CR188+CS267*CS188</f>
        <v>6.9388939039072284E-18</v>
      </c>
      <c r="CX188" s="2503">
        <f>E268*E188+F268*F188+G268*G188+H268*H188+I268*I188+J268*J188+K268*K188+L268*L188+M268*M188+N268*N188+O268*O188+P268*P188+Q268*Q188+R268*R188+S268*S188+T268*T188+U268*U188+V268*V188+W268*W188+X268*X188+Y268*Y188+Z268*Z188+AA268*AA188+AB268*AB188+AC268*AC188+AD268*AD188+AE268*AE188+AF268*AF188+AG268*AG188+AH268*AH188+AI268*AI188+AJ268*AJ188+AK268*AK188+AL268*AL188+AM268*AM188+AN268*AN188+AO268*AO188+AP268*AP188+AQ268*AQ188+AR268*AR188+AS268*AS188+AT268*AT188+AU268*AU188+AV268*AV188+AW268*AW188+AX268*AX188+AY268*AY188+AZ268*AZ188+BA268*BA188+BB268*BB188+BC268*BC188+BD268*BD188+BE268*BE188+BF268*BF188+BG268*BG188+BH268*BH188+BI268*BI188+BJ268*BJ188+BK268*BK188+BL268*BL188+BM268*BM188+BN268*BN188+BO268*BO188+BP268*BP188+BQ268*BQ188+BR268*BR188+BS268*BS188+BT268*BT188+BU268*BU188+BV268*BV188+BW268*BW188+BX268*BX188+BY268*BY188+BZ268*BZ188+CA268*CA188+CB268*CB188+CC268*CC188+CD268*CD188+CE268*CE188+CF268*CF188+CG268*CG188+CH268*CH188+CI268*CI188+CJ268*CJ188+CK268*CK188+CL268*CL188+CM268*CM188+CN268*CN188+CO268*CO188+CP268*CP188+CQ268*CQ188+CR268*CR188+CS268*CS188</f>
        <v>0</v>
      </c>
      <c r="CY188" s="2504">
        <f>E269*E188+F269*F188+G269*G188+H269*H188+I269*I188+J269*J188+K269*K188+L269*L188+M269*M188+N269*N188+O269*O188+P269*P188+Q269*Q188+R269*R188+S269*S188+T269*T188+U269*U188+V269*V188+W269*W188+X269*X188+Y269*Y188+Z269*Z188+AA269*AA188+AB269*AB188+AC269*AC188+AD269*AD188+AE269*AE188+AF269*AF188+AG269*AG188+AH269*AH188+AI269*AI188+AJ269*AJ188+AK269*AK188+AL269*AL188+AM269*AM188+AN269*AN188+AO269*AO188+AP269*AP188+AQ269*AQ188+AR269*AR188+AS269*AS188+AT269*AT188+AU269*AU188+AV269*AV188+AW269*AW188+AX269*AX188+AY269*AY188+AZ269*AZ188+BA269*BA188+BB269*BB188+BC269*BC188+BD269*BD188+BE269*BE188+BF269*BF188+BG269*BG188+BH269*BH188+BI269*BI188+BJ269*BJ188+BK269*BK188+BL269*BL188+BM269*BM188+BN269*BN188+BO269*BO188+BP269*BP188+BQ269*BQ188+BR269*BR188+BS269*BS188+BT269*BT188+BU269*BU188+BV269*BV188+BW269*BW188+BX269*BX188+BY269*BY188+BZ269*BZ188+CA269*CA188+CB269*CB188+CC269*CC188+CD269*CD188+CE269*CE188+CF269*CF188+CG269*CG188+CH269*CH188+CI269*CI188+CJ269*CJ188+CK269*CK188+CL269*CL188+CM269*CM188+CN269*CN188+CO269*CO188+CP269*CP188+CQ269*CQ188+CR269*CR188+CS269*CS188</f>
        <v>0</v>
      </c>
      <c r="CZ188" s="2504">
        <f>E270*E188+F270*F188+G270*G188+H270*H188+I270*I188+J270*J188+K270*K188+L270*L188+M270*M188+N270*N188+O270*O188+P270*P188+Q270*Q188+R270*R188+S270*S188+T270*T188+U270*U188+V270*V188+W270*W188+X270*X188+Y270*Y188+Z270*Z188+AA270*AA188+AB270*AB188+AC270*AC188+AD270*AD188+AE270*AE188+AF270*AF188+AG270*AG188+AH270*AH188+AI270*AI188+AJ270*AJ188+AK270*AK188+AL270*AL188+AM270*AM188+AN270*AN188+AO270*AO188+AP270*AP188+AQ270*AQ188+AR270*AR188+AS270*AS188+AT270*AT188+AU270*AU188+AV270*AV188+AW270*AW188+AX270*AX188+AY270*AY188+AZ270*AZ188+BA270*BA188+BB270*BB188+BC270*BC188+BD270*BD188+BE270*BE188+BF270*BF188+BG270*BG188+BH270*BH188+BI270*BI188+BJ270*BJ188+BK270*BK188+BL270*BL188+BM270*BM188+BN270*BN188+BO270*BO188+BP270*BP188+BQ270*BQ188+BR270*BR188+BS270*BS188+BT270*BT188+BU270*BU188+BV270*BV188+BW270*BW188+BX270*BX188+BY270*BY188+BZ270*BZ188+CA270*CA188+CB270*CB188+CC270*CC188+CD270*CD188+CE270*CE188+CF270*CF188+CG270*CG188+CH270*CH188+CI270*CI188+CJ270*CJ188+CK270*CK188+CL270*CL188+CM270*CM188+CN270*CN188+CO270*CO188+CP270*CP188+CQ270*CQ188+CR270*CR188+CS270*CS188</f>
        <v>0</v>
      </c>
      <c r="DA188" s="2504">
        <f>E271*E188+F271*F188+G271*G188+H271*H188+I271*I188+J271*J188+K271*K188+L271*L188+M271*M188+N271*N188+O271*O188+P271*P188+Q271*Q188+R271*R188+S271*S188+T271*T188+U271*U188+V271*V188+W271*W188+X271*X188+Y271*Y188+Z271*Z188+AA271*AA188+AB271*AB188+AC271*AC188+AD271*AD188+AE271*AE188+AF271*AF188+AG271*AG188+AH271*AH188+AI271*AI188+AJ271*AJ188+AK271*AK188+AL271*AL188+AM271*AM188+AN271*AN188+AO271*AO188+AP271*AP188+AQ271*AQ188+AR271*AR188+AS271*AS188+AT271*AT188+AU271*AU188+AV271*AV188+AW271*AW188+AX271*AX188+AY271*AY188+AZ271*AZ188+BA271*BA188+BB271*BB188+BC271*BC188+BD271*BD188+BE271*BE188+BF271*BF188+BG271*BG188+BH271*BH188+BI271*BI188+BJ271*BJ188+BK271*BK188+BL271*BL188+BM271*BM188+BN271*BN188+BO271*BO188+BP271*BP188+BQ271*BQ188+BR271*BR188+BS271*BS188+BT271*BT188+BU271*BU188+BV271*BV188+BW271*BW188+BX271*BX188+BY271*BY188+BZ271*BZ188+CA271*CA188+CB271*CB188+CC271*CC188+CD271*CD188+CE271*CE188+CF271*CF188+CG271*CG188+CH271*CH188+CI271*CI188+CJ271*CJ188+CK271*CK188+CL271*CL188+CM271*CM188+CN271*CN188+CO271*CO188+CP271*CP188+CQ271*CQ188+CR271*CR188+CS271*CS188</f>
        <v>0</v>
      </c>
      <c r="DB188" s="2504">
        <f>E272*E188+F272*F188+G272*G188+H272*H188+I272*I188+J272*J188+K272*K188+L272*L188+M272*M188+N272*N188+O272*O188+P272*P188+Q272*Q188+R272*R188+S272*S188+T272*T188+U272*U188+V272*V188+W272*W188+X272*X188+Y272*Y188+Z272*Z188+AA272*AA188+AB272*AB188+AC272*AC188+AD272*AD188+AE272*AE188+AF272*AF188+AG272*AG188+AH272*AH188+AI272*AI188+AJ272*AJ188+AK272*AK188+AL272*AL188+AM272*AM188+AN272*AN188+AO272*AO188+AP272*AP188+AQ272*AQ188+AR272*AR188+AS272*AS188+AT272*AT188+AU272*AU188+AV272*AV188+AW272*AW188+AX272*AX188+AY272*AY188+AZ272*AZ188+BA272*BA188+BB272*BB188+BC272*BC188+BD272*BD188+BE272*BE188+BF272*BF188+BG272*BG188+BH272*BH188+BI272*BI188+BJ272*BJ188+BK272*BK188+BL272*BL188+BM272*BM188+BN272*BN188+BO272*BO188+BP272*BP188+BQ272*BQ188+BR272*BR188+BS272*BS188+BT272*BT188+BU272*BU188+BV272*BV188+BW272*BW188+BX272*BX188+BY272*BY188+BZ272*BZ188+CA272*CA188+CB272*CB188+CC272*CC188+CD272*CD188+CE272*CE188+CF272*CF188+CG272*CG188+CH272*CH188+CI272*CI188+CJ272*CJ188+CK272*CK188+CL272*CL188+CM272*CM188+CN272*CN188+CO272*CO188+CP272*CP188+CQ272*CQ188+CR272*CR188+CS272*CS188</f>
        <v>0</v>
      </c>
      <c r="DC188" s="2504">
        <f>E273*E188+F273*F188+G273*G188+H273*H188+I273*I188+J273*J188+K273*K188+L273*L188+M273*M188+N273*N188+O273*O188+P273*P188+Q273*Q188+R273*R188+S273*S188+T273*T188+U273*U188+V273*V188+W273*W188+X273*X188+Y273*Y188+Z273*Z188+AA273*AA188+AB273*AB188+AC273*AC188+AD273*AD188+AE273*AE188+AF273*AF188+AG273*AG188+AH273*AH188+AI273*AI188+AJ273*AJ188+AK273*AK188+AL273*AL188+AM273*AM188+AN273*AN188+AO273*AO188+AP273*AP188+AQ273*AQ188+AR273*AR188+AS273*AS188+AT273*AT188+AU273*AU188+AV273*AV188+AW273*AW188+AX273*AX188+AY273*AY188+AZ273*AZ188+BA273*BA188+BB273*BB188+BC273*BC188+BD273*BD188+BE273*BE188+BF273*BF188+BG273*BG188+BH273*BH188+BI273*BI188+BJ273*BJ188+BK273*BK188+BL273*BL188+BM273*BM188+BN273*BN188+BO273*BO188+BP273*BP188+BQ273*BQ188+BR273*BR188+BS273*BS188+BT273*BT188+BU273*BU188+BV273*BV188+BW273*BW188+BX273*BX188+BY273*BY188+BZ273*BZ188+CA273*CA188+CB273*CB188+CC273*CC188+CD273*CD188+CE273*CE188+CF273*CF188+CG273*CG188+CH273*CH188+CI273*CI188+CJ273*CJ188+CK273*CK188+CL273*CL188+CM273*CM188+CN273*CN188+CO273*CO188+CP273*CP188+CQ273*CQ188+CR273*CR188+CS273*CS188</f>
        <v>0</v>
      </c>
      <c r="DD188" s="2504">
        <f>E274*E188+F274*F188+G274*G188+H274*H188+I274*I188+J274*J188+K274*K188+L274*L188+M274*M188+N274*N188+O274*O188+P274*P188+Q274*Q188+R274*R188+S274*S188+T274*T188+U274*U188+V274*V188+W274*W188+X274*X188+Y274*Y188+Z274*Z188+AA274*AA188+AB274*AB188+AC274*AC188+AD274*AD188+AE274*AE188+AF274*AF188+AG274*AG188+AH274*AH188+AI274*AI188+AJ274*AJ188+AK274*AK188+AL274*AL188+AM274*AM188+AN274*AN188+AO274*AO188+AP274*AP188+AQ274*AQ188+AR274*AR188+AS274*AS188+AT274*AT188+AU274*AU188+AV274*AV188+AW274*AW188+AX274*AX188+AY274*AY188+AZ274*AZ188+BA274*BA188+BB274*BB188+BC274*BC188+BD274*BD188+BE274*BE188+BF274*BF188+BG274*BG188+BH274*BH188+BI274*BI188+BJ274*BJ188+BK274*BK188+BL274*BL188+BM274*BM188+BN274*BN188+BO274*BO188+BP274*BP188+BQ274*BQ188+BR274*BR188+BS274*BS188+BT274*BT188+BU274*BU188+BV274*BV188+BW274*BW188+BX274*BX188+BY274*BY188+BZ274*BZ188+CA274*CA188+CB274*CB188+CC274*CC188+CD274*CD188+CE274*CE188+CF274*CF188+CG274*CG188+CH274*CH188+CI274*CI188+CJ274*CJ188+CK274*CK188+CL274*CL188+CM274*CM188+CN274*CN188+CO274*CO188+CP274*CP188+CQ274*CQ188+CR274*CR188+CS274*CS188</f>
        <v>0</v>
      </c>
      <c r="DE188" s="2504">
        <f>E275*E188+F275*F188+G275*G188+H275*H188+I275*I188+J275*J188+K275*K188+L275*L188+M275*M188+N275*N188+O275*O188+P275*P188+Q275*Q188+R275*R188+S275*S188+T275*T188+U275*U188+V275*V188+W275*W188+X275*X188+Y275*Y188+Z275*Z188+AA275*AA188+AB275*AB188+AC275*AC188+AD275*AD188+AE275*AE188+AF275*AF188+AG275*AG188+AH275*AH188+AI275*AI188+AJ275*AJ188+AK275*AK188+AL275*AL188+AM275*AM188+AN275*AN188+AO275*AO188+AP275*AP188+AQ275*AQ188+AR275*AR188+AS275*AS188+AT275*AT188+AU275*AU188+AV275*AV188+AW275*AW188+AX275*AX188+AY275*AY188+AZ275*AZ188+BA275*BA188+BB275*BB188+BC275*BC188+BD275*BD188+BE275*BE188+BF275*BF188+BG275*BG188+BH275*BH188+BI275*BI188+BJ275*BJ188+BK275*BK188+BL275*BL188+BM275*BM188+BN275*BN188+BO275*BO188+BP275*BP188+BQ275*BQ188+BR275*BR188+BS275*BS188+BT275*BT188+BU275*BU188+BV275*BV188+BW275*BW188+BX275*BX188+BY275*BY188+BZ275*BZ188+CA275*CA188+CB275*CB188+CC275*CC188+CD275*CD188+CE275*CE188+CF275*CF188+CG275*CG188+CH275*CH188+CI275*CI188+CJ275*CJ188+CK275*CK188+CL275*CL188+CM275*CM188+CN275*CN188+CO275*CO188+CP275*CP188+CQ275*CQ188+CR275*CR188+CS275*CS188</f>
        <v>0</v>
      </c>
      <c r="DF188" s="2504">
        <f>E276*E188+F276*F188+G276*G188+H276*H188+I276*I188+J276*J188+K276*K188+L276*L188+M276*M188+N276*N188+O276*O188+P276*P188+Q276*Q188+R276*R188+S276*S188+T276*T188+U276*U188+V276*V188+W276*W188+X276*X188+Y276*Y188+Z276*Z188+AA276*AA188+AB276*AB188+AC276*AC188+AD276*AD188+AE276*AE188+AF276*AF188+AG276*AG188+AH276*AH188+AI276*AI188+AJ276*AJ188+AK276*AK188+AL276*AL188+AM276*AM188+AN276*AN188+AO276*AO188+AP276*AP188+AQ276*AQ188+AR276*AR188+AS276*AS188+AT276*AT188+AU276*AU188+AV276*AV188+AW276*AW188+AX276*AX188+AY276*AY188+AZ276*AZ188+BA276*BA188+BB276*BB188+BC276*BC188+BD276*BD188+BE276*BE188+BF276*BF188+BG276*BG188+BH276*BH188+BI276*BI188+BJ276*BJ188+BK276*BK188+BL276*BL188+BM276*BM188+BN276*BN188+BO276*BO188+BP276*BP188+BQ276*BQ188+BR276*BR188+BS276*BS188+BT276*BT188+BU276*BU188+BV276*BV188+BW276*BW188+BX276*BX188+BY276*BY188+BZ276*BZ188+CA276*CA188+CB276*CB188+CC276*CC188+CD276*CD188+CE276*CE188+CF276*CF188+CG276*CG188+CH276*CH188+CI276*CI188+CJ276*CJ188+CK276*CK188+CL276*CL188+CM276*CM188+CN276*CN188+CO276*CO188+CP276*CP188+CQ276*CQ188+CR276*CR188+CS276*CS188</f>
        <v>0</v>
      </c>
    </row>
    <row r="189" spans="2:110" x14ac:dyDescent="0.25">
      <c r="B189" s="1571">
        <v>47</v>
      </c>
      <c r="C189" s="531" t="s">
        <v>465</v>
      </c>
      <c r="D189" s="532" t="s">
        <v>2953</v>
      </c>
      <c r="E189" s="533">
        <f>0</f>
        <v>0</v>
      </c>
      <c r="F189" s="500">
        <f>0</f>
        <v>0</v>
      </c>
      <c r="G189" s="500">
        <f>0</f>
        <v>0</v>
      </c>
      <c r="H189" s="500">
        <f>0</f>
        <v>0</v>
      </c>
      <c r="I189" s="500">
        <f>0</f>
        <v>0</v>
      </c>
      <c r="J189" s="500">
        <f>1-f_E</f>
        <v>0.92</v>
      </c>
      <c r="K189" s="500">
        <f>0</f>
        <v>0</v>
      </c>
      <c r="L189" s="500">
        <f>0</f>
        <v>0</v>
      </c>
      <c r="M189" s="500">
        <f>0</f>
        <v>0</v>
      </c>
      <c r="N189" s="533">
        <f>0</f>
        <v>0</v>
      </c>
      <c r="O189" s="533">
        <f>0</f>
        <v>0</v>
      </c>
      <c r="P189" s="500">
        <f>0</f>
        <v>0</v>
      </c>
      <c r="Q189" s="500">
        <f>f_E</f>
        <v>0.08</v>
      </c>
      <c r="R189" s="500">
        <f>0</f>
        <v>0</v>
      </c>
      <c r="S189" s="500">
        <f>0</f>
        <v>0</v>
      </c>
      <c r="T189" s="500">
        <f>0</f>
        <v>0</v>
      </c>
      <c r="U189" s="500">
        <f>-1</f>
        <v>-1</v>
      </c>
      <c r="V189" s="500">
        <f>0</f>
        <v>0</v>
      </c>
      <c r="W189" s="500">
        <f>0</f>
        <v>0</v>
      </c>
      <c r="X189" s="500">
        <f>0</f>
        <v>0</v>
      </c>
      <c r="Y189" s="500">
        <f>0</f>
        <v>0</v>
      </c>
      <c r="Z189" s="500">
        <f>0</f>
        <v>0</v>
      </c>
      <c r="AA189" s="500">
        <f>-f_E*(i_N_XE-i_N_BIO)</f>
        <v>8.0000000000000069E-4</v>
      </c>
      <c r="AB189" s="500">
        <f>0</f>
        <v>0</v>
      </c>
      <c r="AC189" s="500">
        <f>0</f>
        <v>0</v>
      </c>
      <c r="AD189" s="500">
        <f>0</f>
        <v>0</v>
      </c>
      <c r="AE189" s="500">
        <f>0</f>
        <v>0</v>
      </c>
      <c r="AF189" s="500">
        <f>0</f>
        <v>0</v>
      </c>
      <c r="AG189" s="500">
        <f>0</f>
        <v>0</v>
      </c>
      <c r="AH189" s="500">
        <f>0</f>
        <v>0</v>
      </c>
      <c r="AI189" s="500">
        <f>0</f>
        <v>0</v>
      </c>
      <c r="AJ189" s="500">
        <f>0</f>
        <v>0</v>
      </c>
      <c r="AK189" s="500">
        <f>(1-f_E)*i_N_BIO</f>
        <v>6.4400000000000013E-2</v>
      </c>
      <c r="AL189" s="500">
        <f>0</f>
        <v>0</v>
      </c>
      <c r="AM189" s="500">
        <f>0</f>
        <v>0</v>
      </c>
      <c r="AN189" s="533">
        <f>0</f>
        <v>0</v>
      </c>
      <c r="AO189" s="500">
        <f>0</f>
        <v>0</v>
      </c>
      <c r="AP189" s="500">
        <f>0</f>
        <v>0</v>
      </c>
      <c r="AQ189" s="500">
        <f>(1-f_E)*i_P_BIO</f>
        <v>1.84E-2</v>
      </c>
      <c r="AR189" s="500">
        <f>0</f>
        <v>0</v>
      </c>
      <c r="AS189" s="500">
        <f>0</f>
        <v>0</v>
      </c>
      <c r="AT189" s="500">
        <f>0</f>
        <v>0</v>
      </c>
      <c r="AU189" s="500">
        <f>0</f>
        <v>0</v>
      </c>
      <c r="AV189" s="500">
        <f>(1-f_E)*(i_CIT_BIO-i_CIT_XBe)</f>
        <v>6.0720000000000003E-2</v>
      </c>
      <c r="AW189" s="533">
        <f>0</f>
        <v>0</v>
      </c>
      <c r="AX189" s="533">
        <f>0</f>
        <v>0</v>
      </c>
      <c r="AY189" s="533">
        <f>0</f>
        <v>0</v>
      </c>
      <c r="AZ189" s="533">
        <f>0</f>
        <v>0</v>
      </c>
      <c r="BA189" s="533">
        <f>0</f>
        <v>0</v>
      </c>
      <c r="BB189" s="533">
        <f>0</f>
        <v>0</v>
      </c>
      <c r="BC189" s="500">
        <f>0</f>
        <v>0</v>
      </c>
      <c r="BD189" s="500">
        <f>0</f>
        <v>0</v>
      </c>
      <c r="BE189" s="500">
        <f>0</f>
        <v>0</v>
      </c>
      <c r="BF189" s="500">
        <f>0</f>
        <v>0</v>
      </c>
      <c r="BG189" s="500">
        <f>0</f>
        <v>0</v>
      </c>
      <c r="BH189" s="500">
        <f>0</f>
        <v>0</v>
      </c>
      <c r="BI189" s="500">
        <f>0</f>
        <v>0</v>
      </c>
      <c r="BJ189" s="500">
        <f>0</f>
        <v>0</v>
      </c>
      <c r="BK189" s="500">
        <f>0</f>
        <v>0</v>
      </c>
      <c r="BL189" s="500">
        <f>0</f>
        <v>0</v>
      </c>
      <c r="BM189" s="500">
        <f>0</f>
        <v>0</v>
      </c>
      <c r="BN189" s="500">
        <f>0</f>
        <v>0</v>
      </c>
      <c r="BO189" s="500">
        <f>0</f>
        <v>0</v>
      </c>
      <c r="BP189" s="500">
        <f>0</f>
        <v>0</v>
      </c>
      <c r="BQ189" s="500">
        <f>0</f>
        <v>0</v>
      </c>
      <c r="BR189" s="500">
        <f>0</f>
        <v>0</v>
      </c>
      <c r="BS189" s="500">
        <f>0</f>
        <v>0</v>
      </c>
      <c r="BT189" s="500">
        <f>0</f>
        <v>0</v>
      </c>
      <c r="BU189" s="500">
        <f>0</f>
        <v>0</v>
      </c>
      <c r="BV189" s="500">
        <f>0</f>
        <v>0</v>
      </c>
      <c r="BW189" s="2357">
        <f>0</f>
        <v>0</v>
      </c>
      <c r="BX189" s="2357">
        <f>0</f>
        <v>0</v>
      </c>
      <c r="BY189" s="2357">
        <f>0</f>
        <v>0</v>
      </c>
      <c r="BZ189" s="2357">
        <f>0</f>
        <v>0</v>
      </c>
      <c r="CA189" s="500">
        <f>0</f>
        <v>0</v>
      </c>
      <c r="CB189" s="500">
        <f>0</f>
        <v>0</v>
      </c>
      <c r="CC189" s="500">
        <f>0</f>
        <v>0</v>
      </c>
      <c r="CD189" s="500">
        <f>0</f>
        <v>0</v>
      </c>
      <c r="CE189" s="500">
        <f>0</f>
        <v>0</v>
      </c>
      <c r="CF189" s="500">
        <f>0</f>
        <v>0</v>
      </c>
      <c r="CG189" s="500">
        <f>0</f>
        <v>0</v>
      </c>
      <c r="CH189" s="500">
        <f>0</f>
        <v>0</v>
      </c>
      <c r="CI189" s="500">
        <f>0</f>
        <v>0</v>
      </c>
      <c r="CJ189" s="500">
        <f>0</f>
        <v>0</v>
      </c>
      <c r="CK189" s="500">
        <f>0</f>
        <v>0</v>
      </c>
      <c r="CL189" s="500">
        <f>0</f>
        <v>0</v>
      </c>
      <c r="CM189" s="500">
        <f>0</f>
        <v>0</v>
      </c>
      <c r="CN189" s="500">
        <f>0</f>
        <v>0</v>
      </c>
      <c r="CO189" s="500">
        <f>0</f>
        <v>0</v>
      </c>
      <c r="CP189" s="500">
        <f>0</f>
        <v>0</v>
      </c>
      <c r="CQ189" s="500">
        <f>0</f>
        <v>0</v>
      </c>
      <c r="CR189" s="500">
        <f>0</f>
        <v>0</v>
      </c>
      <c r="CS189" s="500">
        <f>0</f>
        <v>0</v>
      </c>
      <c r="CT189" s="520">
        <f>b_AOB_T*X_AOB*(η_b_ana*M_inhSNOx_KNOx_AOB*M_inhSO2_KO2_AOB+m_tox_ana)</f>
        <v>1.6403508771929826E-3</v>
      </c>
      <c r="CV189" s="2502">
        <f>E266*E189+F266*F189+G266*G189+H266*H189+I266*I189+J266*J189+K266*K189+L266*L189+M266*M189+N266*N189+O266*O189+P266*P189+Q266*Q189+R266*R189+S266*S189+T266*T189+U266*U189+V266*V189+W266*W189+X266*X189+Y266*Y189+Z266*Z189+AA266*AA189+AB266*AB189+AC266*AC189+AD266*AD189+AE266*AE189+AF266*AF189+AG266*AG189+AH266*AH189+AI266*AI189+AJ266*AJ189+AK266*AK189+AL266*AL189+AM266*AM189+AN266*AN189+AO266*AO189+AP266*AP189+AQ266*AQ189+AR266*AR189+AS266*AS189+AT266*AT189+AU266*AU189+AV266*AV189+AW266*AW189+AX266*AX189+AY266*AY189+AZ266*AZ189+BA266*BA189+BB266*BB189+BC266*BC189+BD266*BD189+BE266*BE189+BF266*BF189+BG266*BG189+BH266*BH189+BI266*BI189+BJ266*BJ189+BK266*BK189+BL266*BL189+BM266*BM189+BN266*BN189+BO266*BO189+BP266*BP189+BQ266*BQ189+BR266*BR189+BS266*BS189+BT266*BT189+BU266*BU189+BV266*BV189+BW266*BW189+BX266*BX189+BY266*BY189+BZ266*BZ189+CA266*CA189+CB266*CB189+CC266*CC189+CD266*CD189+CE266*CE189+CF266*CF189+CG266*CG189+CH266*CH189+CI266*CI189+CJ266*CJ189+CK266*CK189+CL266*CL189+CM266*CM189+CN266*CN189+CO266*CO189+CP266*CP189+CQ266*CQ189+CR266*CR189+CS266*CS189</f>
        <v>0</v>
      </c>
      <c r="CW189" s="2502">
        <f>E267*E189+F267*F189+G267*G189+H267*H189+I267*I189+J267*J189+K267*K189+L267*L189+M267*M189+N267*N189+O267*O189+P267*P189+Q267*Q189+R267*R189+S267*S189+T267*T189+U267*U189+V267*V189+W267*W189+X267*X189+Y267*Y189+Z267*Z189+AA267*AA189+AB267*AB189+AC267*AC189+AD267*AD189+AE267*AE189+AF267*AF189+AG267*AG189+AH267*AH189+AI267*AI189+AJ267*AJ189+AK267*AK189+AL267*AL189+AM267*AM189+AN267*AN189+AO267*AO189+AP267*AP189+AQ267*AQ189+AR267*AR189+AS267*AS189+AT267*AT189+AU267*AU189+AV267*AV189+AW267*AW189+AX267*AX189+AY267*AY189+AZ267*AZ189+BA267*BA189+BB267*BB189+BC267*BC189+BD267*BD189+BE267*BE189+BF267*BF189+BG267*BG189+BH267*BH189+BI267*BI189+BJ267*BJ189+BK267*BK189+BL267*BL189+BM267*BM189+BN267*BN189+BO267*BO189+BP267*BP189+BQ267*BQ189+BR267*BR189+BS267*BS189+BT267*BT189+BU267*BU189+BV267*BV189+BW267*BW189+BX267*BX189+BY267*BY189+BZ267*BZ189+CA267*CA189+CB267*CB189+CC267*CC189+CD267*CD189+CE267*CE189+CF267*CF189+CG267*CG189+CH267*CH189+CI267*CI189+CJ267*CJ189+CK267*CK189+CL267*CL189+CM267*CM189+CN267*CN189+CO267*CO189+CP267*CP189+CQ267*CQ189+CR267*CR189+CS267*CS189</f>
        <v>6.9388939039072284E-18</v>
      </c>
      <c r="CX189" s="2503">
        <f>E268*E189+F268*F189+G268*G189+H268*H189+I268*I189+J268*J189+K268*K189+L268*L189+M268*M189+N268*N189+O268*O189+P268*P189+Q268*Q189+R268*R189+S268*S189+T268*T189+U268*U189+V268*V189+W268*W189+X268*X189+Y268*Y189+Z268*Z189+AA268*AA189+AB268*AB189+AC268*AC189+AD268*AD189+AE268*AE189+AF268*AF189+AG268*AG189+AH268*AH189+AI268*AI189+AJ268*AJ189+AK268*AK189+AL268*AL189+AM268*AM189+AN268*AN189+AO268*AO189+AP268*AP189+AQ268*AQ189+AR268*AR189+AS268*AS189+AT268*AT189+AU268*AU189+AV268*AV189+AW268*AW189+AX268*AX189+AY268*AY189+AZ268*AZ189+BA268*BA189+BB268*BB189+BC268*BC189+BD268*BD189+BE268*BE189+BF268*BF189+BG268*BG189+BH268*BH189+BI268*BI189+BJ268*BJ189+BK268*BK189+BL268*BL189+BM268*BM189+BN268*BN189+BO268*BO189+BP268*BP189+BQ268*BQ189+BR268*BR189+BS268*BS189+BT268*BT189+BU268*BU189+BV268*BV189+BW268*BW189+BX268*BX189+BY268*BY189+BZ268*BZ189+CA268*CA189+CB268*CB189+CC268*CC189+CD268*CD189+CE268*CE189+CF268*CF189+CG268*CG189+CH268*CH189+CI268*CI189+CJ268*CJ189+CK268*CK189+CL268*CL189+CM268*CM189+CN268*CN189+CO268*CO189+CP268*CP189+CQ268*CQ189+CR268*CR189+CS268*CS189</f>
        <v>0</v>
      </c>
      <c r="CY189" s="2504">
        <f>E269*E189+F269*F189+G269*G189+H269*H189+I269*I189+J269*J189+K269*K189+L269*L189+M269*M189+N269*N189+O269*O189+P269*P189+Q269*Q189+R269*R189+S269*S189+T269*T189+U269*U189+V269*V189+W269*W189+X269*X189+Y269*Y189+Z269*Z189+AA269*AA189+AB269*AB189+AC269*AC189+AD269*AD189+AE269*AE189+AF269*AF189+AG269*AG189+AH269*AH189+AI269*AI189+AJ269*AJ189+AK269*AK189+AL269*AL189+AM269*AM189+AN269*AN189+AO269*AO189+AP269*AP189+AQ269*AQ189+AR269*AR189+AS269*AS189+AT269*AT189+AU269*AU189+AV269*AV189+AW269*AW189+AX269*AX189+AY269*AY189+AZ269*AZ189+BA269*BA189+BB269*BB189+BC269*BC189+BD269*BD189+BE269*BE189+BF269*BF189+BG269*BG189+BH269*BH189+BI269*BI189+BJ269*BJ189+BK269*BK189+BL269*BL189+BM269*BM189+BN269*BN189+BO269*BO189+BP269*BP189+BQ269*BQ189+BR269*BR189+BS269*BS189+BT269*BT189+BU269*BU189+BV269*BV189+BW269*BW189+BX269*BX189+BY269*BY189+BZ269*BZ189+CA269*CA189+CB269*CB189+CC269*CC189+CD269*CD189+CE269*CE189+CF269*CF189+CG269*CG189+CH269*CH189+CI269*CI189+CJ269*CJ189+CK269*CK189+CL269*CL189+CM269*CM189+CN269*CN189+CO269*CO189+CP269*CP189+CQ269*CQ189+CR269*CR189+CS269*CS189</f>
        <v>0</v>
      </c>
      <c r="CZ189" s="2504">
        <f>E270*E189+F270*F189+G270*G189+H270*H189+I270*I189+J270*J189+K270*K189+L270*L189+M270*M189+N270*N189+O270*O189+P270*P189+Q270*Q189+R270*R189+S270*S189+T270*T189+U270*U189+V270*V189+W270*W189+X270*X189+Y270*Y189+Z270*Z189+AA270*AA189+AB270*AB189+AC270*AC189+AD270*AD189+AE270*AE189+AF270*AF189+AG270*AG189+AH270*AH189+AI270*AI189+AJ270*AJ189+AK270*AK189+AL270*AL189+AM270*AM189+AN270*AN189+AO270*AO189+AP270*AP189+AQ270*AQ189+AR270*AR189+AS270*AS189+AT270*AT189+AU270*AU189+AV270*AV189+AW270*AW189+AX270*AX189+AY270*AY189+AZ270*AZ189+BA270*BA189+BB270*BB189+BC270*BC189+BD270*BD189+BE270*BE189+BF270*BF189+BG270*BG189+BH270*BH189+BI270*BI189+BJ270*BJ189+BK270*BK189+BL270*BL189+BM270*BM189+BN270*BN189+BO270*BO189+BP270*BP189+BQ270*BQ189+BR270*BR189+BS270*BS189+BT270*BT189+BU270*BU189+BV270*BV189+BW270*BW189+BX270*BX189+BY270*BY189+BZ270*BZ189+CA270*CA189+CB270*CB189+CC270*CC189+CD270*CD189+CE270*CE189+CF270*CF189+CG270*CG189+CH270*CH189+CI270*CI189+CJ270*CJ189+CK270*CK189+CL270*CL189+CM270*CM189+CN270*CN189+CO270*CO189+CP270*CP189+CQ270*CQ189+CR270*CR189+CS270*CS189</f>
        <v>0</v>
      </c>
      <c r="DA189" s="2504">
        <f>E271*E189+F271*F189+G271*G189+H271*H189+I271*I189+J271*J189+K271*K189+L271*L189+M271*M189+N271*N189+O271*O189+P271*P189+Q271*Q189+R271*R189+S271*S189+T271*T189+U271*U189+V271*V189+W271*W189+X271*X189+Y271*Y189+Z271*Z189+AA271*AA189+AB271*AB189+AC271*AC189+AD271*AD189+AE271*AE189+AF271*AF189+AG271*AG189+AH271*AH189+AI271*AI189+AJ271*AJ189+AK271*AK189+AL271*AL189+AM271*AM189+AN271*AN189+AO271*AO189+AP271*AP189+AQ271*AQ189+AR271*AR189+AS271*AS189+AT271*AT189+AU271*AU189+AV271*AV189+AW271*AW189+AX271*AX189+AY271*AY189+AZ271*AZ189+BA271*BA189+BB271*BB189+BC271*BC189+BD271*BD189+BE271*BE189+BF271*BF189+BG271*BG189+BH271*BH189+BI271*BI189+BJ271*BJ189+BK271*BK189+BL271*BL189+BM271*BM189+BN271*BN189+BO271*BO189+BP271*BP189+BQ271*BQ189+BR271*BR189+BS271*BS189+BT271*BT189+BU271*BU189+BV271*BV189+BW271*BW189+BX271*BX189+BY271*BY189+BZ271*BZ189+CA271*CA189+CB271*CB189+CC271*CC189+CD271*CD189+CE271*CE189+CF271*CF189+CG271*CG189+CH271*CH189+CI271*CI189+CJ271*CJ189+CK271*CK189+CL271*CL189+CM271*CM189+CN271*CN189+CO271*CO189+CP271*CP189+CQ271*CQ189+CR271*CR189+CS271*CS189</f>
        <v>0</v>
      </c>
      <c r="DB189" s="2504">
        <f>E272*E189+F272*F189+G272*G189+H272*H189+I272*I189+J272*J189+K272*K189+L272*L189+M272*M189+N272*N189+O272*O189+P272*P189+Q272*Q189+R272*R189+S272*S189+T272*T189+U272*U189+V272*V189+W272*W189+X272*X189+Y272*Y189+Z272*Z189+AA272*AA189+AB272*AB189+AC272*AC189+AD272*AD189+AE272*AE189+AF272*AF189+AG272*AG189+AH272*AH189+AI272*AI189+AJ272*AJ189+AK272*AK189+AL272*AL189+AM272*AM189+AN272*AN189+AO272*AO189+AP272*AP189+AQ272*AQ189+AR272*AR189+AS272*AS189+AT272*AT189+AU272*AU189+AV272*AV189+AW272*AW189+AX272*AX189+AY272*AY189+AZ272*AZ189+BA272*BA189+BB272*BB189+BC272*BC189+BD272*BD189+BE272*BE189+BF272*BF189+BG272*BG189+BH272*BH189+BI272*BI189+BJ272*BJ189+BK272*BK189+BL272*BL189+BM272*BM189+BN272*BN189+BO272*BO189+BP272*BP189+BQ272*BQ189+BR272*BR189+BS272*BS189+BT272*BT189+BU272*BU189+BV272*BV189+BW272*BW189+BX272*BX189+BY272*BY189+BZ272*BZ189+CA272*CA189+CB272*CB189+CC272*CC189+CD272*CD189+CE272*CE189+CF272*CF189+CG272*CG189+CH272*CH189+CI272*CI189+CJ272*CJ189+CK272*CK189+CL272*CL189+CM272*CM189+CN272*CN189+CO272*CO189+CP272*CP189+CQ272*CQ189+CR272*CR189+CS272*CS189</f>
        <v>0</v>
      </c>
      <c r="DC189" s="2504">
        <f>E273*E189+F273*F189+G273*G189+H273*H189+I273*I189+J273*J189+K273*K189+L273*L189+M273*M189+N273*N189+O273*O189+P273*P189+Q273*Q189+R273*R189+S273*S189+T273*T189+U273*U189+V273*V189+W273*W189+X273*X189+Y273*Y189+Z273*Z189+AA273*AA189+AB273*AB189+AC273*AC189+AD273*AD189+AE273*AE189+AF273*AF189+AG273*AG189+AH273*AH189+AI273*AI189+AJ273*AJ189+AK273*AK189+AL273*AL189+AM273*AM189+AN273*AN189+AO273*AO189+AP273*AP189+AQ273*AQ189+AR273*AR189+AS273*AS189+AT273*AT189+AU273*AU189+AV273*AV189+AW273*AW189+AX273*AX189+AY273*AY189+AZ273*AZ189+BA273*BA189+BB273*BB189+BC273*BC189+BD273*BD189+BE273*BE189+BF273*BF189+BG273*BG189+BH273*BH189+BI273*BI189+BJ273*BJ189+BK273*BK189+BL273*BL189+BM273*BM189+BN273*BN189+BO273*BO189+BP273*BP189+BQ273*BQ189+BR273*BR189+BS273*BS189+BT273*BT189+BU273*BU189+BV273*BV189+BW273*BW189+BX273*BX189+BY273*BY189+BZ273*BZ189+CA273*CA189+CB273*CB189+CC273*CC189+CD273*CD189+CE273*CE189+CF273*CF189+CG273*CG189+CH273*CH189+CI273*CI189+CJ273*CJ189+CK273*CK189+CL273*CL189+CM273*CM189+CN273*CN189+CO273*CO189+CP273*CP189+CQ273*CQ189+CR273*CR189+CS273*CS189</f>
        <v>0</v>
      </c>
      <c r="DD189" s="2504">
        <f>E274*E189+F274*F189+G274*G189+H274*H189+I274*I189+J274*J189+K274*K189+L274*L189+M274*M189+N274*N189+O274*O189+P274*P189+Q274*Q189+R274*R189+S274*S189+T274*T189+U274*U189+V274*V189+W274*W189+X274*X189+Y274*Y189+Z274*Z189+AA274*AA189+AB274*AB189+AC274*AC189+AD274*AD189+AE274*AE189+AF274*AF189+AG274*AG189+AH274*AH189+AI274*AI189+AJ274*AJ189+AK274*AK189+AL274*AL189+AM274*AM189+AN274*AN189+AO274*AO189+AP274*AP189+AQ274*AQ189+AR274*AR189+AS274*AS189+AT274*AT189+AU274*AU189+AV274*AV189+AW274*AW189+AX274*AX189+AY274*AY189+AZ274*AZ189+BA274*BA189+BB274*BB189+BC274*BC189+BD274*BD189+BE274*BE189+BF274*BF189+BG274*BG189+BH274*BH189+BI274*BI189+BJ274*BJ189+BK274*BK189+BL274*BL189+BM274*BM189+BN274*BN189+BO274*BO189+BP274*BP189+BQ274*BQ189+BR274*BR189+BS274*BS189+BT274*BT189+BU274*BU189+BV274*BV189+BW274*BW189+BX274*BX189+BY274*BY189+BZ274*BZ189+CA274*CA189+CB274*CB189+CC274*CC189+CD274*CD189+CE274*CE189+CF274*CF189+CG274*CG189+CH274*CH189+CI274*CI189+CJ274*CJ189+CK274*CK189+CL274*CL189+CM274*CM189+CN274*CN189+CO274*CO189+CP274*CP189+CQ274*CQ189+CR274*CR189+CS274*CS189</f>
        <v>0</v>
      </c>
      <c r="DE189" s="2504">
        <f>E275*E189+F275*F189+G275*G189+H275*H189+I275*I189+J275*J189+K275*K189+L275*L189+M275*M189+N275*N189+O275*O189+P275*P189+Q275*Q189+R275*R189+S275*S189+T275*T189+U275*U189+V275*V189+W275*W189+X275*X189+Y275*Y189+Z275*Z189+AA275*AA189+AB275*AB189+AC275*AC189+AD275*AD189+AE275*AE189+AF275*AF189+AG275*AG189+AH275*AH189+AI275*AI189+AJ275*AJ189+AK275*AK189+AL275*AL189+AM275*AM189+AN275*AN189+AO275*AO189+AP275*AP189+AQ275*AQ189+AR275*AR189+AS275*AS189+AT275*AT189+AU275*AU189+AV275*AV189+AW275*AW189+AX275*AX189+AY275*AY189+AZ275*AZ189+BA275*BA189+BB275*BB189+BC275*BC189+BD275*BD189+BE275*BE189+BF275*BF189+BG275*BG189+BH275*BH189+BI275*BI189+BJ275*BJ189+BK275*BK189+BL275*BL189+BM275*BM189+BN275*BN189+BO275*BO189+BP275*BP189+BQ275*BQ189+BR275*BR189+BS275*BS189+BT275*BT189+BU275*BU189+BV275*BV189+BW275*BW189+BX275*BX189+BY275*BY189+BZ275*BZ189+CA275*CA189+CB275*CB189+CC275*CC189+CD275*CD189+CE275*CE189+CF275*CF189+CG275*CG189+CH275*CH189+CI275*CI189+CJ275*CJ189+CK275*CK189+CL275*CL189+CM275*CM189+CN275*CN189+CO275*CO189+CP275*CP189+CQ275*CQ189+CR275*CR189+CS275*CS189</f>
        <v>0</v>
      </c>
      <c r="DF189" s="2504">
        <f>E276*E189+F276*F189+G276*G189+H276*H189+I276*I189+J276*J189+K276*K189+L276*L189+M276*M189+N276*N189+O276*O189+P276*P189+Q276*Q189+R276*R189+S276*S189+T276*T189+U276*U189+V276*V189+W276*W189+X276*X189+Y276*Y189+Z276*Z189+AA276*AA189+AB276*AB189+AC276*AC189+AD276*AD189+AE276*AE189+AF276*AF189+AG276*AG189+AH276*AH189+AI276*AI189+AJ276*AJ189+AK276*AK189+AL276*AL189+AM276*AM189+AN276*AN189+AO276*AO189+AP276*AP189+AQ276*AQ189+AR276*AR189+AS276*AS189+AT276*AT189+AU276*AU189+AV276*AV189+AW276*AW189+AX276*AX189+AY276*AY189+AZ276*AZ189+BA276*BA189+BB276*BB189+BC276*BC189+BD276*BD189+BE276*BE189+BF276*BF189+BG276*BG189+BH276*BH189+BI276*BI189+BJ276*BJ189+BK276*BK189+BL276*BL189+BM276*BM189+BN276*BN189+BO276*BO189+BP276*BP189+BQ276*BQ189+BR276*BR189+BS276*BS189+BT276*BT189+BU276*BU189+BV276*BV189+BW276*BW189+BX276*BX189+BY276*BY189+BZ276*BZ189+CA276*CA189+CB276*CB189+CC276*CC189+CD276*CD189+CE276*CE189+CF276*CF189+CG276*CG189+CH276*CH189+CI276*CI189+CJ276*CJ189+CK276*CK189+CL276*CL189+CM276*CM189+CN276*CN189+CO276*CO189+CP276*CP189+CQ276*CQ189+CR276*CR189+CS276*CS189</f>
        <v>0</v>
      </c>
    </row>
    <row r="190" spans="2:110" x14ac:dyDescent="0.25">
      <c r="B190" s="1574">
        <v>48</v>
      </c>
      <c r="C190" s="534" t="s">
        <v>466</v>
      </c>
      <c r="D190" s="535" t="s">
        <v>2202</v>
      </c>
      <c r="E190" s="501">
        <f>0</f>
        <v>0</v>
      </c>
      <c r="F190" s="501">
        <f>0</f>
        <v>0</v>
      </c>
      <c r="G190" s="501">
        <f>0</f>
        <v>0</v>
      </c>
      <c r="H190" s="501">
        <f>0</f>
        <v>0</v>
      </c>
      <c r="I190" s="501">
        <f>0</f>
        <v>0</v>
      </c>
      <c r="J190" s="501">
        <f>0</f>
        <v>0</v>
      </c>
      <c r="K190" s="501">
        <f>0</f>
        <v>0</v>
      </c>
      <c r="L190" s="501">
        <f>0</f>
        <v>0</v>
      </c>
      <c r="M190" s="501">
        <f>0</f>
        <v>0</v>
      </c>
      <c r="N190" s="501">
        <f>0</f>
        <v>0</v>
      </c>
      <c r="O190" s="501">
        <f>0</f>
        <v>0</v>
      </c>
      <c r="P190" s="501">
        <f>0</f>
        <v>0</v>
      </c>
      <c r="Q190" s="501">
        <f>0</f>
        <v>0</v>
      </c>
      <c r="R190" s="501">
        <f>0</f>
        <v>0</v>
      </c>
      <c r="S190" s="501">
        <f>0</f>
        <v>0</v>
      </c>
      <c r="T190" s="501">
        <f>0</f>
        <v>0</v>
      </c>
      <c r="U190" s="501">
        <f>0</f>
        <v>0</v>
      </c>
      <c r="V190" s="501">
        <f>1</f>
        <v>1</v>
      </c>
      <c r="W190" s="501">
        <f>0</f>
        <v>0</v>
      </c>
      <c r="X190" s="501">
        <f>0</f>
        <v>0</v>
      </c>
      <c r="Y190" s="501">
        <f>0</f>
        <v>0</v>
      </c>
      <c r="Z190" s="501">
        <f>0</f>
        <v>0</v>
      </c>
      <c r="AA190" s="501">
        <f>-i_N_BIO</f>
        <v>-7.0000000000000007E-2</v>
      </c>
      <c r="AB190" s="501">
        <f>0</f>
        <v>0</v>
      </c>
      <c r="AC190" s="501">
        <f>1/Y_NOB</f>
        <v>11.111111111111111</v>
      </c>
      <c r="AD190" s="501">
        <f>-1/Y_NOB</f>
        <v>-11.111111111111111</v>
      </c>
      <c r="AE190" s="501">
        <f>0</f>
        <v>0</v>
      </c>
      <c r="AF190" s="501">
        <f>0</f>
        <v>0</v>
      </c>
      <c r="AG190" s="501">
        <f>0</f>
        <v>0</v>
      </c>
      <c r="AH190" s="501">
        <f>0</f>
        <v>0</v>
      </c>
      <c r="AI190" s="501">
        <f>0</f>
        <v>0</v>
      </c>
      <c r="AJ190" s="501">
        <f>0</f>
        <v>0</v>
      </c>
      <c r="AK190" s="501">
        <f>0</f>
        <v>0</v>
      </c>
      <c r="AL190" s="501">
        <f>0</f>
        <v>0</v>
      </c>
      <c r="AM190" s="501">
        <f>-i_P_BIO</f>
        <v>-0.02</v>
      </c>
      <c r="AN190" s="501">
        <f>0</f>
        <v>0</v>
      </c>
      <c r="AO190" s="501">
        <f>0</f>
        <v>0</v>
      </c>
      <c r="AP190" s="501">
        <f>0</f>
        <v>0</v>
      </c>
      <c r="AQ190" s="501">
        <f>0</f>
        <v>0</v>
      </c>
      <c r="AR190" s="501">
        <f>0</f>
        <v>0</v>
      </c>
      <c r="AS190" s="501">
        <f>-(E_EQNO2_NO3-Y_NOB)/Y_NOB</f>
        <v>-11.691862545147043</v>
      </c>
      <c r="AT190" s="501">
        <f>0</f>
        <v>0</v>
      </c>
      <c r="AU190" s="501">
        <f>0</f>
        <v>0</v>
      </c>
      <c r="AV190" s="501">
        <f>-i_CIT_BIO</f>
        <v>-0.35199999999999998</v>
      </c>
      <c r="AW190" s="501">
        <f>i_INORG</f>
        <v>0.11</v>
      </c>
      <c r="AX190" s="501">
        <f>-i_INORG*(1-i_Ca_INORG*(A_MCa+2*A_MCl)/A_MCa-i_Mg_INORG*(A_MMg+2*A_MCl)/A_MMg)*f_Na</f>
        <v>-2.8804303582798466E-2</v>
      </c>
      <c r="AY190" s="501">
        <f>-i_INORG*(i_Ca_INORG*(2*A_MCl)/A_MCa+i_Mg_INORG*(2*A_MCl)/A_MMg)-i_INORG*(1-i_Ca_INORG*(A_MCa+2*A_MCl)/A_MCa-i_Mg_INORG*(A_MMg+2*A_MCl)/A_MMg)*(1-f_Na)</f>
        <v>-7.0195696417201539E-2</v>
      </c>
      <c r="AZ190" s="501">
        <f>-i_INORG*i_Ca_INORG</f>
        <v>-5.5000000000000005E-3</v>
      </c>
      <c r="BA190" s="501">
        <f>-i_INORG*i_Mg_INORG</f>
        <v>-5.5000000000000005E-3</v>
      </c>
      <c r="BB190" s="501">
        <f>0</f>
        <v>0</v>
      </c>
      <c r="BC190" s="501">
        <f>0</f>
        <v>0</v>
      </c>
      <c r="BD190" s="501">
        <f>0</f>
        <v>0</v>
      </c>
      <c r="BE190" s="501">
        <f>0</f>
        <v>0</v>
      </c>
      <c r="BF190" s="501">
        <f>0</f>
        <v>0</v>
      </c>
      <c r="BG190" s="501">
        <f>0</f>
        <v>0</v>
      </c>
      <c r="BH190" s="501">
        <f>0</f>
        <v>0</v>
      </c>
      <c r="BI190" s="501">
        <f>0</f>
        <v>0</v>
      </c>
      <c r="BJ190" s="501">
        <f>0</f>
        <v>0</v>
      </c>
      <c r="BK190" s="501">
        <f>0</f>
        <v>0</v>
      </c>
      <c r="BL190" s="501">
        <f>0</f>
        <v>0</v>
      </c>
      <c r="BM190" s="501">
        <f>0</f>
        <v>0</v>
      </c>
      <c r="BN190" s="501">
        <f>0</f>
        <v>0</v>
      </c>
      <c r="BO190" s="501">
        <f>0</f>
        <v>0</v>
      </c>
      <c r="BP190" s="501">
        <f>0</f>
        <v>0</v>
      </c>
      <c r="BQ190" s="501">
        <f>0</f>
        <v>0</v>
      </c>
      <c r="BR190" s="501">
        <f>0</f>
        <v>0</v>
      </c>
      <c r="BS190" s="501">
        <f>0</f>
        <v>0</v>
      </c>
      <c r="BT190" s="501">
        <f>0</f>
        <v>0</v>
      </c>
      <c r="BU190" s="501">
        <f>0</f>
        <v>0</v>
      </c>
      <c r="BV190" s="501">
        <f>0</f>
        <v>0</v>
      </c>
      <c r="BW190" s="2358">
        <f>0</f>
        <v>0</v>
      </c>
      <c r="BX190" s="2358">
        <f>0</f>
        <v>0</v>
      </c>
      <c r="BY190" s="2358">
        <f>0</f>
        <v>0</v>
      </c>
      <c r="BZ190" s="2358">
        <f>0</f>
        <v>0</v>
      </c>
      <c r="CA190" s="501">
        <f>0</f>
        <v>0</v>
      </c>
      <c r="CB190" s="501">
        <f>0</f>
        <v>0</v>
      </c>
      <c r="CC190" s="501">
        <f>0</f>
        <v>0</v>
      </c>
      <c r="CD190" s="501">
        <f>0</f>
        <v>0</v>
      </c>
      <c r="CE190" s="501">
        <f>0</f>
        <v>0</v>
      </c>
      <c r="CF190" s="501">
        <f>0</f>
        <v>0</v>
      </c>
      <c r="CG190" s="501">
        <f>0</f>
        <v>0</v>
      </c>
      <c r="CH190" s="501">
        <f>0</f>
        <v>0</v>
      </c>
      <c r="CI190" s="501">
        <f>0</f>
        <v>0</v>
      </c>
      <c r="CJ190" s="501">
        <f>0</f>
        <v>0</v>
      </c>
      <c r="CK190" s="501">
        <f>0</f>
        <v>0</v>
      </c>
      <c r="CL190" s="501">
        <f>0</f>
        <v>0</v>
      </c>
      <c r="CM190" s="501">
        <f>0</f>
        <v>0</v>
      </c>
      <c r="CN190" s="501">
        <f>0</f>
        <v>0</v>
      </c>
      <c r="CO190" s="501">
        <f>0</f>
        <v>0</v>
      </c>
      <c r="CP190" s="501">
        <f>0</f>
        <v>0</v>
      </c>
      <c r="CQ190" s="501">
        <f>0</f>
        <v>0</v>
      </c>
      <c r="CR190" s="501">
        <f>0</f>
        <v>0</v>
      </c>
      <c r="CS190" s="501">
        <f>0</f>
        <v>0</v>
      </c>
      <c r="CT190" s="2476">
        <f>µ_NOB_T*X_NOB*M_inhSNH2OH_KNH2OH_NOB*M_satSNO2_KNO2_NOB*L_ogsatpHCO2_NOB*M_satSO2_KO2_NOB*M_satSNHx_KNHx_BIO*M_satSPO4_KPO4_BIO*M_satSCAT_KCAT*M_satSAN_KAN*M_satSCa_KCa*M_satSMg_KMg*M_inhpHNH3_NOB*B_ellinhpH_NOB</f>
        <v>5.0395915269746325</v>
      </c>
      <c r="CV190" s="2502">
        <f>E266*E190+F266*F190+G266*G190+H266*H190+I266*I190+J266*J190+K266*K190+L266*L190+M266*M190+N266*N190+O266*O190+P266*P190+Q266*Q190+R266*R190+S266*S190+T266*T190+U266*U190+V266*V190+W266*W190+X266*X190+Y266*Y190+Z266*Z190+AA266*AA190+AB266*AB190+AC266*AC190+AD266*AD190+AE266*AE190+AF266*AF190+AG266*AG190+AH266*AH190+AI266*AI190+AJ266*AJ190+AK266*AK190+AL266*AL190+AM266*AM190+AN266*AN190+AO266*AO190+AP266*AP190+AQ266*AQ190+AR266*AR190+AS266*AS190+AT266*AT190+AU266*AU190+AV266*AV190+AW266*AW190+AX266*AX190+AY266*AY190+AZ266*AZ190+BA266*BA190+BB266*BB190+BC266*BC190+BD266*BD190+BE266*BE190+BF266*BF190+BG266*BG190+BH266*BH190+BI266*BI190+BJ266*BJ190+BK266*BK190+BL266*BL190+BM266*BM190+BN266*BN190+BO266*BO190+BP266*BP190+BQ266*BQ190+BR266*BR190+BS266*BS190+BT266*BT190+BU266*BU190+BV266*BV190+BW266*BW190+BX266*BX190+BY266*BY190+BZ266*BZ190+CA266*CA190+CB266*CB190+CC266*CC190+CD266*CD190+CE266*CE190+CF266*CF190+CG266*CG190+CH266*CH190+CI266*CI190+CJ266*CJ190+CK266*CK190+CL266*CL190+CM266*CM190+CN266*CN190+CO266*CO190+CP266*CP190+CQ266*CQ190+CR266*CR190+CS266*CS190</f>
        <v>-3.5527136788005009E-15</v>
      </c>
      <c r="CW190" s="2502">
        <f>E267*E190+F267*F190+G267*G190+H267*H190+I267*I190+J267*J190+K267*K190+L267*L190+M267*M190+N267*N190+O267*O190+P267*P190+Q267*Q190+R267*R190+S267*S190+T267*T190+U267*U190+V267*V190+W267*W190+X267*X190+Y267*Y190+Z267*Z190+AA267*AA190+AB267*AB190+AC267*AC190+AD267*AD190+AE267*AE190+AF267*AF190+AG267*AG190+AH267*AH190+AI267*AI190+AJ267*AJ190+AK267*AK190+AL267*AL190+AM267*AM190+AN267*AN190+AO267*AO190+AP267*AP190+AQ267*AQ190+AR267*AR190+AS267*AS190+AT267*AT190+AU267*AU190+AV267*AV190+AW267*AW190+AX267*AX190+AY267*AY190+AZ267*AZ190+BA267*BA190+BB267*BB190+BC267*BC190+BD267*BD190+BE267*BE190+BF267*BF190+BG267*BG190+BH267*BH190+BI267*BI190+BJ267*BJ190+BK267*BK190+BL267*BL190+BM267*BM190+BN267*BN190+BO267*BO190+BP267*BP190+BQ267*BQ190+BR267*BR190+BS267*BS190+BT267*BT190+BU267*BU190+BV267*BV190+BW267*BW190+BX267*BX190+BY267*BY190+BZ267*BZ190+CA267*CA190+CB267*CB190+CC267*CC190+CD267*CD190+CE267*CE190+CF267*CF190+CG267*CG190+CH267*CH190+CI267*CI190+CJ267*CJ190+CK267*CK190+CL267*CL190+CM267*CM190+CN267*CN190+CO267*CO190+CP267*CP190+CQ267*CQ190+CR267*CR190+CS267*CS190</f>
        <v>0</v>
      </c>
      <c r="CX190" s="2503">
        <f>E268*E190+F268*F190+G268*G190+H268*H190+I268*I190+J268*J190+K268*K190+L268*L190+M268*M190+N268*N190+O268*O190+P268*P190+Q268*Q190+R268*R190+S268*S190+T268*T190+U268*U190+V268*V190+W268*W190+X268*X190+Y268*Y190+Z268*Z190+AA268*AA190+AB268*AB190+AC268*AC190+AD268*AD190+AE268*AE190+AF268*AF190+AG268*AG190+AH268*AH190+AI268*AI190+AJ268*AJ190+AK268*AK190+AL268*AL190+AM268*AM190+AN268*AN190+AO268*AO190+AP268*AP190+AQ268*AQ190+AR268*AR190+AS268*AS190+AT268*AT190+AU268*AU190+AV268*AV190+AW268*AW190+AX268*AX190+AY268*AY190+AZ268*AZ190+BA268*BA190+BB268*BB190+BC268*BC190+BD268*BD190+BE268*BE190+BF268*BF190+BG268*BG190+BH268*BH190+BI268*BI190+BJ268*BJ190+BK268*BK190+BL268*BL190+BM268*BM190+BN268*BN190+BO268*BO190+BP268*BP190+BQ268*BQ190+BR268*BR190+BS268*BS190+BT268*BT190+BU268*BU190+BV268*BV190+BW268*BW190+BX268*BX190+BY268*BY190+BZ268*BZ190+CA268*CA190+CB268*CB190+CC268*CC190+CD268*CD190+CE268*CE190+CF268*CF190+CG268*CG190+CH268*CH190+CI268*CI190+CJ268*CJ190+CK268*CK190+CL268*CL190+CM268*CM190+CN268*CN190+CO268*CO190+CP268*CP190+CQ268*CQ190+CR268*CR190+CS268*CS190</f>
        <v>0</v>
      </c>
      <c r="CY190" s="2504">
        <f>E269*E190+F269*F190+G269*G190+H269*H190+I269*I190+J269*J190+K269*K190+L269*L190+M269*M190+N269*N190+O269*O190+P269*P190+Q269*Q190+R269*R190+S269*S190+T269*T190+U269*U190+V269*V190+W269*W190+X269*X190+Y269*Y190+Z269*Z190+AA269*AA190+AB269*AB190+AC269*AC190+AD269*AD190+AE269*AE190+AF269*AF190+AG269*AG190+AH269*AH190+AI269*AI190+AJ269*AJ190+AK269*AK190+AL269*AL190+AM269*AM190+AN269*AN190+AO269*AO190+AP269*AP190+AQ269*AQ190+AR269*AR190+AS269*AS190+AT269*AT190+AU269*AU190+AV269*AV190+AW269*AW190+AX269*AX190+AY269*AY190+AZ269*AZ190+BA269*BA190+BB269*BB190+BC269*BC190+BD269*BD190+BE269*BE190+BF269*BF190+BG269*BG190+BH269*BH190+BI269*BI190+BJ269*BJ190+BK269*BK190+BL269*BL190+BM269*BM190+BN269*BN190+BO269*BO190+BP269*BP190+BQ269*BQ190+BR269*BR190+BS269*BS190+BT269*BT190+BU269*BU190+BV269*BV190+BW269*BW190+BX269*BX190+BY269*BY190+BZ269*BZ190+CA269*CA190+CB269*CB190+CC269*CC190+CD269*CD190+CE269*CE190+CF269*CF190+CG269*CG190+CH269*CH190+CI269*CI190+CJ269*CJ190+CK269*CK190+CL269*CL190+CM269*CM190+CN269*CN190+CO269*CO190+CP269*CP190+CQ269*CQ190+CR269*CR190+CS269*CS190</f>
        <v>0</v>
      </c>
      <c r="CZ190" s="2504">
        <f>E270*E190+F270*F190+G270*G190+H270*H190+I270*I190+J270*J190+K270*K190+L270*L190+M270*M190+N270*N190+O270*O190+P270*P190+Q270*Q190+R270*R190+S270*S190+T270*T190+U270*U190+V270*V190+W270*W190+X270*X190+Y270*Y190+Z270*Z190+AA270*AA190+AB270*AB190+AC270*AC190+AD270*AD190+AE270*AE190+AF270*AF190+AG270*AG190+AH270*AH190+AI270*AI190+AJ270*AJ190+AK270*AK190+AL270*AL190+AM270*AM190+AN270*AN190+AO270*AO190+AP270*AP190+AQ270*AQ190+AR270*AR190+AS270*AS190+AT270*AT190+AU270*AU190+AV270*AV190+AW270*AW190+AX270*AX190+AY270*AY190+AZ270*AZ190+BA270*BA190+BB270*BB190+BC270*BC190+BD270*BD190+BE270*BE190+BF270*BF190+BG270*BG190+BH270*BH190+BI270*BI190+BJ270*BJ190+BK270*BK190+BL270*BL190+BM270*BM190+BN270*BN190+BO270*BO190+BP270*BP190+BQ270*BQ190+BR270*BR190+BS270*BS190+BT270*BT190+BU270*BU190+BV270*BV190+BW270*BW190+BX270*BX190+BY270*BY190+BZ270*BZ190+CA270*CA190+CB270*CB190+CC270*CC190+CD270*CD190+CE270*CE190+CF270*CF190+CG270*CG190+CH270*CH190+CI270*CI190+CJ270*CJ190+CK270*CK190+CL270*CL190+CM270*CM190+CN270*CN190+CO270*CO190+CP270*CP190+CQ270*CQ190+CR270*CR190+CS270*CS190</f>
        <v>0</v>
      </c>
      <c r="DA190" s="2504">
        <f>E271*E190+F271*F190+G271*G190+H271*H190+I271*I190+J271*J190+K271*K190+L271*L190+M271*M190+N271*N190+O271*O190+P271*P190+Q271*Q190+R271*R190+S271*S190+T271*T190+U271*U190+V271*V190+W271*W190+X271*X190+Y271*Y190+Z271*Z190+AA271*AA190+AB271*AB190+AC271*AC190+AD271*AD190+AE271*AE190+AF271*AF190+AG271*AG190+AH271*AH190+AI271*AI190+AJ271*AJ190+AK271*AK190+AL271*AL190+AM271*AM190+AN271*AN190+AO271*AO190+AP271*AP190+AQ271*AQ190+AR271*AR190+AS271*AS190+AT271*AT190+AU271*AU190+AV271*AV190+AW271*AW190+AX271*AX190+AY271*AY190+AZ271*AZ190+BA271*BA190+BB271*BB190+BC271*BC190+BD271*BD190+BE271*BE190+BF271*BF190+BG271*BG190+BH271*BH190+BI271*BI190+BJ271*BJ190+BK271*BK190+BL271*BL190+BM271*BM190+BN271*BN190+BO271*BO190+BP271*BP190+BQ271*BQ190+BR271*BR190+BS271*BS190+BT271*BT190+BU271*BU190+BV271*BV190+BW271*BW190+BX271*BX190+BY271*BY190+BZ271*BZ190+CA271*CA190+CB271*CB190+CC271*CC190+CD271*CD190+CE271*CE190+CF271*CF190+CG271*CG190+CH271*CH190+CI271*CI190+CJ271*CJ190+CK271*CK190+CL271*CL190+CM271*CM190+CN271*CN190+CO271*CO190+CP271*CP190+CQ271*CQ190+CR271*CR190+CS271*CS190</f>
        <v>0</v>
      </c>
      <c r="DB190" s="2504">
        <f>E272*E190+F272*F190+G272*G190+H272*H190+I272*I190+J272*J190+K272*K190+L272*L190+M272*M190+N272*N190+O272*O190+P272*P190+Q272*Q190+R272*R190+S272*S190+T272*T190+U272*U190+V272*V190+W272*W190+X272*X190+Y272*Y190+Z272*Z190+AA272*AA190+AB272*AB190+AC272*AC190+AD272*AD190+AE272*AE190+AF272*AF190+AG272*AG190+AH272*AH190+AI272*AI190+AJ272*AJ190+AK272*AK190+AL272*AL190+AM272*AM190+AN272*AN190+AO272*AO190+AP272*AP190+AQ272*AQ190+AR272*AR190+AS272*AS190+AT272*AT190+AU272*AU190+AV272*AV190+AW272*AW190+AX272*AX190+AY272*AY190+AZ272*AZ190+BA272*BA190+BB272*BB190+BC272*BC190+BD272*BD190+BE272*BE190+BF272*BF190+BG272*BG190+BH272*BH190+BI272*BI190+BJ272*BJ190+BK272*BK190+BL272*BL190+BM272*BM190+BN272*BN190+BO272*BO190+BP272*BP190+BQ272*BQ190+BR272*BR190+BS272*BS190+BT272*BT190+BU272*BU190+BV272*BV190+BW272*BW190+BX272*BX190+BY272*BY190+BZ272*BZ190+CA272*CA190+CB272*CB190+CC272*CC190+CD272*CD190+CE272*CE190+CF272*CF190+CG272*CG190+CH272*CH190+CI272*CI190+CJ272*CJ190+CK272*CK190+CL272*CL190+CM272*CM190+CN272*CN190+CO272*CO190+CP272*CP190+CQ272*CQ190+CR272*CR190+CS272*CS190</f>
        <v>0</v>
      </c>
      <c r="DC190" s="2504">
        <f>E273*E190+F273*F190+G273*G190+H273*H190+I273*I190+J273*J190+K273*K190+L273*L190+M273*M190+N273*N190+O273*O190+P273*P190+Q273*Q190+R273*R190+S273*S190+T273*T190+U273*U190+V273*V190+W273*W190+X273*X190+Y273*Y190+Z273*Z190+AA273*AA190+AB273*AB190+AC273*AC190+AD273*AD190+AE273*AE190+AF273*AF190+AG273*AG190+AH273*AH190+AI273*AI190+AJ273*AJ190+AK273*AK190+AL273*AL190+AM273*AM190+AN273*AN190+AO273*AO190+AP273*AP190+AQ273*AQ190+AR273*AR190+AS273*AS190+AT273*AT190+AU273*AU190+AV273*AV190+AW273*AW190+AX273*AX190+AY273*AY190+AZ273*AZ190+BA273*BA190+BB273*BB190+BC273*BC190+BD273*BD190+BE273*BE190+BF273*BF190+BG273*BG190+BH273*BH190+BI273*BI190+BJ273*BJ190+BK273*BK190+BL273*BL190+BM273*BM190+BN273*BN190+BO273*BO190+BP273*BP190+BQ273*BQ190+BR273*BR190+BS273*BS190+BT273*BT190+BU273*BU190+BV273*BV190+BW273*BW190+BX273*BX190+BY273*BY190+BZ273*BZ190+CA273*CA190+CB273*CB190+CC273*CC190+CD273*CD190+CE273*CE190+CF273*CF190+CG273*CG190+CH273*CH190+CI273*CI190+CJ273*CJ190+CK273*CK190+CL273*CL190+CM273*CM190+CN273*CN190+CO273*CO190+CP273*CP190+CQ273*CQ190+CR273*CR190+CS273*CS190</f>
        <v>0</v>
      </c>
      <c r="DD190" s="2504">
        <f>E274*E190+F274*F190+G274*G190+H274*H190+I274*I190+J274*J190+K274*K190+L274*L190+M274*M190+N274*N190+O274*O190+P274*P190+Q274*Q190+R274*R190+S274*S190+T274*T190+U274*U190+V274*V190+W274*W190+X274*X190+Y274*Y190+Z274*Z190+AA274*AA190+AB274*AB190+AC274*AC190+AD274*AD190+AE274*AE190+AF274*AF190+AG274*AG190+AH274*AH190+AI274*AI190+AJ274*AJ190+AK274*AK190+AL274*AL190+AM274*AM190+AN274*AN190+AO274*AO190+AP274*AP190+AQ274*AQ190+AR274*AR190+AS274*AS190+AT274*AT190+AU274*AU190+AV274*AV190+AW274*AW190+AX274*AX190+AY274*AY190+AZ274*AZ190+BA274*BA190+BB274*BB190+BC274*BC190+BD274*BD190+BE274*BE190+BF274*BF190+BG274*BG190+BH274*BH190+BI274*BI190+BJ274*BJ190+BK274*BK190+BL274*BL190+BM274*BM190+BN274*BN190+BO274*BO190+BP274*BP190+BQ274*BQ190+BR274*BR190+BS274*BS190+BT274*BT190+BU274*BU190+BV274*BV190+BW274*BW190+BX274*BX190+BY274*BY190+BZ274*BZ190+CA274*CA190+CB274*CB190+CC274*CC190+CD274*CD190+CE274*CE190+CF274*CF190+CG274*CG190+CH274*CH190+CI274*CI190+CJ274*CJ190+CK274*CK190+CL274*CL190+CM274*CM190+CN274*CN190+CO274*CO190+CP274*CP190+CQ274*CQ190+CR274*CR190+CS274*CS190</f>
        <v>0</v>
      </c>
      <c r="DE190" s="2504">
        <f>E275*E190+F275*F190+G275*G190+H275*H190+I275*I190+J275*J190+K275*K190+L275*L190+M275*M190+N275*N190+O275*O190+P275*P190+Q275*Q190+R275*R190+S275*S190+T275*T190+U275*U190+V275*V190+W275*W190+X275*X190+Y275*Y190+Z275*Z190+AA275*AA190+AB275*AB190+AC275*AC190+AD275*AD190+AE275*AE190+AF275*AF190+AG275*AG190+AH275*AH190+AI275*AI190+AJ275*AJ190+AK275*AK190+AL275*AL190+AM275*AM190+AN275*AN190+AO275*AO190+AP275*AP190+AQ275*AQ190+AR275*AR190+AS275*AS190+AT275*AT190+AU275*AU190+AV275*AV190+AW275*AW190+AX275*AX190+AY275*AY190+AZ275*AZ190+BA275*BA190+BB275*BB190+BC275*BC190+BD275*BD190+BE275*BE190+BF275*BF190+BG275*BG190+BH275*BH190+BI275*BI190+BJ275*BJ190+BK275*BK190+BL275*BL190+BM275*BM190+BN275*BN190+BO275*BO190+BP275*BP190+BQ275*BQ190+BR275*BR190+BS275*BS190+BT275*BT190+BU275*BU190+BV275*BV190+BW275*BW190+BX275*BX190+BY275*BY190+BZ275*BZ190+CA275*CA190+CB275*CB190+CC275*CC190+CD275*CD190+CE275*CE190+CF275*CF190+CG275*CG190+CH275*CH190+CI275*CI190+CJ275*CJ190+CK275*CK190+CL275*CL190+CM275*CM190+CN275*CN190+CO275*CO190+CP275*CP190+CQ275*CQ190+CR275*CR190+CS275*CS190</f>
        <v>0</v>
      </c>
      <c r="DF190" s="2504">
        <f>E276*E190+F276*F190+G276*G190+H276*H190+I276*I190+J276*J190+K276*K190+L276*L190+M276*M190+N276*N190+O276*O190+P276*P190+Q276*Q190+R276*R190+S276*S190+T276*T190+U276*U190+V276*V190+W276*W190+X276*X190+Y276*Y190+Z276*Z190+AA276*AA190+AB276*AB190+AC276*AC190+AD276*AD190+AE276*AE190+AF276*AF190+AG276*AG190+AH276*AH190+AI276*AI190+AJ276*AJ190+AK276*AK190+AL276*AL190+AM276*AM190+AN276*AN190+AO276*AO190+AP276*AP190+AQ276*AQ190+AR276*AR190+AS276*AS190+AT276*AT190+AU276*AU190+AV276*AV190+AW276*AW190+AX276*AX190+AY276*AY190+AZ276*AZ190+BA276*BA190+BB276*BB190+BC276*BC190+BD276*BD190+BE276*BE190+BF276*BF190+BG276*BG190+BH276*BH190+BI276*BI190+BJ276*BJ190+BK276*BK190+BL276*BL190+BM276*BM190+BN276*BN190+BO276*BO190+BP276*BP190+BQ276*BQ190+BR276*BR190+BS276*BS190+BT276*BT190+BU276*BU190+BV276*BV190+BW276*BW190+BX276*BX190+BY276*BY190+BZ276*BZ190+CA276*CA190+CB276*CB190+CC276*CC190+CD276*CD190+CE276*CE190+CF276*CF190+CG276*CG190+CH276*CH190+CI276*CI190+CJ276*CJ190+CK276*CK190+CL276*CL190+CM276*CM190+CN276*CN190+CO276*CO190+CP276*CP190+CQ276*CQ190+CR276*CR190+CS276*CS190</f>
        <v>0</v>
      </c>
    </row>
    <row r="191" spans="2:110" x14ac:dyDescent="0.25">
      <c r="B191" s="1574">
        <v>49</v>
      </c>
      <c r="C191" s="534" t="s">
        <v>467</v>
      </c>
      <c r="D191" s="535" t="s">
        <v>2203</v>
      </c>
      <c r="E191" s="501">
        <f>0</f>
        <v>0</v>
      </c>
      <c r="F191" s="501">
        <f>0</f>
        <v>0</v>
      </c>
      <c r="G191" s="501">
        <f>0</f>
        <v>0</v>
      </c>
      <c r="H191" s="501">
        <f>0</f>
        <v>0</v>
      </c>
      <c r="I191" s="501">
        <f>0</f>
        <v>0</v>
      </c>
      <c r="J191" s="501">
        <f>1-f_E</f>
        <v>0.92</v>
      </c>
      <c r="K191" s="501">
        <f>0</f>
        <v>0</v>
      </c>
      <c r="L191" s="501">
        <f>0</f>
        <v>0</v>
      </c>
      <c r="M191" s="501">
        <f>0</f>
        <v>0</v>
      </c>
      <c r="N191" s="501">
        <f>0</f>
        <v>0</v>
      </c>
      <c r="O191" s="501">
        <f>0</f>
        <v>0</v>
      </c>
      <c r="P191" s="501">
        <f>f_E</f>
        <v>0.08</v>
      </c>
      <c r="Q191" s="501">
        <f>0</f>
        <v>0</v>
      </c>
      <c r="R191" s="501">
        <f>0</f>
        <v>0</v>
      </c>
      <c r="S191" s="501">
        <f>0</f>
        <v>0</v>
      </c>
      <c r="T191" s="501">
        <f>0</f>
        <v>0</v>
      </c>
      <c r="U191" s="501">
        <f>0</f>
        <v>0</v>
      </c>
      <c r="V191" s="501">
        <f>-1</f>
        <v>-1</v>
      </c>
      <c r="W191" s="501">
        <f>0</f>
        <v>0</v>
      </c>
      <c r="X191" s="501">
        <f>0</f>
        <v>0</v>
      </c>
      <c r="Y191" s="501">
        <f>0</f>
        <v>0</v>
      </c>
      <c r="Z191" s="501">
        <f>0</f>
        <v>0</v>
      </c>
      <c r="AA191" s="501">
        <f>-f_E*(i_N_XE-i_N_BIO)</f>
        <v>8.0000000000000069E-4</v>
      </c>
      <c r="AB191" s="501">
        <f>0</f>
        <v>0</v>
      </c>
      <c r="AC191" s="501">
        <f>0</f>
        <v>0</v>
      </c>
      <c r="AD191" s="501">
        <f>0</f>
        <v>0</v>
      </c>
      <c r="AE191" s="501">
        <f>0</f>
        <v>0</v>
      </c>
      <c r="AF191" s="501">
        <f>0</f>
        <v>0</v>
      </c>
      <c r="AG191" s="501">
        <f>0</f>
        <v>0</v>
      </c>
      <c r="AH191" s="501">
        <f>0</f>
        <v>0</v>
      </c>
      <c r="AI191" s="501">
        <f>0</f>
        <v>0</v>
      </c>
      <c r="AJ191" s="501">
        <f>0</f>
        <v>0</v>
      </c>
      <c r="AK191" s="501">
        <f>(1-f_E)*i_N_BIO</f>
        <v>6.4400000000000013E-2</v>
      </c>
      <c r="AL191" s="501">
        <f>0</f>
        <v>0</v>
      </c>
      <c r="AM191" s="501">
        <f>0</f>
        <v>0</v>
      </c>
      <c r="AN191" s="501">
        <f>0</f>
        <v>0</v>
      </c>
      <c r="AO191" s="501">
        <f>0</f>
        <v>0</v>
      </c>
      <c r="AP191" s="501">
        <f>0</f>
        <v>0</v>
      </c>
      <c r="AQ191" s="501">
        <f>(1-f_E)*i_P_BIO</f>
        <v>1.84E-2</v>
      </c>
      <c r="AR191" s="501">
        <f>0</f>
        <v>0</v>
      </c>
      <c r="AS191" s="501">
        <f>0</f>
        <v>0</v>
      </c>
      <c r="AT191" s="501">
        <f>0</f>
        <v>0</v>
      </c>
      <c r="AU191" s="501">
        <f>0</f>
        <v>0</v>
      </c>
      <c r="AV191" s="501">
        <f>(1-f_E)*(i_CIT_BIO-i_CIT_XBe)</f>
        <v>6.0720000000000003E-2</v>
      </c>
      <c r="AW191" s="501">
        <f>0</f>
        <v>0</v>
      </c>
      <c r="AX191" s="501">
        <f>0</f>
        <v>0</v>
      </c>
      <c r="AY191" s="501">
        <f>0</f>
        <v>0</v>
      </c>
      <c r="AZ191" s="501">
        <f>0</f>
        <v>0</v>
      </c>
      <c r="BA191" s="501">
        <f>0</f>
        <v>0</v>
      </c>
      <c r="BB191" s="501">
        <f>0</f>
        <v>0</v>
      </c>
      <c r="BC191" s="501">
        <f>0</f>
        <v>0</v>
      </c>
      <c r="BD191" s="501">
        <f>0</f>
        <v>0</v>
      </c>
      <c r="BE191" s="501">
        <f>0</f>
        <v>0</v>
      </c>
      <c r="BF191" s="501">
        <f>0</f>
        <v>0</v>
      </c>
      <c r="BG191" s="501">
        <f>0</f>
        <v>0</v>
      </c>
      <c r="BH191" s="501">
        <f>0</f>
        <v>0</v>
      </c>
      <c r="BI191" s="501">
        <f>0</f>
        <v>0</v>
      </c>
      <c r="BJ191" s="501">
        <f>0</f>
        <v>0</v>
      </c>
      <c r="BK191" s="501">
        <f>0</f>
        <v>0</v>
      </c>
      <c r="BL191" s="501">
        <f>0</f>
        <v>0</v>
      </c>
      <c r="BM191" s="501">
        <f>0</f>
        <v>0</v>
      </c>
      <c r="BN191" s="501">
        <f>0</f>
        <v>0</v>
      </c>
      <c r="BO191" s="501">
        <f>0</f>
        <v>0</v>
      </c>
      <c r="BP191" s="501">
        <f>0</f>
        <v>0</v>
      </c>
      <c r="BQ191" s="501">
        <f>0</f>
        <v>0</v>
      </c>
      <c r="BR191" s="501">
        <f>0</f>
        <v>0</v>
      </c>
      <c r="BS191" s="501">
        <f>0</f>
        <v>0</v>
      </c>
      <c r="BT191" s="501">
        <f>0</f>
        <v>0</v>
      </c>
      <c r="BU191" s="501">
        <f>0</f>
        <v>0</v>
      </c>
      <c r="BV191" s="501">
        <f>0</f>
        <v>0</v>
      </c>
      <c r="BW191" s="2358">
        <f>0</f>
        <v>0</v>
      </c>
      <c r="BX191" s="2358">
        <f>0</f>
        <v>0</v>
      </c>
      <c r="BY191" s="2358">
        <f>0</f>
        <v>0</v>
      </c>
      <c r="BZ191" s="2358">
        <f>0</f>
        <v>0</v>
      </c>
      <c r="CA191" s="501">
        <f>0</f>
        <v>0</v>
      </c>
      <c r="CB191" s="501">
        <f>0</f>
        <v>0</v>
      </c>
      <c r="CC191" s="501">
        <f>0</f>
        <v>0</v>
      </c>
      <c r="CD191" s="501">
        <f>0</f>
        <v>0</v>
      </c>
      <c r="CE191" s="501">
        <f>0</f>
        <v>0</v>
      </c>
      <c r="CF191" s="501">
        <f>0</f>
        <v>0</v>
      </c>
      <c r="CG191" s="501">
        <f>0</f>
        <v>0</v>
      </c>
      <c r="CH191" s="501">
        <f>0</f>
        <v>0</v>
      </c>
      <c r="CI191" s="501">
        <f>0</f>
        <v>0</v>
      </c>
      <c r="CJ191" s="501">
        <f>0</f>
        <v>0</v>
      </c>
      <c r="CK191" s="501">
        <f>0</f>
        <v>0</v>
      </c>
      <c r="CL191" s="501">
        <f>0</f>
        <v>0</v>
      </c>
      <c r="CM191" s="501">
        <f>0</f>
        <v>0</v>
      </c>
      <c r="CN191" s="501">
        <f>0</f>
        <v>0</v>
      </c>
      <c r="CO191" s="501">
        <f>0</f>
        <v>0</v>
      </c>
      <c r="CP191" s="501">
        <f>0</f>
        <v>0</v>
      </c>
      <c r="CQ191" s="501">
        <f>0</f>
        <v>0</v>
      </c>
      <c r="CR191" s="501">
        <f>0</f>
        <v>0</v>
      </c>
      <c r="CS191" s="501">
        <f>0</f>
        <v>0</v>
      </c>
      <c r="CT191" s="2476">
        <f>b_NOB_T*X_NOB*(M_satSO2_KO2_NOB+η_b_anox*M_satSNOx_KNOx_NOB*M_inhSO2_KO2_NOB)</f>
        <v>2.6982456140350877</v>
      </c>
      <c r="CV191" s="2502">
        <f>E266*E191+F266*F191+G266*G191+H266*H191+I266*I191+J266*J191+K266*K191+L266*L191+M266*M191+N266*N191+O266*O191+P266*P191+Q266*Q191+R266*R191+S266*S191+T266*T191+U266*U191+V266*V191+W266*W191+X266*X191+Y266*Y191+Z266*Z191+AA266*AA191+AB266*AB191+AC266*AC191+AD266*AD191+AE266*AE191+AF266*AF191+AG266*AG191+AH266*AH191+AI266*AI191+AJ266*AJ191+AK266*AK191+AL266*AL191+AM266*AM191+AN266*AN191+AO266*AO191+AP266*AP191+AQ266*AQ191+AR266*AR191+AS266*AS191+AT266*AT191+AU266*AU191+AV266*AV191+AW266*AW191+AX266*AX191+AY266*AY191+AZ266*AZ191+BA266*BA191+BB266*BB191+BC266*BC191+BD266*BD191+BE266*BE191+BF266*BF191+BG266*BG191+BH266*BH191+BI266*BI191+BJ266*BJ191+BK266*BK191+BL266*BL191+BM266*BM191+BN266*BN191+BO266*BO191+BP266*BP191+BQ266*BQ191+BR266*BR191+BS266*BS191+BT266*BT191+BU266*BU191+BV266*BV191+BW266*BW191+BX266*BX191+BY266*BY191+BZ266*BZ191+CA266*CA191+CB266*CB191+CC266*CC191+CD266*CD191+CE266*CE191+CF266*CF191+CG266*CG191+CH266*CH191+CI266*CI191+CJ266*CJ191+CK266*CK191+CL266*CL191+CM266*CM191+CN266*CN191+CO266*CO191+CP266*CP191+CQ266*CQ191+CR266*CR191+CS266*CS191</f>
        <v>0</v>
      </c>
      <c r="CW191" s="2502">
        <f>E267*E191+F267*F191+G267*G191+H267*H191+I267*I191+J267*J191+K267*K191+L267*L191+M267*M191+N267*N191+O267*O191+P267*P191+Q267*Q191+R267*R191+S267*S191+T267*T191+U267*U191+V267*V191+W267*W191+X267*X191+Y267*Y191+Z267*Z191+AA267*AA191+AB267*AB191+AC267*AC191+AD267*AD191+AE267*AE191+AF267*AF191+AG267*AG191+AH267*AH191+AI267*AI191+AJ267*AJ191+AK267*AK191+AL267*AL191+AM267*AM191+AN267*AN191+AO267*AO191+AP267*AP191+AQ267*AQ191+AR267*AR191+AS267*AS191+AT267*AT191+AU267*AU191+AV267*AV191+AW267*AW191+AX267*AX191+AY267*AY191+AZ267*AZ191+BA267*BA191+BB267*BB191+BC267*BC191+BD267*BD191+BE267*BE191+BF267*BF191+BG267*BG191+BH267*BH191+BI267*BI191+BJ267*BJ191+BK267*BK191+BL267*BL191+BM267*BM191+BN267*BN191+BO267*BO191+BP267*BP191+BQ267*BQ191+BR267*BR191+BS267*BS191+BT267*BT191+BU267*BU191+BV267*BV191+BW267*BW191+BX267*BX191+BY267*BY191+BZ267*BZ191+CA267*CA191+CB267*CB191+CC267*CC191+CD267*CD191+CE267*CE191+CF267*CF191+CG267*CG191+CH267*CH191+CI267*CI191+CJ267*CJ191+CK267*CK191+CL267*CL191+CM267*CM191+CN267*CN191+CO267*CO191+CP267*CP191+CQ267*CQ191+CR267*CR191+CS267*CS191</f>
        <v>6.9388939039072284E-18</v>
      </c>
      <c r="CX191" s="2503">
        <f>E268*E191+F268*F191+G268*G191+H268*H191+I268*I191+J268*J191+K268*K191+L268*L191+M268*M191+N268*N191+O268*O191+P268*P191+Q268*Q191+R268*R191+S268*S191+T268*T191+U268*U191+V268*V191+W268*W191+X268*X191+Y268*Y191+Z268*Z191+AA268*AA191+AB268*AB191+AC268*AC191+AD268*AD191+AE268*AE191+AF268*AF191+AG268*AG191+AH268*AH191+AI268*AI191+AJ268*AJ191+AK268*AK191+AL268*AL191+AM268*AM191+AN268*AN191+AO268*AO191+AP268*AP191+AQ268*AQ191+AR268*AR191+AS268*AS191+AT268*AT191+AU268*AU191+AV268*AV191+AW268*AW191+AX268*AX191+AY268*AY191+AZ268*AZ191+BA268*BA191+BB268*BB191+BC268*BC191+BD268*BD191+BE268*BE191+BF268*BF191+BG268*BG191+BH268*BH191+BI268*BI191+BJ268*BJ191+BK268*BK191+BL268*BL191+BM268*BM191+BN268*BN191+BO268*BO191+BP268*BP191+BQ268*BQ191+BR268*BR191+BS268*BS191+BT268*BT191+BU268*BU191+BV268*BV191+BW268*BW191+BX268*BX191+BY268*BY191+BZ268*BZ191+CA268*CA191+CB268*CB191+CC268*CC191+CD268*CD191+CE268*CE191+CF268*CF191+CG268*CG191+CH268*CH191+CI268*CI191+CJ268*CJ191+CK268*CK191+CL268*CL191+CM268*CM191+CN268*CN191+CO268*CO191+CP268*CP191+CQ268*CQ191+CR268*CR191+CS268*CS191</f>
        <v>0</v>
      </c>
      <c r="CY191" s="2504">
        <f>E269*E191+F269*F191+G269*G191+H269*H191+I269*I191+J269*J191+K269*K191+L269*L191+M269*M191+N269*N191+O269*O191+P269*P191+Q269*Q191+R269*R191+S269*S191+T269*T191+U269*U191+V269*V191+W269*W191+X269*X191+Y269*Y191+Z269*Z191+AA269*AA191+AB269*AB191+AC269*AC191+AD269*AD191+AE269*AE191+AF269*AF191+AG269*AG191+AH269*AH191+AI269*AI191+AJ269*AJ191+AK269*AK191+AL269*AL191+AM269*AM191+AN269*AN191+AO269*AO191+AP269*AP191+AQ269*AQ191+AR269*AR191+AS269*AS191+AT269*AT191+AU269*AU191+AV269*AV191+AW269*AW191+AX269*AX191+AY269*AY191+AZ269*AZ191+BA269*BA191+BB269*BB191+BC269*BC191+BD269*BD191+BE269*BE191+BF269*BF191+BG269*BG191+BH269*BH191+BI269*BI191+BJ269*BJ191+BK269*BK191+BL269*BL191+BM269*BM191+BN269*BN191+BO269*BO191+BP269*BP191+BQ269*BQ191+BR269*BR191+BS269*BS191+BT269*BT191+BU269*BU191+BV269*BV191+BW269*BW191+BX269*BX191+BY269*BY191+BZ269*BZ191+CA269*CA191+CB269*CB191+CC269*CC191+CD269*CD191+CE269*CE191+CF269*CF191+CG269*CG191+CH269*CH191+CI269*CI191+CJ269*CJ191+CK269*CK191+CL269*CL191+CM269*CM191+CN269*CN191+CO269*CO191+CP269*CP191+CQ269*CQ191+CR269*CR191+CS269*CS191</f>
        <v>0</v>
      </c>
      <c r="CZ191" s="2504">
        <f>E270*E191+F270*F191+G270*G191+H270*H191+I270*I191+J270*J191+K270*K191+L270*L191+M270*M191+N270*N191+O270*O191+P270*P191+Q270*Q191+R270*R191+S270*S191+T270*T191+U270*U191+V270*V191+W270*W191+X270*X191+Y270*Y191+Z270*Z191+AA270*AA191+AB270*AB191+AC270*AC191+AD270*AD191+AE270*AE191+AF270*AF191+AG270*AG191+AH270*AH191+AI270*AI191+AJ270*AJ191+AK270*AK191+AL270*AL191+AM270*AM191+AN270*AN191+AO270*AO191+AP270*AP191+AQ270*AQ191+AR270*AR191+AS270*AS191+AT270*AT191+AU270*AU191+AV270*AV191+AW270*AW191+AX270*AX191+AY270*AY191+AZ270*AZ191+BA270*BA191+BB270*BB191+BC270*BC191+BD270*BD191+BE270*BE191+BF270*BF191+BG270*BG191+BH270*BH191+BI270*BI191+BJ270*BJ191+BK270*BK191+BL270*BL191+BM270*BM191+BN270*BN191+BO270*BO191+BP270*BP191+BQ270*BQ191+BR270*BR191+BS270*BS191+BT270*BT191+BU270*BU191+BV270*BV191+BW270*BW191+BX270*BX191+BY270*BY191+BZ270*BZ191+CA270*CA191+CB270*CB191+CC270*CC191+CD270*CD191+CE270*CE191+CF270*CF191+CG270*CG191+CH270*CH191+CI270*CI191+CJ270*CJ191+CK270*CK191+CL270*CL191+CM270*CM191+CN270*CN191+CO270*CO191+CP270*CP191+CQ270*CQ191+CR270*CR191+CS270*CS191</f>
        <v>0</v>
      </c>
      <c r="DA191" s="2504">
        <f>E271*E191+F271*F191+G271*G191+H271*H191+I271*I191+J271*J191+K271*K191+L271*L191+M271*M191+N271*N191+O271*O191+P271*P191+Q271*Q191+R271*R191+S271*S191+T271*T191+U271*U191+V271*V191+W271*W191+X271*X191+Y271*Y191+Z271*Z191+AA271*AA191+AB271*AB191+AC271*AC191+AD271*AD191+AE271*AE191+AF271*AF191+AG271*AG191+AH271*AH191+AI271*AI191+AJ271*AJ191+AK271*AK191+AL271*AL191+AM271*AM191+AN271*AN191+AO271*AO191+AP271*AP191+AQ271*AQ191+AR271*AR191+AS271*AS191+AT271*AT191+AU271*AU191+AV271*AV191+AW271*AW191+AX271*AX191+AY271*AY191+AZ271*AZ191+BA271*BA191+BB271*BB191+BC271*BC191+BD271*BD191+BE271*BE191+BF271*BF191+BG271*BG191+BH271*BH191+BI271*BI191+BJ271*BJ191+BK271*BK191+BL271*BL191+BM271*BM191+BN271*BN191+BO271*BO191+BP271*BP191+BQ271*BQ191+BR271*BR191+BS271*BS191+BT271*BT191+BU271*BU191+BV271*BV191+BW271*BW191+BX271*BX191+BY271*BY191+BZ271*BZ191+CA271*CA191+CB271*CB191+CC271*CC191+CD271*CD191+CE271*CE191+CF271*CF191+CG271*CG191+CH271*CH191+CI271*CI191+CJ271*CJ191+CK271*CK191+CL271*CL191+CM271*CM191+CN271*CN191+CO271*CO191+CP271*CP191+CQ271*CQ191+CR271*CR191+CS271*CS191</f>
        <v>0</v>
      </c>
      <c r="DB191" s="2504">
        <f>E272*E191+F272*F191+G272*G191+H272*H191+I272*I191+J272*J191+K272*K191+L272*L191+M272*M191+N272*N191+O272*O191+P272*P191+Q272*Q191+R272*R191+S272*S191+T272*T191+U272*U191+V272*V191+W272*W191+X272*X191+Y272*Y191+Z272*Z191+AA272*AA191+AB272*AB191+AC272*AC191+AD272*AD191+AE272*AE191+AF272*AF191+AG272*AG191+AH272*AH191+AI272*AI191+AJ272*AJ191+AK272*AK191+AL272*AL191+AM272*AM191+AN272*AN191+AO272*AO191+AP272*AP191+AQ272*AQ191+AR272*AR191+AS272*AS191+AT272*AT191+AU272*AU191+AV272*AV191+AW272*AW191+AX272*AX191+AY272*AY191+AZ272*AZ191+BA272*BA191+BB272*BB191+BC272*BC191+BD272*BD191+BE272*BE191+BF272*BF191+BG272*BG191+BH272*BH191+BI272*BI191+BJ272*BJ191+BK272*BK191+BL272*BL191+BM272*BM191+BN272*BN191+BO272*BO191+BP272*BP191+BQ272*BQ191+BR272*BR191+BS272*BS191+BT272*BT191+BU272*BU191+BV272*BV191+BW272*BW191+BX272*BX191+BY272*BY191+BZ272*BZ191+CA272*CA191+CB272*CB191+CC272*CC191+CD272*CD191+CE272*CE191+CF272*CF191+CG272*CG191+CH272*CH191+CI272*CI191+CJ272*CJ191+CK272*CK191+CL272*CL191+CM272*CM191+CN272*CN191+CO272*CO191+CP272*CP191+CQ272*CQ191+CR272*CR191+CS272*CS191</f>
        <v>0</v>
      </c>
      <c r="DC191" s="2504">
        <f>E273*E191+F273*F191+G273*G191+H273*H191+I273*I191+J273*J191+K273*K191+L273*L191+M273*M191+N273*N191+O273*O191+P273*P191+Q273*Q191+R273*R191+S273*S191+T273*T191+U273*U191+V273*V191+W273*W191+X273*X191+Y273*Y191+Z273*Z191+AA273*AA191+AB273*AB191+AC273*AC191+AD273*AD191+AE273*AE191+AF273*AF191+AG273*AG191+AH273*AH191+AI273*AI191+AJ273*AJ191+AK273*AK191+AL273*AL191+AM273*AM191+AN273*AN191+AO273*AO191+AP273*AP191+AQ273*AQ191+AR273*AR191+AS273*AS191+AT273*AT191+AU273*AU191+AV273*AV191+AW273*AW191+AX273*AX191+AY273*AY191+AZ273*AZ191+BA273*BA191+BB273*BB191+BC273*BC191+BD273*BD191+BE273*BE191+BF273*BF191+BG273*BG191+BH273*BH191+BI273*BI191+BJ273*BJ191+BK273*BK191+BL273*BL191+BM273*BM191+BN273*BN191+BO273*BO191+BP273*BP191+BQ273*BQ191+BR273*BR191+BS273*BS191+BT273*BT191+BU273*BU191+BV273*BV191+BW273*BW191+BX273*BX191+BY273*BY191+BZ273*BZ191+CA273*CA191+CB273*CB191+CC273*CC191+CD273*CD191+CE273*CE191+CF273*CF191+CG273*CG191+CH273*CH191+CI273*CI191+CJ273*CJ191+CK273*CK191+CL273*CL191+CM273*CM191+CN273*CN191+CO273*CO191+CP273*CP191+CQ273*CQ191+CR273*CR191+CS273*CS191</f>
        <v>0</v>
      </c>
      <c r="DD191" s="2504">
        <f>E274*E191+F274*F191+G274*G191+H274*H191+I274*I191+J274*J191+K274*K191+L274*L191+M274*M191+N274*N191+O274*O191+P274*P191+Q274*Q191+R274*R191+S274*S191+T274*T191+U274*U191+V274*V191+W274*W191+X274*X191+Y274*Y191+Z274*Z191+AA274*AA191+AB274*AB191+AC274*AC191+AD274*AD191+AE274*AE191+AF274*AF191+AG274*AG191+AH274*AH191+AI274*AI191+AJ274*AJ191+AK274*AK191+AL274*AL191+AM274*AM191+AN274*AN191+AO274*AO191+AP274*AP191+AQ274*AQ191+AR274*AR191+AS274*AS191+AT274*AT191+AU274*AU191+AV274*AV191+AW274*AW191+AX274*AX191+AY274*AY191+AZ274*AZ191+BA274*BA191+BB274*BB191+BC274*BC191+BD274*BD191+BE274*BE191+BF274*BF191+BG274*BG191+BH274*BH191+BI274*BI191+BJ274*BJ191+BK274*BK191+BL274*BL191+BM274*BM191+BN274*BN191+BO274*BO191+BP274*BP191+BQ274*BQ191+BR274*BR191+BS274*BS191+BT274*BT191+BU274*BU191+BV274*BV191+BW274*BW191+BX274*BX191+BY274*BY191+BZ274*BZ191+CA274*CA191+CB274*CB191+CC274*CC191+CD274*CD191+CE274*CE191+CF274*CF191+CG274*CG191+CH274*CH191+CI274*CI191+CJ274*CJ191+CK274*CK191+CL274*CL191+CM274*CM191+CN274*CN191+CO274*CO191+CP274*CP191+CQ274*CQ191+CR274*CR191+CS274*CS191</f>
        <v>0</v>
      </c>
      <c r="DE191" s="2504">
        <f>E275*E191+F275*F191+G275*G191+H275*H191+I275*I191+J275*J191+K275*K191+L275*L191+M275*M191+N275*N191+O275*O191+P275*P191+Q275*Q191+R275*R191+S275*S191+T275*T191+U275*U191+V275*V191+W275*W191+X275*X191+Y275*Y191+Z275*Z191+AA275*AA191+AB275*AB191+AC275*AC191+AD275*AD191+AE275*AE191+AF275*AF191+AG275*AG191+AH275*AH191+AI275*AI191+AJ275*AJ191+AK275*AK191+AL275*AL191+AM275*AM191+AN275*AN191+AO275*AO191+AP275*AP191+AQ275*AQ191+AR275*AR191+AS275*AS191+AT275*AT191+AU275*AU191+AV275*AV191+AW275*AW191+AX275*AX191+AY275*AY191+AZ275*AZ191+BA275*BA191+BB275*BB191+BC275*BC191+BD275*BD191+BE275*BE191+BF275*BF191+BG275*BG191+BH275*BH191+BI275*BI191+BJ275*BJ191+BK275*BK191+BL275*BL191+BM275*BM191+BN275*BN191+BO275*BO191+BP275*BP191+BQ275*BQ191+BR275*BR191+BS275*BS191+BT275*BT191+BU275*BU191+BV275*BV191+BW275*BW191+BX275*BX191+BY275*BY191+BZ275*BZ191+CA275*CA191+CB275*CB191+CC275*CC191+CD275*CD191+CE275*CE191+CF275*CF191+CG275*CG191+CH275*CH191+CI275*CI191+CJ275*CJ191+CK275*CK191+CL275*CL191+CM275*CM191+CN275*CN191+CO275*CO191+CP275*CP191+CQ275*CQ191+CR275*CR191+CS275*CS191</f>
        <v>0</v>
      </c>
      <c r="DF191" s="2504">
        <f>E276*E191+F276*F191+G276*G191+H276*H191+I276*I191+J276*J191+K276*K191+L276*L191+M276*M191+N276*N191+O276*O191+P276*P191+Q276*Q191+R276*R191+S276*S191+T276*T191+U276*U191+V276*V191+W276*W191+X276*X191+Y276*Y191+Z276*Z191+AA276*AA191+AB276*AB191+AC276*AC191+AD276*AD191+AE276*AE191+AF276*AF191+AG276*AG191+AH276*AH191+AI276*AI191+AJ276*AJ191+AK276*AK191+AL276*AL191+AM276*AM191+AN276*AN191+AO276*AO191+AP276*AP191+AQ276*AQ191+AR276*AR191+AS276*AS191+AT276*AT191+AU276*AU191+AV276*AV191+AW276*AW191+AX276*AX191+AY276*AY191+AZ276*AZ191+BA276*BA191+BB276*BB191+BC276*BC191+BD276*BD191+BE276*BE191+BF276*BF191+BG276*BG191+BH276*BH191+BI276*BI191+BJ276*BJ191+BK276*BK191+BL276*BL191+BM276*BM191+BN276*BN191+BO276*BO191+BP276*BP191+BQ276*BQ191+BR276*BR191+BS276*BS191+BT276*BT191+BU276*BU191+BV276*BV191+BW276*BW191+BX276*BX191+BY276*BY191+BZ276*BZ191+CA276*CA191+CB276*CB191+CC276*CC191+CD276*CD191+CE276*CE191+CF276*CF191+CG276*CG191+CH276*CH191+CI276*CI191+CJ276*CJ191+CK276*CK191+CL276*CL191+CM276*CM191+CN276*CN191+CO276*CO191+CP276*CP191+CQ276*CQ191+CR276*CR191+CS276*CS191</f>
        <v>0</v>
      </c>
    </row>
    <row r="192" spans="2:110" x14ac:dyDescent="0.25">
      <c r="B192" s="1574">
        <v>50</v>
      </c>
      <c r="C192" s="534" t="s">
        <v>2111</v>
      </c>
      <c r="D192" s="535" t="s">
        <v>2954</v>
      </c>
      <c r="E192" s="501">
        <f>0</f>
        <v>0</v>
      </c>
      <c r="F192" s="501">
        <f>0</f>
        <v>0</v>
      </c>
      <c r="G192" s="501">
        <f>0</f>
        <v>0</v>
      </c>
      <c r="H192" s="501">
        <f>0</f>
        <v>0</v>
      </c>
      <c r="I192" s="501">
        <f>0</f>
        <v>0</v>
      </c>
      <c r="J192" s="501">
        <f>1-f_E</f>
        <v>0.92</v>
      </c>
      <c r="K192" s="501">
        <f>0</f>
        <v>0</v>
      </c>
      <c r="L192" s="501">
        <f>0</f>
        <v>0</v>
      </c>
      <c r="M192" s="501">
        <f>0</f>
        <v>0</v>
      </c>
      <c r="N192" s="501">
        <f>0</f>
        <v>0</v>
      </c>
      <c r="O192" s="501">
        <f>0</f>
        <v>0</v>
      </c>
      <c r="P192" s="501">
        <f>0</f>
        <v>0</v>
      </c>
      <c r="Q192" s="501">
        <f>f_E</f>
        <v>0.08</v>
      </c>
      <c r="R192" s="501">
        <f>0</f>
        <v>0</v>
      </c>
      <c r="S192" s="501">
        <f>0</f>
        <v>0</v>
      </c>
      <c r="T192" s="501">
        <f>0</f>
        <v>0</v>
      </c>
      <c r="U192" s="501">
        <f>0</f>
        <v>0</v>
      </c>
      <c r="V192" s="501">
        <f>-1</f>
        <v>-1</v>
      </c>
      <c r="W192" s="501">
        <f>0</f>
        <v>0</v>
      </c>
      <c r="X192" s="501">
        <f>0</f>
        <v>0</v>
      </c>
      <c r="Y192" s="501">
        <f>0</f>
        <v>0</v>
      </c>
      <c r="Z192" s="501">
        <f>0</f>
        <v>0</v>
      </c>
      <c r="AA192" s="501">
        <f>-f_E*(i_N_XE-i_N_BIO)</f>
        <v>8.0000000000000069E-4</v>
      </c>
      <c r="AB192" s="501">
        <f>0</f>
        <v>0</v>
      </c>
      <c r="AC192" s="501">
        <f>0</f>
        <v>0</v>
      </c>
      <c r="AD192" s="501">
        <f>0</f>
        <v>0</v>
      </c>
      <c r="AE192" s="501">
        <f>0</f>
        <v>0</v>
      </c>
      <c r="AF192" s="501">
        <f>0</f>
        <v>0</v>
      </c>
      <c r="AG192" s="501">
        <f>0</f>
        <v>0</v>
      </c>
      <c r="AH192" s="501">
        <f>0</f>
        <v>0</v>
      </c>
      <c r="AI192" s="501">
        <f>0</f>
        <v>0</v>
      </c>
      <c r="AJ192" s="501">
        <f>0</f>
        <v>0</v>
      </c>
      <c r="AK192" s="501">
        <f>(1-f_E)*i_N_BIO</f>
        <v>6.4400000000000013E-2</v>
      </c>
      <c r="AL192" s="501">
        <f>0</f>
        <v>0</v>
      </c>
      <c r="AM192" s="501">
        <f>0</f>
        <v>0</v>
      </c>
      <c r="AN192" s="501">
        <f>0</f>
        <v>0</v>
      </c>
      <c r="AO192" s="501">
        <f>0</f>
        <v>0</v>
      </c>
      <c r="AP192" s="501">
        <f>0</f>
        <v>0</v>
      </c>
      <c r="AQ192" s="501">
        <f>(1-f_E)*i_P_BIO</f>
        <v>1.84E-2</v>
      </c>
      <c r="AR192" s="501">
        <f>0</f>
        <v>0</v>
      </c>
      <c r="AS192" s="501">
        <f>0</f>
        <v>0</v>
      </c>
      <c r="AT192" s="501">
        <f>0</f>
        <v>0</v>
      </c>
      <c r="AU192" s="501">
        <f>0</f>
        <v>0</v>
      </c>
      <c r="AV192" s="501">
        <f>(1-f_E)*(i_CIT_BIO-i_CIT_XBe)</f>
        <v>6.0720000000000003E-2</v>
      </c>
      <c r="AW192" s="501">
        <f>0</f>
        <v>0</v>
      </c>
      <c r="AX192" s="501">
        <f>0</f>
        <v>0</v>
      </c>
      <c r="AY192" s="501">
        <f>0</f>
        <v>0</v>
      </c>
      <c r="AZ192" s="501">
        <f>0</f>
        <v>0</v>
      </c>
      <c r="BA192" s="501">
        <f>0</f>
        <v>0</v>
      </c>
      <c r="BB192" s="501">
        <f>0</f>
        <v>0</v>
      </c>
      <c r="BC192" s="501">
        <f>0</f>
        <v>0</v>
      </c>
      <c r="BD192" s="501">
        <f>0</f>
        <v>0</v>
      </c>
      <c r="BE192" s="501">
        <f>0</f>
        <v>0</v>
      </c>
      <c r="BF192" s="501">
        <f>0</f>
        <v>0</v>
      </c>
      <c r="BG192" s="501">
        <f>0</f>
        <v>0</v>
      </c>
      <c r="BH192" s="501">
        <f>0</f>
        <v>0</v>
      </c>
      <c r="BI192" s="501">
        <f>0</f>
        <v>0</v>
      </c>
      <c r="BJ192" s="501">
        <f>0</f>
        <v>0</v>
      </c>
      <c r="BK192" s="501">
        <f>0</f>
        <v>0</v>
      </c>
      <c r="BL192" s="501">
        <f>0</f>
        <v>0</v>
      </c>
      <c r="BM192" s="501">
        <f>0</f>
        <v>0</v>
      </c>
      <c r="BN192" s="501">
        <f>0</f>
        <v>0</v>
      </c>
      <c r="BO192" s="501">
        <f>0</f>
        <v>0</v>
      </c>
      <c r="BP192" s="501">
        <f>0</f>
        <v>0</v>
      </c>
      <c r="BQ192" s="501">
        <f>0</f>
        <v>0</v>
      </c>
      <c r="BR192" s="501">
        <f>0</f>
        <v>0</v>
      </c>
      <c r="BS192" s="501">
        <f>0</f>
        <v>0</v>
      </c>
      <c r="BT192" s="501">
        <f>0</f>
        <v>0</v>
      </c>
      <c r="BU192" s="501">
        <f>0</f>
        <v>0</v>
      </c>
      <c r="BV192" s="501">
        <f>0</f>
        <v>0</v>
      </c>
      <c r="BW192" s="2358">
        <f>0</f>
        <v>0</v>
      </c>
      <c r="BX192" s="2358">
        <f>0</f>
        <v>0</v>
      </c>
      <c r="BY192" s="2358">
        <f>0</f>
        <v>0</v>
      </c>
      <c r="BZ192" s="2358">
        <f>0</f>
        <v>0</v>
      </c>
      <c r="CA192" s="501">
        <f>0</f>
        <v>0</v>
      </c>
      <c r="CB192" s="501">
        <f>0</f>
        <v>0</v>
      </c>
      <c r="CC192" s="501">
        <f>0</f>
        <v>0</v>
      </c>
      <c r="CD192" s="501">
        <f>0</f>
        <v>0</v>
      </c>
      <c r="CE192" s="501">
        <f>0</f>
        <v>0</v>
      </c>
      <c r="CF192" s="501">
        <f>0</f>
        <v>0</v>
      </c>
      <c r="CG192" s="501">
        <f>0</f>
        <v>0</v>
      </c>
      <c r="CH192" s="501">
        <f>0</f>
        <v>0</v>
      </c>
      <c r="CI192" s="501">
        <f>0</f>
        <v>0</v>
      </c>
      <c r="CJ192" s="501">
        <f>0</f>
        <v>0</v>
      </c>
      <c r="CK192" s="501">
        <f>0</f>
        <v>0</v>
      </c>
      <c r="CL192" s="501">
        <f>0</f>
        <v>0</v>
      </c>
      <c r="CM192" s="501">
        <f>0</f>
        <v>0</v>
      </c>
      <c r="CN192" s="501">
        <f>0</f>
        <v>0</v>
      </c>
      <c r="CO192" s="501">
        <f>0</f>
        <v>0</v>
      </c>
      <c r="CP192" s="501">
        <f>0</f>
        <v>0</v>
      </c>
      <c r="CQ192" s="501">
        <f>0</f>
        <v>0</v>
      </c>
      <c r="CR192" s="501">
        <f>0</f>
        <v>0</v>
      </c>
      <c r="CS192" s="501">
        <f>0</f>
        <v>0</v>
      </c>
      <c r="CT192" s="2476">
        <f>b_NOB_T*X_NOB*(η_b_ana*M_inhSNOx_KNOx_NOB*M_inhSO2_KO2_NOB+m_tox_ana)</f>
        <v>8.7719298245614037E-4</v>
      </c>
      <c r="CV192" s="2502">
        <f>E266*E192+F266*F192+G266*G192+H266*H192+I266*I192+J266*J192+K266*K192+L266*L192+M266*M192+N266*N192+O266*O192+P266*P192+Q266*Q192+R266*R192+S266*S192+T266*T192+U266*U192+V266*V192+W266*W192+X266*X192+Y266*Y192+Z266*Z192+AA266*AA192+AB266*AB192+AC266*AC192+AD266*AD192+AE266*AE192+AF266*AF192+AG266*AG192+AH266*AH192+AI266*AI192+AJ266*AJ192+AK266*AK192+AL266*AL192+AM266*AM192+AN266*AN192+AO266*AO192+AP266*AP192+AQ266*AQ192+AR266*AR192+AS266*AS192+AT266*AT192+AU266*AU192+AV266*AV192+AW266*AW192+AX266*AX192+AY266*AY192+AZ266*AZ192+BA266*BA192+BB266*BB192+BC266*BC192+BD266*BD192+BE266*BE192+BF266*BF192+BG266*BG192+BH266*BH192+BI266*BI192+BJ266*BJ192+BK266*BK192+BL266*BL192+BM266*BM192+BN266*BN192+BO266*BO192+BP266*BP192+BQ266*BQ192+BR266*BR192+BS266*BS192+BT266*BT192+BU266*BU192+BV266*BV192+BW266*BW192+BX266*BX192+BY266*BY192+BZ266*BZ192+CA266*CA192+CB266*CB192+CC266*CC192+CD266*CD192+CE266*CE192+CF266*CF192+CG266*CG192+CH266*CH192+CI266*CI192+CJ266*CJ192+CK266*CK192+CL266*CL192+CM266*CM192+CN266*CN192+CO266*CO192+CP266*CP192+CQ266*CQ192+CR266*CR192+CS266*CS192</f>
        <v>0</v>
      </c>
      <c r="CW192" s="2502">
        <f>E267*E192+F267*F192+G267*G192+H267*H192+I267*I192+J267*J192+K267*K192+L267*L192+M267*M192+N267*N192+O267*O192+P267*P192+Q267*Q192+R267*R192+S267*S192+T267*T192+U267*U192+V267*V192+W267*W192+X267*X192+Y267*Y192+Z267*Z192+AA267*AA192+AB267*AB192+AC267*AC192+AD267*AD192+AE267*AE192+AF267*AF192+AG267*AG192+AH267*AH192+AI267*AI192+AJ267*AJ192+AK267*AK192+AL267*AL192+AM267*AM192+AN267*AN192+AO267*AO192+AP267*AP192+AQ267*AQ192+AR267*AR192+AS267*AS192+AT267*AT192+AU267*AU192+AV267*AV192+AW267*AW192+AX267*AX192+AY267*AY192+AZ267*AZ192+BA267*BA192+BB267*BB192+BC267*BC192+BD267*BD192+BE267*BE192+BF267*BF192+BG267*BG192+BH267*BH192+BI267*BI192+BJ267*BJ192+BK267*BK192+BL267*BL192+BM267*BM192+BN267*BN192+BO267*BO192+BP267*BP192+BQ267*BQ192+BR267*BR192+BS267*BS192+BT267*BT192+BU267*BU192+BV267*BV192+BW267*BW192+BX267*BX192+BY267*BY192+BZ267*BZ192+CA267*CA192+CB267*CB192+CC267*CC192+CD267*CD192+CE267*CE192+CF267*CF192+CG267*CG192+CH267*CH192+CI267*CI192+CJ267*CJ192+CK267*CK192+CL267*CL192+CM267*CM192+CN267*CN192+CO267*CO192+CP267*CP192+CQ267*CQ192+CR267*CR192+CS267*CS192</f>
        <v>6.9388939039072284E-18</v>
      </c>
      <c r="CX192" s="2503">
        <f>E268*E192+F268*F192+G268*G192+H268*H192+I268*I192+J268*J192+K268*K192+L268*L192+M268*M192+N268*N192+O268*O192+P268*P192+Q268*Q192+R268*R192+S268*S192+T268*T192+U268*U192+V268*V192+W268*W192+X268*X192+Y268*Y192+Z268*Z192+AA268*AA192+AB268*AB192+AC268*AC192+AD268*AD192+AE268*AE192+AF268*AF192+AG268*AG192+AH268*AH192+AI268*AI192+AJ268*AJ192+AK268*AK192+AL268*AL192+AM268*AM192+AN268*AN192+AO268*AO192+AP268*AP192+AQ268*AQ192+AR268*AR192+AS268*AS192+AT268*AT192+AU268*AU192+AV268*AV192+AW268*AW192+AX268*AX192+AY268*AY192+AZ268*AZ192+BA268*BA192+BB268*BB192+BC268*BC192+BD268*BD192+BE268*BE192+BF268*BF192+BG268*BG192+BH268*BH192+BI268*BI192+BJ268*BJ192+BK268*BK192+BL268*BL192+BM268*BM192+BN268*BN192+BO268*BO192+BP268*BP192+BQ268*BQ192+BR268*BR192+BS268*BS192+BT268*BT192+BU268*BU192+BV268*BV192+BW268*BW192+BX268*BX192+BY268*BY192+BZ268*BZ192+CA268*CA192+CB268*CB192+CC268*CC192+CD268*CD192+CE268*CE192+CF268*CF192+CG268*CG192+CH268*CH192+CI268*CI192+CJ268*CJ192+CK268*CK192+CL268*CL192+CM268*CM192+CN268*CN192+CO268*CO192+CP268*CP192+CQ268*CQ192+CR268*CR192+CS268*CS192</f>
        <v>0</v>
      </c>
      <c r="CY192" s="2504">
        <f>E269*E192+F269*F192+G269*G192+H269*H192+I269*I192+J269*J192+K269*K192+L269*L192+M269*M192+N269*N192+O269*O192+P269*P192+Q269*Q192+R269*R192+S269*S192+T269*T192+U269*U192+V269*V192+W269*W192+X269*X192+Y269*Y192+Z269*Z192+AA269*AA192+AB269*AB192+AC269*AC192+AD269*AD192+AE269*AE192+AF269*AF192+AG269*AG192+AH269*AH192+AI269*AI192+AJ269*AJ192+AK269*AK192+AL269*AL192+AM269*AM192+AN269*AN192+AO269*AO192+AP269*AP192+AQ269*AQ192+AR269*AR192+AS269*AS192+AT269*AT192+AU269*AU192+AV269*AV192+AW269*AW192+AX269*AX192+AY269*AY192+AZ269*AZ192+BA269*BA192+BB269*BB192+BC269*BC192+BD269*BD192+BE269*BE192+BF269*BF192+BG269*BG192+BH269*BH192+BI269*BI192+BJ269*BJ192+BK269*BK192+BL269*BL192+BM269*BM192+BN269*BN192+BO269*BO192+BP269*BP192+BQ269*BQ192+BR269*BR192+BS269*BS192+BT269*BT192+BU269*BU192+BV269*BV192+BW269*BW192+BX269*BX192+BY269*BY192+BZ269*BZ192+CA269*CA192+CB269*CB192+CC269*CC192+CD269*CD192+CE269*CE192+CF269*CF192+CG269*CG192+CH269*CH192+CI269*CI192+CJ269*CJ192+CK269*CK192+CL269*CL192+CM269*CM192+CN269*CN192+CO269*CO192+CP269*CP192+CQ269*CQ192+CR269*CR192+CS269*CS192</f>
        <v>0</v>
      </c>
      <c r="CZ192" s="2504">
        <f>E270*E192+F270*F192+G270*G192+H270*H192+I270*I192+J270*J192+K270*K192+L270*L192+M270*M192+N270*N192+O270*O192+P270*P192+Q270*Q192+R270*R192+S270*S192+T270*T192+U270*U192+V270*V192+W270*W192+X270*X192+Y270*Y192+Z270*Z192+AA270*AA192+AB270*AB192+AC270*AC192+AD270*AD192+AE270*AE192+AF270*AF192+AG270*AG192+AH270*AH192+AI270*AI192+AJ270*AJ192+AK270*AK192+AL270*AL192+AM270*AM192+AN270*AN192+AO270*AO192+AP270*AP192+AQ270*AQ192+AR270*AR192+AS270*AS192+AT270*AT192+AU270*AU192+AV270*AV192+AW270*AW192+AX270*AX192+AY270*AY192+AZ270*AZ192+BA270*BA192+BB270*BB192+BC270*BC192+BD270*BD192+BE270*BE192+BF270*BF192+BG270*BG192+BH270*BH192+BI270*BI192+BJ270*BJ192+BK270*BK192+BL270*BL192+BM270*BM192+BN270*BN192+BO270*BO192+BP270*BP192+BQ270*BQ192+BR270*BR192+BS270*BS192+BT270*BT192+BU270*BU192+BV270*BV192+BW270*BW192+BX270*BX192+BY270*BY192+BZ270*BZ192+CA270*CA192+CB270*CB192+CC270*CC192+CD270*CD192+CE270*CE192+CF270*CF192+CG270*CG192+CH270*CH192+CI270*CI192+CJ270*CJ192+CK270*CK192+CL270*CL192+CM270*CM192+CN270*CN192+CO270*CO192+CP270*CP192+CQ270*CQ192+CR270*CR192+CS270*CS192</f>
        <v>0</v>
      </c>
      <c r="DA192" s="2504">
        <f>E271*E192+F271*F192+G271*G192+H271*H192+I271*I192+J271*J192+K271*K192+L271*L192+M271*M192+N271*N192+O271*O192+P271*P192+Q271*Q192+R271*R192+S271*S192+T271*T192+U271*U192+V271*V192+W271*W192+X271*X192+Y271*Y192+Z271*Z192+AA271*AA192+AB271*AB192+AC271*AC192+AD271*AD192+AE271*AE192+AF271*AF192+AG271*AG192+AH271*AH192+AI271*AI192+AJ271*AJ192+AK271*AK192+AL271*AL192+AM271*AM192+AN271*AN192+AO271*AO192+AP271*AP192+AQ271*AQ192+AR271*AR192+AS271*AS192+AT271*AT192+AU271*AU192+AV271*AV192+AW271*AW192+AX271*AX192+AY271*AY192+AZ271*AZ192+BA271*BA192+BB271*BB192+BC271*BC192+BD271*BD192+BE271*BE192+BF271*BF192+BG271*BG192+BH271*BH192+BI271*BI192+BJ271*BJ192+BK271*BK192+BL271*BL192+BM271*BM192+BN271*BN192+BO271*BO192+BP271*BP192+BQ271*BQ192+BR271*BR192+BS271*BS192+BT271*BT192+BU271*BU192+BV271*BV192+BW271*BW192+BX271*BX192+BY271*BY192+BZ271*BZ192+CA271*CA192+CB271*CB192+CC271*CC192+CD271*CD192+CE271*CE192+CF271*CF192+CG271*CG192+CH271*CH192+CI271*CI192+CJ271*CJ192+CK271*CK192+CL271*CL192+CM271*CM192+CN271*CN192+CO271*CO192+CP271*CP192+CQ271*CQ192+CR271*CR192+CS271*CS192</f>
        <v>0</v>
      </c>
      <c r="DB192" s="2504">
        <f>E272*E192+F272*F192+G272*G192+H272*H192+I272*I192+J272*J192+K272*K192+L272*L192+M272*M192+N272*N192+O272*O192+P272*P192+Q272*Q192+R272*R192+S272*S192+T272*T192+U272*U192+V272*V192+W272*W192+X272*X192+Y272*Y192+Z272*Z192+AA272*AA192+AB272*AB192+AC272*AC192+AD272*AD192+AE272*AE192+AF272*AF192+AG272*AG192+AH272*AH192+AI272*AI192+AJ272*AJ192+AK272*AK192+AL272*AL192+AM272*AM192+AN272*AN192+AO272*AO192+AP272*AP192+AQ272*AQ192+AR272*AR192+AS272*AS192+AT272*AT192+AU272*AU192+AV272*AV192+AW272*AW192+AX272*AX192+AY272*AY192+AZ272*AZ192+BA272*BA192+BB272*BB192+BC272*BC192+BD272*BD192+BE272*BE192+BF272*BF192+BG272*BG192+BH272*BH192+BI272*BI192+BJ272*BJ192+BK272*BK192+BL272*BL192+BM272*BM192+BN272*BN192+BO272*BO192+BP272*BP192+BQ272*BQ192+BR272*BR192+BS272*BS192+BT272*BT192+BU272*BU192+BV272*BV192+BW272*BW192+BX272*BX192+BY272*BY192+BZ272*BZ192+CA272*CA192+CB272*CB192+CC272*CC192+CD272*CD192+CE272*CE192+CF272*CF192+CG272*CG192+CH272*CH192+CI272*CI192+CJ272*CJ192+CK272*CK192+CL272*CL192+CM272*CM192+CN272*CN192+CO272*CO192+CP272*CP192+CQ272*CQ192+CR272*CR192+CS272*CS192</f>
        <v>0</v>
      </c>
      <c r="DC192" s="2504">
        <f>E273*E192+F273*F192+G273*G192+H273*H192+I273*I192+J273*J192+K273*K192+L273*L192+M273*M192+N273*N192+O273*O192+P273*P192+Q273*Q192+R273*R192+S273*S192+T273*T192+U273*U192+V273*V192+W273*W192+X273*X192+Y273*Y192+Z273*Z192+AA273*AA192+AB273*AB192+AC273*AC192+AD273*AD192+AE273*AE192+AF273*AF192+AG273*AG192+AH273*AH192+AI273*AI192+AJ273*AJ192+AK273*AK192+AL273*AL192+AM273*AM192+AN273*AN192+AO273*AO192+AP273*AP192+AQ273*AQ192+AR273*AR192+AS273*AS192+AT273*AT192+AU273*AU192+AV273*AV192+AW273*AW192+AX273*AX192+AY273*AY192+AZ273*AZ192+BA273*BA192+BB273*BB192+BC273*BC192+BD273*BD192+BE273*BE192+BF273*BF192+BG273*BG192+BH273*BH192+BI273*BI192+BJ273*BJ192+BK273*BK192+BL273*BL192+BM273*BM192+BN273*BN192+BO273*BO192+BP273*BP192+BQ273*BQ192+BR273*BR192+BS273*BS192+BT273*BT192+BU273*BU192+BV273*BV192+BW273*BW192+BX273*BX192+BY273*BY192+BZ273*BZ192+CA273*CA192+CB273*CB192+CC273*CC192+CD273*CD192+CE273*CE192+CF273*CF192+CG273*CG192+CH273*CH192+CI273*CI192+CJ273*CJ192+CK273*CK192+CL273*CL192+CM273*CM192+CN273*CN192+CO273*CO192+CP273*CP192+CQ273*CQ192+CR273*CR192+CS273*CS192</f>
        <v>0</v>
      </c>
      <c r="DD192" s="2504">
        <f>E274*E192+F274*F192+G274*G192+H274*H192+I274*I192+J274*J192+K274*K192+L274*L192+M274*M192+N274*N192+O274*O192+P274*P192+Q274*Q192+R274*R192+S274*S192+T274*T192+U274*U192+V274*V192+W274*W192+X274*X192+Y274*Y192+Z274*Z192+AA274*AA192+AB274*AB192+AC274*AC192+AD274*AD192+AE274*AE192+AF274*AF192+AG274*AG192+AH274*AH192+AI274*AI192+AJ274*AJ192+AK274*AK192+AL274*AL192+AM274*AM192+AN274*AN192+AO274*AO192+AP274*AP192+AQ274*AQ192+AR274*AR192+AS274*AS192+AT274*AT192+AU274*AU192+AV274*AV192+AW274*AW192+AX274*AX192+AY274*AY192+AZ274*AZ192+BA274*BA192+BB274*BB192+BC274*BC192+BD274*BD192+BE274*BE192+BF274*BF192+BG274*BG192+BH274*BH192+BI274*BI192+BJ274*BJ192+BK274*BK192+BL274*BL192+BM274*BM192+BN274*BN192+BO274*BO192+BP274*BP192+BQ274*BQ192+BR274*BR192+BS274*BS192+BT274*BT192+BU274*BU192+BV274*BV192+BW274*BW192+BX274*BX192+BY274*BY192+BZ274*BZ192+CA274*CA192+CB274*CB192+CC274*CC192+CD274*CD192+CE274*CE192+CF274*CF192+CG274*CG192+CH274*CH192+CI274*CI192+CJ274*CJ192+CK274*CK192+CL274*CL192+CM274*CM192+CN274*CN192+CO274*CO192+CP274*CP192+CQ274*CQ192+CR274*CR192+CS274*CS192</f>
        <v>0</v>
      </c>
      <c r="DE192" s="2504">
        <f>E275*E192+F275*F192+G275*G192+H275*H192+I275*I192+J275*J192+K275*K192+L275*L192+M275*M192+N275*N192+O275*O192+P275*P192+Q275*Q192+R275*R192+S275*S192+T275*T192+U275*U192+V275*V192+W275*W192+X275*X192+Y275*Y192+Z275*Z192+AA275*AA192+AB275*AB192+AC275*AC192+AD275*AD192+AE275*AE192+AF275*AF192+AG275*AG192+AH275*AH192+AI275*AI192+AJ275*AJ192+AK275*AK192+AL275*AL192+AM275*AM192+AN275*AN192+AO275*AO192+AP275*AP192+AQ275*AQ192+AR275*AR192+AS275*AS192+AT275*AT192+AU275*AU192+AV275*AV192+AW275*AW192+AX275*AX192+AY275*AY192+AZ275*AZ192+BA275*BA192+BB275*BB192+BC275*BC192+BD275*BD192+BE275*BE192+BF275*BF192+BG275*BG192+BH275*BH192+BI275*BI192+BJ275*BJ192+BK275*BK192+BL275*BL192+BM275*BM192+BN275*BN192+BO275*BO192+BP275*BP192+BQ275*BQ192+BR275*BR192+BS275*BS192+BT275*BT192+BU275*BU192+BV275*BV192+BW275*BW192+BX275*BX192+BY275*BY192+BZ275*BZ192+CA275*CA192+CB275*CB192+CC275*CC192+CD275*CD192+CE275*CE192+CF275*CF192+CG275*CG192+CH275*CH192+CI275*CI192+CJ275*CJ192+CK275*CK192+CL275*CL192+CM275*CM192+CN275*CN192+CO275*CO192+CP275*CP192+CQ275*CQ192+CR275*CR192+CS275*CS192</f>
        <v>0</v>
      </c>
      <c r="DF192" s="2504">
        <f>E276*E192+F276*F192+G276*G192+H276*H192+I276*I192+J276*J192+K276*K192+L276*L192+M276*M192+N276*N192+O276*O192+P276*P192+Q276*Q192+R276*R192+S276*S192+T276*T192+U276*U192+V276*V192+W276*W192+X276*X192+Y276*Y192+Z276*Z192+AA276*AA192+AB276*AB192+AC276*AC192+AD276*AD192+AE276*AE192+AF276*AF192+AG276*AG192+AH276*AH192+AI276*AI192+AJ276*AJ192+AK276*AK192+AL276*AL192+AM276*AM192+AN276*AN192+AO276*AO192+AP276*AP192+AQ276*AQ192+AR276*AR192+AS276*AS192+AT276*AT192+AU276*AU192+AV276*AV192+AW276*AW192+AX276*AX192+AY276*AY192+AZ276*AZ192+BA276*BA192+BB276*BB192+BC276*BC192+BD276*BD192+BE276*BE192+BF276*BF192+BG276*BG192+BH276*BH192+BI276*BI192+BJ276*BJ192+BK276*BK192+BL276*BL192+BM276*BM192+BN276*BN192+BO276*BO192+BP276*BP192+BQ276*BQ192+BR276*BR192+BS276*BS192+BT276*BT192+BU276*BU192+BV276*BV192+BW276*BW192+BX276*BX192+BY276*BY192+BZ276*BZ192+CA276*CA192+CB276*CB192+CC276*CC192+CD276*CD192+CE276*CE192+CF276*CF192+CG276*CG192+CH276*CH192+CI276*CI192+CJ276*CJ192+CK276*CK192+CL276*CL192+CM276*CM192+CN276*CN192+CO276*CO192+CP276*CP192+CQ276*CQ192+CR276*CR192+CS276*CS192</f>
        <v>0</v>
      </c>
    </row>
    <row r="193" spans="2:110" x14ac:dyDescent="0.25">
      <c r="B193" s="1782">
        <v>51</v>
      </c>
      <c r="C193" s="1783" t="s">
        <v>2112</v>
      </c>
      <c r="D193" s="1784" t="s">
        <v>5106</v>
      </c>
      <c r="E193" s="1785">
        <f>0</f>
        <v>0</v>
      </c>
      <c r="F193" s="1785">
        <f>0</f>
        <v>0</v>
      </c>
      <c r="G193" s="1785">
        <f>0</f>
        <v>0</v>
      </c>
      <c r="H193" s="1785">
        <f>0</f>
        <v>0</v>
      </c>
      <c r="I193" s="1785">
        <f>0</f>
        <v>0</v>
      </c>
      <c r="J193" s="1785">
        <f>0</f>
        <v>0</v>
      </c>
      <c r="K193" s="1785">
        <f>0</f>
        <v>0</v>
      </c>
      <c r="L193" s="1785">
        <f>0</f>
        <v>0</v>
      </c>
      <c r="M193" s="1785">
        <f>0</f>
        <v>0</v>
      </c>
      <c r="N193" s="1785">
        <f>0</f>
        <v>0</v>
      </c>
      <c r="O193" s="1785">
        <f>0</f>
        <v>0</v>
      </c>
      <c r="P193" s="1785">
        <f>0</f>
        <v>0</v>
      </c>
      <c r="Q193" s="1785">
        <f>0</f>
        <v>0</v>
      </c>
      <c r="R193" s="1785">
        <f>0</f>
        <v>0</v>
      </c>
      <c r="S193" s="1785">
        <f>0</f>
        <v>0</v>
      </c>
      <c r="T193" s="1785">
        <f>0</f>
        <v>0</v>
      </c>
      <c r="U193" s="1785">
        <f>0</f>
        <v>0</v>
      </c>
      <c r="V193" s="1785">
        <f>0</f>
        <v>0</v>
      </c>
      <c r="W193" s="1785">
        <f>0</f>
        <v>0</v>
      </c>
      <c r="X193" s="1785">
        <f>0</f>
        <v>0</v>
      </c>
      <c r="Y193" s="1785">
        <f>0</f>
        <v>0</v>
      </c>
      <c r="Z193" s="1785">
        <f>0</f>
        <v>0</v>
      </c>
      <c r="AA193" s="1785">
        <f>0</f>
        <v>0</v>
      </c>
      <c r="AB193" s="1785">
        <f>-0.5</f>
        <v>-0.5</v>
      </c>
      <c r="AC193" s="1785">
        <f>0</f>
        <v>0</v>
      </c>
      <c r="AD193" s="2475">
        <f>-0.5</f>
        <v>-0.5</v>
      </c>
      <c r="AE193" s="1785">
        <f>0</f>
        <v>0</v>
      </c>
      <c r="AF193" s="1785">
        <f>0</f>
        <v>0</v>
      </c>
      <c r="AG193" s="1785">
        <f>1</f>
        <v>1</v>
      </c>
      <c r="AH193" s="1785">
        <f>0</f>
        <v>0</v>
      </c>
      <c r="AI193" s="1785">
        <f>0</f>
        <v>0</v>
      </c>
      <c r="AJ193" s="1785">
        <f>0</f>
        <v>0</v>
      </c>
      <c r="AK193" s="1785">
        <f>0</f>
        <v>0</v>
      </c>
      <c r="AL193" s="1785">
        <f>0</f>
        <v>0</v>
      </c>
      <c r="AM193" s="1785">
        <f>0</f>
        <v>0</v>
      </c>
      <c r="AN193" s="1785">
        <f>0</f>
        <v>0</v>
      </c>
      <c r="AO193" s="1785">
        <f>0</f>
        <v>0</v>
      </c>
      <c r="AP193" s="1785">
        <f>0</f>
        <v>0</v>
      </c>
      <c r="AQ193" s="1785">
        <f>0</f>
        <v>0</v>
      </c>
      <c r="AR193" s="1785">
        <f>0</f>
        <v>0</v>
      </c>
      <c r="AS193" s="1785">
        <f>0</f>
        <v>0</v>
      </c>
      <c r="AT193" s="1785">
        <f>0</f>
        <v>0</v>
      </c>
      <c r="AU193" s="1785">
        <f>0</f>
        <v>0</v>
      </c>
      <c r="AV193" s="1785">
        <f>0</f>
        <v>0</v>
      </c>
      <c r="AW193" s="1785">
        <f>0</f>
        <v>0</v>
      </c>
      <c r="AX193" s="1785">
        <f>0</f>
        <v>0</v>
      </c>
      <c r="AY193" s="1785">
        <f>0</f>
        <v>0</v>
      </c>
      <c r="AZ193" s="1785">
        <f>0</f>
        <v>0</v>
      </c>
      <c r="BA193" s="1785">
        <f>0</f>
        <v>0</v>
      </c>
      <c r="BB193" s="1785">
        <f>0</f>
        <v>0</v>
      </c>
      <c r="BC193" s="1785">
        <f>0</f>
        <v>0</v>
      </c>
      <c r="BD193" s="1785">
        <f>0</f>
        <v>0</v>
      </c>
      <c r="BE193" s="1785">
        <f>0</f>
        <v>0</v>
      </c>
      <c r="BF193" s="1785">
        <f>0</f>
        <v>0</v>
      </c>
      <c r="BG193" s="1785">
        <f>0</f>
        <v>0</v>
      </c>
      <c r="BH193" s="1785">
        <f>0</f>
        <v>0</v>
      </c>
      <c r="BI193" s="1785">
        <f>0</f>
        <v>0</v>
      </c>
      <c r="BJ193" s="1785">
        <f>0</f>
        <v>0</v>
      </c>
      <c r="BK193" s="1785">
        <f>0</f>
        <v>0</v>
      </c>
      <c r="BL193" s="1785">
        <f>0</f>
        <v>0</v>
      </c>
      <c r="BM193" s="1785">
        <f>0</f>
        <v>0</v>
      </c>
      <c r="BN193" s="1785">
        <f>0</f>
        <v>0</v>
      </c>
      <c r="BO193" s="1785">
        <f>0</f>
        <v>0</v>
      </c>
      <c r="BP193" s="1785">
        <f>0</f>
        <v>0</v>
      </c>
      <c r="BQ193" s="1785">
        <f>0</f>
        <v>0</v>
      </c>
      <c r="BR193" s="1785">
        <f>0</f>
        <v>0</v>
      </c>
      <c r="BS193" s="1785">
        <f>0</f>
        <v>0</v>
      </c>
      <c r="BT193" s="1785">
        <f>0</f>
        <v>0</v>
      </c>
      <c r="BU193" s="1785">
        <f>0</f>
        <v>0</v>
      </c>
      <c r="BV193" s="1785">
        <f>0</f>
        <v>0</v>
      </c>
      <c r="BW193" s="2359">
        <f>0</f>
        <v>0</v>
      </c>
      <c r="BX193" s="2359">
        <f>0</f>
        <v>0</v>
      </c>
      <c r="BY193" s="2359">
        <f>0</f>
        <v>0</v>
      </c>
      <c r="BZ193" s="2359">
        <f>0</f>
        <v>0</v>
      </c>
      <c r="CA193" s="1785">
        <f>0</f>
        <v>0</v>
      </c>
      <c r="CB193" s="1785">
        <f>0</f>
        <v>0</v>
      </c>
      <c r="CC193" s="1785">
        <f>0</f>
        <v>0</v>
      </c>
      <c r="CD193" s="1785">
        <f>0</f>
        <v>0</v>
      </c>
      <c r="CE193" s="1785">
        <f>0</f>
        <v>0</v>
      </c>
      <c r="CF193" s="1785">
        <f>0</f>
        <v>0</v>
      </c>
      <c r="CG193" s="1785">
        <f>0</f>
        <v>0</v>
      </c>
      <c r="CH193" s="1785">
        <f>0</f>
        <v>0</v>
      </c>
      <c r="CI193" s="1785">
        <f>0</f>
        <v>0</v>
      </c>
      <c r="CJ193" s="1785">
        <f>0</f>
        <v>0</v>
      </c>
      <c r="CK193" s="1785">
        <f>0</f>
        <v>0</v>
      </c>
      <c r="CL193" s="1785">
        <f>0</f>
        <v>0</v>
      </c>
      <c r="CM193" s="1785">
        <f>0</f>
        <v>0</v>
      </c>
      <c r="CN193" s="1785">
        <f>0</f>
        <v>0</v>
      </c>
      <c r="CO193" s="1785">
        <f>0</f>
        <v>0</v>
      </c>
      <c r="CP193" s="1785">
        <f>0</f>
        <v>0</v>
      </c>
      <c r="CQ193" s="1785">
        <f>0</f>
        <v>0</v>
      </c>
      <c r="CR193" s="1785">
        <f>0</f>
        <v>0</v>
      </c>
      <c r="CS193" s="1785">
        <f>0</f>
        <v>0</v>
      </c>
      <c r="CT193" s="2477">
        <f>q_NH2OH_NO2_pH*S_NH2OH*S_HNO2</f>
        <v>3.1039725498285158E-7</v>
      </c>
      <c r="CV193" s="2502">
        <f>E266*E193+F266*F193+G266*G193+H266*H193+I266*I193+J266*J193+K266*K193+L266*L193+M266*M193+N266*N193+O266*O193+P266*P193+Q266*Q193+R266*R193+S266*S193+T266*T193+U266*U193+V266*V193+W266*W193+X266*X193+Y266*Y193+Z266*Z193+AA266*AA193+AB266*AB193+AC266*AC193+AD266*AD193+AE266*AE193+AF266*AF193+AG266*AG193+AH266*AH193+AI266*AI193+AJ266*AJ193+AK266*AK193+AL266*AL193+AM266*AM193+AN266*AN193+AO266*AO193+AP266*AP193+AQ266*AQ193+AR266*AR193+AS266*AS193+AT266*AT193+AU266*AU193+AV266*AV193+AW266*AW193+AX266*AX193+AY266*AY193+AZ266*AZ193+BA266*BA193+BB266*BB193+BC266*BC193+BD266*BD193+BE266*BE193+BF266*BF193+BG266*BG193+BH266*BH193+BI266*BI193+BJ266*BJ193+BK266*BK193+BL266*BL193+BM266*BM193+BN266*BN193+BO266*BO193+BP266*BP193+BQ266*BQ193+BR266*BR193+BS266*BS193+BT266*BT193+BU266*BU193+BV266*BV193+BW266*BW193+BX266*BX193+BY266*BY193+BZ266*BZ193+CA266*CA193+CB266*CB193+CC266*CC193+CD266*CD193+CE266*CE193+CF266*CF193+CG266*CG193+CH266*CH193+CI266*CI193+CJ266*CJ193+CK266*CK193+CL266*CL193+CM266*CM193+CN266*CN193+CO266*CO193+CP266*CP193+CQ266*CQ193+CR266*CR193+CS266*CS193</f>
        <v>0</v>
      </c>
      <c r="CW193" s="2502">
        <f>E267*E193+F267*F193+G267*G193+H267*H193+I267*I193+J267*J193+K267*K193+L267*L193+M267*M193+N267*N193+O267*O193+P267*P193+Q267*Q193+R267*R193+S267*S193+T267*T193+U267*U193+V267*V193+W267*W193+X267*X193+Y267*Y193+Z267*Z193+AA267*AA193+AB267*AB193+AC267*AC193+AD267*AD193+AE267*AE193+AF267*AF193+AG267*AG193+AH267*AH193+AI267*AI193+AJ267*AJ193+AK267*AK193+AL267*AL193+AM267*AM193+AN267*AN193+AO267*AO193+AP267*AP193+AQ267*AQ193+AR267*AR193+AS267*AS193+AT267*AT193+AU267*AU193+AV267*AV193+AW267*AW193+AX267*AX193+AY267*AY193+AZ267*AZ193+BA267*BA193+BB267*BB193+BC267*BC193+BD267*BD193+BE267*BE193+BF267*BF193+BG267*BG193+BH267*BH193+BI267*BI193+BJ267*BJ193+BK267*BK193+BL267*BL193+BM267*BM193+BN267*BN193+BO267*BO193+BP267*BP193+BQ267*BQ193+BR267*BR193+BS267*BS193+BT267*BT193+BU267*BU193+BV267*BV193+BW267*BW193+BX267*BX193+BY267*BY193+BZ267*BZ193+CA267*CA193+CB267*CB193+CC267*CC193+CD267*CD193+CE267*CE193+CF267*CF193+CG267*CG193+CH267*CH193+CI267*CI193+CJ267*CJ193+CK267*CK193+CL267*CL193+CM267*CM193+CN267*CN193+CO267*CO193+CP267*CP193+CQ267*CQ193+CR267*CR193+CS267*CS193</f>
        <v>0</v>
      </c>
      <c r="CX193" s="2503">
        <f>E268*E193+F268*F193+G268*G193+H268*H193+I268*I193+J268*J193+K268*K193+L268*L193+M268*M193+N268*N193+O268*O193+P268*P193+Q268*Q193+R268*R193+S268*S193+T268*T193+U268*U193+V268*V193+W268*W193+X268*X193+Y268*Y193+Z268*Z193+AA268*AA193+AB268*AB193+AC268*AC193+AD268*AD193+AE268*AE193+AF268*AF193+AG268*AG193+AH268*AH193+AI268*AI193+AJ268*AJ193+AK268*AK193+AL268*AL193+AM268*AM193+AN268*AN193+AO268*AO193+AP268*AP193+AQ268*AQ193+AR268*AR193+AS268*AS193+AT268*AT193+AU268*AU193+AV268*AV193+AW268*AW193+AX268*AX193+AY268*AY193+AZ268*AZ193+BA268*BA193+BB268*BB193+BC268*BC193+BD268*BD193+BE268*BE193+BF268*BF193+BG268*BG193+BH268*BH193+BI268*BI193+BJ268*BJ193+BK268*BK193+BL268*BL193+BM268*BM193+BN268*BN193+BO268*BO193+BP268*BP193+BQ268*BQ193+BR268*BR193+BS268*BS193+BT268*BT193+BU268*BU193+BV268*BV193+BW268*BW193+BX268*BX193+BY268*BY193+BZ268*BZ193+CA268*CA193+CB268*CB193+CC268*CC193+CD268*CD193+CE268*CE193+CF268*CF193+CG268*CG193+CH268*CH193+CI268*CI193+CJ268*CJ193+CK268*CK193+CL268*CL193+CM268*CM193+CN268*CN193+CO268*CO193+CP268*CP193+CQ268*CQ193+CR268*CR193+CS268*CS193</f>
        <v>0</v>
      </c>
      <c r="CY193" s="2504">
        <f>E269*E193+F269*F193+G269*G193+H269*H193+I269*I193+J269*J193+K269*K193+L269*L193+M269*M193+N269*N193+O269*O193+P269*P193+Q269*Q193+R269*R193+S269*S193+T269*T193+U269*U193+V269*V193+W269*W193+X269*X193+Y269*Y193+Z269*Z193+AA269*AA193+AB269*AB193+AC269*AC193+AD269*AD193+AE269*AE193+AF269*AF193+AG269*AG193+AH269*AH193+AI269*AI193+AJ269*AJ193+AK269*AK193+AL269*AL193+AM269*AM193+AN269*AN193+AO269*AO193+AP269*AP193+AQ269*AQ193+AR269*AR193+AS269*AS193+AT269*AT193+AU269*AU193+AV269*AV193+AW269*AW193+AX269*AX193+AY269*AY193+AZ269*AZ193+BA269*BA193+BB269*BB193+BC269*BC193+BD269*BD193+BE269*BE193+BF269*BF193+BG269*BG193+BH269*BH193+BI269*BI193+BJ269*BJ193+BK269*BK193+BL269*BL193+BM269*BM193+BN269*BN193+BO269*BO193+BP269*BP193+BQ269*BQ193+BR269*BR193+BS269*BS193+BT269*BT193+BU269*BU193+BV269*BV193+BW269*BW193+BX269*BX193+BY269*BY193+BZ269*BZ193+CA269*CA193+CB269*CB193+CC269*CC193+CD269*CD193+CE269*CE193+CF269*CF193+CG269*CG193+CH269*CH193+CI269*CI193+CJ269*CJ193+CK269*CK193+CL269*CL193+CM269*CM193+CN269*CN193+CO269*CO193+CP269*CP193+CQ269*CQ193+CR269*CR193+CS269*CS193</f>
        <v>0</v>
      </c>
      <c r="CZ193" s="2504">
        <f>E270*E193+F270*F193+G270*G193+H270*H193+I270*I193+J270*J193+K270*K193+L270*L193+M270*M193+N270*N193+O270*O193+P270*P193+Q270*Q193+R270*R193+S270*S193+T270*T193+U270*U193+V270*V193+W270*W193+X270*X193+Y270*Y193+Z270*Z193+AA270*AA193+AB270*AB193+AC270*AC193+AD270*AD193+AE270*AE193+AF270*AF193+AG270*AG193+AH270*AH193+AI270*AI193+AJ270*AJ193+AK270*AK193+AL270*AL193+AM270*AM193+AN270*AN193+AO270*AO193+AP270*AP193+AQ270*AQ193+AR270*AR193+AS270*AS193+AT270*AT193+AU270*AU193+AV270*AV193+AW270*AW193+AX270*AX193+AY270*AY193+AZ270*AZ193+BA270*BA193+BB270*BB193+BC270*BC193+BD270*BD193+BE270*BE193+BF270*BF193+BG270*BG193+BH270*BH193+BI270*BI193+BJ270*BJ193+BK270*BK193+BL270*BL193+BM270*BM193+BN270*BN193+BO270*BO193+BP270*BP193+BQ270*BQ193+BR270*BR193+BS270*BS193+BT270*BT193+BU270*BU193+BV270*BV193+BW270*BW193+BX270*BX193+BY270*BY193+BZ270*BZ193+CA270*CA193+CB270*CB193+CC270*CC193+CD270*CD193+CE270*CE193+CF270*CF193+CG270*CG193+CH270*CH193+CI270*CI193+CJ270*CJ193+CK270*CK193+CL270*CL193+CM270*CM193+CN270*CN193+CO270*CO193+CP270*CP193+CQ270*CQ193+CR270*CR193+CS270*CS193</f>
        <v>0</v>
      </c>
      <c r="DA193" s="2504">
        <f>E271*E193+F271*F193+G271*G193+H271*H193+I271*I193+J271*J193+K271*K193+L271*L193+M271*M193+N271*N193+O271*O193+P271*P193+Q271*Q193+R271*R193+S271*S193+T271*T193+U271*U193+V271*V193+W271*W193+X271*X193+Y271*Y193+Z271*Z193+AA271*AA193+AB271*AB193+AC271*AC193+AD271*AD193+AE271*AE193+AF271*AF193+AG271*AG193+AH271*AH193+AI271*AI193+AJ271*AJ193+AK271*AK193+AL271*AL193+AM271*AM193+AN271*AN193+AO271*AO193+AP271*AP193+AQ271*AQ193+AR271*AR193+AS271*AS193+AT271*AT193+AU271*AU193+AV271*AV193+AW271*AW193+AX271*AX193+AY271*AY193+AZ271*AZ193+BA271*BA193+BB271*BB193+BC271*BC193+BD271*BD193+BE271*BE193+BF271*BF193+BG271*BG193+BH271*BH193+BI271*BI193+BJ271*BJ193+BK271*BK193+BL271*BL193+BM271*BM193+BN271*BN193+BO271*BO193+BP271*BP193+BQ271*BQ193+BR271*BR193+BS271*BS193+BT271*BT193+BU271*BU193+BV271*BV193+BW271*BW193+BX271*BX193+BY271*BY193+BZ271*BZ193+CA271*CA193+CB271*CB193+CC271*CC193+CD271*CD193+CE271*CE193+CF271*CF193+CG271*CG193+CH271*CH193+CI271*CI193+CJ271*CJ193+CK271*CK193+CL271*CL193+CM271*CM193+CN271*CN193+CO271*CO193+CP271*CP193+CQ271*CQ193+CR271*CR193+CS271*CS193</f>
        <v>0</v>
      </c>
      <c r="DB193" s="2504">
        <f>E272*E193+F272*F193+G272*G193+H272*H193+I272*I193+J272*J193+K272*K193+L272*L193+M272*M193+N272*N193+O272*O193+P272*P193+Q272*Q193+R272*R193+S272*S193+T272*T193+U272*U193+V272*V193+W272*W193+X272*X193+Y272*Y193+Z272*Z193+AA272*AA193+AB272*AB193+AC272*AC193+AD272*AD193+AE272*AE193+AF272*AF193+AG272*AG193+AH272*AH193+AI272*AI193+AJ272*AJ193+AK272*AK193+AL272*AL193+AM272*AM193+AN272*AN193+AO272*AO193+AP272*AP193+AQ272*AQ193+AR272*AR193+AS272*AS193+AT272*AT193+AU272*AU193+AV272*AV193+AW272*AW193+AX272*AX193+AY272*AY193+AZ272*AZ193+BA272*BA193+BB272*BB193+BC272*BC193+BD272*BD193+BE272*BE193+BF272*BF193+BG272*BG193+BH272*BH193+BI272*BI193+BJ272*BJ193+BK272*BK193+BL272*BL193+BM272*BM193+BN272*BN193+BO272*BO193+BP272*BP193+BQ272*BQ193+BR272*BR193+BS272*BS193+BT272*BT193+BU272*BU193+BV272*BV193+BW272*BW193+BX272*BX193+BY272*BY193+BZ272*BZ193+CA272*CA193+CB272*CB193+CC272*CC193+CD272*CD193+CE272*CE193+CF272*CF193+CG272*CG193+CH272*CH193+CI272*CI193+CJ272*CJ193+CK272*CK193+CL272*CL193+CM272*CM193+CN272*CN193+CO272*CO193+CP272*CP193+CQ272*CQ193+CR272*CR193+CS272*CS193</f>
        <v>0</v>
      </c>
      <c r="DC193" s="2504">
        <f>E273*E193+F273*F193+G273*G193+H273*H193+I273*I193+J273*J193+K273*K193+L273*L193+M273*M193+N273*N193+O273*O193+P273*P193+Q273*Q193+R273*R193+S273*S193+T273*T193+U273*U193+V273*V193+W273*W193+X273*X193+Y273*Y193+Z273*Z193+AA273*AA193+AB273*AB193+AC273*AC193+AD273*AD193+AE273*AE193+AF273*AF193+AG273*AG193+AH273*AH193+AI273*AI193+AJ273*AJ193+AK273*AK193+AL273*AL193+AM273*AM193+AN273*AN193+AO273*AO193+AP273*AP193+AQ273*AQ193+AR273*AR193+AS273*AS193+AT273*AT193+AU273*AU193+AV273*AV193+AW273*AW193+AX273*AX193+AY273*AY193+AZ273*AZ193+BA273*BA193+BB273*BB193+BC273*BC193+BD273*BD193+BE273*BE193+BF273*BF193+BG273*BG193+BH273*BH193+BI273*BI193+BJ273*BJ193+BK273*BK193+BL273*BL193+BM273*BM193+BN273*BN193+BO273*BO193+BP273*BP193+BQ273*BQ193+BR273*BR193+BS273*BS193+BT273*BT193+BU273*BU193+BV273*BV193+BW273*BW193+BX273*BX193+BY273*BY193+BZ273*BZ193+CA273*CA193+CB273*CB193+CC273*CC193+CD273*CD193+CE273*CE193+CF273*CF193+CG273*CG193+CH273*CH193+CI273*CI193+CJ273*CJ193+CK273*CK193+CL273*CL193+CM273*CM193+CN273*CN193+CO273*CO193+CP273*CP193+CQ273*CQ193+CR273*CR193+CS273*CS193</f>
        <v>0</v>
      </c>
      <c r="DD193" s="2504">
        <f>E274*E193+F274*F193+G274*G193+H274*H193+I274*I193+J274*J193+K274*K193+L274*L193+M274*M193+N274*N193+O274*O193+P274*P193+Q274*Q193+R274*R193+S274*S193+T274*T193+U274*U193+V274*V193+W274*W193+X274*X193+Y274*Y193+Z274*Z193+AA274*AA193+AB274*AB193+AC274*AC193+AD274*AD193+AE274*AE193+AF274*AF193+AG274*AG193+AH274*AH193+AI274*AI193+AJ274*AJ193+AK274*AK193+AL274*AL193+AM274*AM193+AN274*AN193+AO274*AO193+AP274*AP193+AQ274*AQ193+AR274*AR193+AS274*AS193+AT274*AT193+AU274*AU193+AV274*AV193+AW274*AW193+AX274*AX193+AY274*AY193+AZ274*AZ193+BA274*BA193+BB274*BB193+BC274*BC193+BD274*BD193+BE274*BE193+BF274*BF193+BG274*BG193+BH274*BH193+BI274*BI193+BJ274*BJ193+BK274*BK193+BL274*BL193+BM274*BM193+BN274*BN193+BO274*BO193+BP274*BP193+BQ274*BQ193+BR274*BR193+BS274*BS193+BT274*BT193+BU274*BU193+BV274*BV193+BW274*BW193+BX274*BX193+BY274*BY193+BZ274*BZ193+CA274*CA193+CB274*CB193+CC274*CC193+CD274*CD193+CE274*CE193+CF274*CF193+CG274*CG193+CH274*CH193+CI274*CI193+CJ274*CJ193+CK274*CK193+CL274*CL193+CM274*CM193+CN274*CN193+CO274*CO193+CP274*CP193+CQ274*CQ193+CR274*CR193+CS274*CS193</f>
        <v>0</v>
      </c>
      <c r="DE193" s="2504">
        <f>E275*E193+F275*F193+G275*G193+H275*H193+I275*I193+J275*J193+K275*K193+L275*L193+M275*M193+N275*N193+O275*O193+P275*P193+Q275*Q193+R275*R193+S275*S193+T275*T193+U275*U193+V275*V193+W275*W193+X275*X193+Y275*Y193+Z275*Z193+AA275*AA193+AB275*AB193+AC275*AC193+AD275*AD193+AE275*AE193+AF275*AF193+AG275*AG193+AH275*AH193+AI275*AI193+AJ275*AJ193+AK275*AK193+AL275*AL193+AM275*AM193+AN275*AN193+AO275*AO193+AP275*AP193+AQ275*AQ193+AR275*AR193+AS275*AS193+AT275*AT193+AU275*AU193+AV275*AV193+AW275*AW193+AX275*AX193+AY275*AY193+AZ275*AZ193+BA275*BA193+BB275*BB193+BC275*BC193+BD275*BD193+BE275*BE193+BF275*BF193+BG275*BG193+BH275*BH193+BI275*BI193+BJ275*BJ193+BK275*BK193+BL275*BL193+BM275*BM193+BN275*BN193+BO275*BO193+BP275*BP193+BQ275*BQ193+BR275*BR193+BS275*BS193+BT275*BT193+BU275*BU193+BV275*BV193+BW275*BW193+BX275*BX193+BY275*BY193+BZ275*BZ193+CA275*CA193+CB275*CB193+CC275*CC193+CD275*CD193+CE275*CE193+CF275*CF193+CG275*CG193+CH275*CH193+CI275*CI193+CJ275*CJ193+CK275*CK193+CL275*CL193+CM275*CM193+CN275*CN193+CO275*CO193+CP275*CP193+CQ275*CQ193+CR275*CR193+CS275*CS193</f>
        <v>0</v>
      </c>
      <c r="DF193" s="2504">
        <f>E276*E193+F276*F193+G276*G193+H276*H193+I276*I193+J276*J193+K276*K193+L276*L193+M276*M193+N276*N193+O276*O193+P276*P193+Q276*Q193+R276*R193+S276*S193+T276*T193+U276*U193+V276*V193+W276*W193+X276*X193+Y276*Y193+Z276*Z193+AA276*AA193+AB276*AB193+AC276*AC193+AD276*AD193+AE276*AE193+AF276*AF193+AG276*AG193+AH276*AH193+AI276*AI193+AJ276*AJ193+AK276*AK193+AL276*AL193+AM276*AM193+AN276*AN193+AO276*AO193+AP276*AP193+AQ276*AQ193+AR276*AR193+AS276*AS193+AT276*AT193+AU276*AU193+AV276*AV193+AW276*AW193+AX276*AX193+AY276*AY193+AZ276*AZ193+BA276*BA193+BB276*BB193+BC276*BC193+BD276*BD193+BE276*BE193+BF276*BF193+BG276*BG193+BH276*BH193+BI276*BI193+BJ276*BJ193+BK276*BK193+BL276*BL193+BM276*BM193+BN276*BN193+BO276*BO193+BP276*BP193+BQ276*BQ193+BR276*BR193+BS276*BS193+BT276*BT193+BU276*BU193+BV276*BV193+BW276*BW193+BX276*BX193+BY276*BY193+BZ276*BZ193+CA276*CA193+CB276*CB193+CC276*CC193+CD276*CD193+CE276*CE193+CF276*CF193+CG276*CG193+CH276*CH193+CI276*CI193+CJ276*CJ193+CK276*CK193+CL276*CL193+CM276*CM193+CN276*CN193+CO276*CO193+CP276*CP193+CQ276*CQ193+CR276*CR193+CS276*CS193</f>
        <v>0</v>
      </c>
    </row>
    <row r="194" spans="2:110" x14ac:dyDescent="0.25">
      <c r="B194" s="1782">
        <v>52</v>
      </c>
      <c r="C194" s="1783" t="s">
        <v>2113</v>
      </c>
      <c r="D194" s="1784" t="s">
        <v>5118</v>
      </c>
      <c r="E194" s="1785">
        <f>0</f>
        <v>0</v>
      </c>
      <c r="F194" s="1785">
        <f>0</f>
        <v>0</v>
      </c>
      <c r="G194" s="1785">
        <f>0</f>
        <v>0</v>
      </c>
      <c r="H194" s="1785">
        <f>0</f>
        <v>0</v>
      </c>
      <c r="I194" s="1785">
        <f>0</f>
        <v>0</v>
      </c>
      <c r="J194" s="1785">
        <f>0</f>
        <v>0</v>
      </c>
      <c r="K194" s="1785">
        <f>0</f>
        <v>0</v>
      </c>
      <c r="L194" s="1785">
        <f>0</f>
        <v>0</v>
      </c>
      <c r="M194" s="1785">
        <f>0</f>
        <v>0</v>
      </c>
      <c r="N194" s="1785">
        <f>0</f>
        <v>0</v>
      </c>
      <c r="O194" s="1785">
        <f>0</f>
        <v>0</v>
      </c>
      <c r="P194" s="1785">
        <f>0</f>
        <v>0</v>
      </c>
      <c r="Q194" s="1785">
        <f>0</f>
        <v>0</v>
      </c>
      <c r="R194" s="1785">
        <f>0</f>
        <v>0</v>
      </c>
      <c r="S194" s="1785">
        <f>0</f>
        <v>0</v>
      </c>
      <c r="T194" s="1785">
        <f>0</f>
        <v>0</v>
      </c>
      <c r="U194" s="1785">
        <f>0</f>
        <v>0</v>
      </c>
      <c r="V194" s="1785">
        <f>0</f>
        <v>0</v>
      </c>
      <c r="W194" s="1785">
        <f>0</f>
        <v>0</v>
      </c>
      <c r="X194" s="1785">
        <f>0</f>
        <v>0</v>
      </c>
      <c r="Y194" s="1785">
        <f>0</f>
        <v>0</v>
      </c>
      <c r="Z194" s="1785">
        <f>0</f>
        <v>0</v>
      </c>
      <c r="AA194" s="1785">
        <f>0</f>
        <v>0</v>
      </c>
      <c r="AB194" s="1785">
        <f>-1</f>
        <v>-1</v>
      </c>
      <c r="AC194" s="1785">
        <f>0</f>
        <v>0</v>
      </c>
      <c r="AD194" s="1785">
        <f>0</f>
        <v>0</v>
      </c>
      <c r="AE194" s="1785">
        <f>0</f>
        <v>0</v>
      </c>
      <c r="AF194" s="1785">
        <f>0</f>
        <v>0</v>
      </c>
      <c r="AG194" s="1785">
        <f>1</f>
        <v>1</v>
      </c>
      <c r="AH194" s="1785">
        <f>0</f>
        <v>0</v>
      </c>
      <c r="AI194" s="1785">
        <f>0</f>
        <v>0</v>
      </c>
      <c r="AJ194" s="1785">
        <f>0</f>
        <v>0</v>
      </c>
      <c r="AK194" s="1785">
        <f>0</f>
        <v>0</v>
      </c>
      <c r="AL194" s="1785">
        <f>0</f>
        <v>0</v>
      </c>
      <c r="AM194" s="1785">
        <f>0</f>
        <v>0</v>
      </c>
      <c r="AN194" s="1785">
        <f>0</f>
        <v>0</v>
      </c>
      <c r="AO194" s="1785">
        <f>0</f>
        <v>0</v>
      </c>
      <c r="AP194" s="1785">
        <f>0</f>
        <v>0</v>
      </c>
      <c r="AQ194" s="1785">
        <f>0</f>
        <v>0</v>
      </c>
      <c r="AR194" s="1785">
        <f>0</f>
        <v>0</v>
      </c>
      <c r="AS194" s="1800">
        <f>E_EQNH2OH-E_EQN2O</f>
        <v>-1.1422676290632339</v>
      </c>
      <c r="AT194" s="1785">
        <f>0</f>
        <v>0</v>
      </c>
      <c r="AU194" s="1785">
        <f>0</f>
        <v>0</v>
      </c>
      <c r="AV194" s="1785">
        <f>0</f>
        <v>0</v>
      </c>
      <c r="AW194" s="1785">
        <f>0</f>
        <v>0</v>
      </c>
      <c r="AX194" s="1785">
        <f>0</f>
        <v>0</v>
      </c>
      <c r="AY194" s="1785">
        <f>0</f>
        <v>0</v>
      </c>
      <c r="AZ194" s="1785">
        <f>0</f>
        <v>0</v>
      </c>
      <c r="BA194" s="1785">
        <f>0</f>
        <v>0</v>
      </c>
      <c r="BB194" s="1785">
        <f>0</f>
        <v>0</v>
      </c>
      <c r="BC194" s="1785">
        <f>0</f>
        <v>0</v>
      </c>
      <c r="BD194" s="1785">
        <f>0</f>
        <v>0</v>
      </c>
      <c r="BE194" s="1785">
        <f>0</f>
        <v>0</v>
      </c>
      <c r="BF194" s="1785">
        <f>0</f>
        <v>0</v>
      </c>
      <c r="BG194" s="1785">
        <f>0</f>
        <v>0</v>
      </c>
      <c r="BH194" s="1785">
        <f>0</f>
        <v>0</v>
      </c>
      <c r="BI194" s="1785">
        <f>0</f>
        <v>0</v>
      </c>
      <c r="BJ194" s="1785">
        <f>0</f>
        <v>0</v>
      </c>
      <c r="BK194" s="1785">
        <f>0</f>
        <v>0</v>
      </c>
      <c r="BL194" s="1785">
        <f>0</f>
        <v>0</v>
      </c>
      <c r="BM194" s="1785">
        <f>0</f>
        <v>0</v>
      </c>
      <c r="BN194" s="1785">
        <f>0</f>
        <v>0</v>
      </c>
      <c r="BO194" s="1785">
        <f>0</f>
        <v>0</v>
      </c>
      <c r="BP194" s="1785">
        <f>0</f>
        <v>0</v>
      </c>
      <c r="BQ194" s="1785">
        <f>0</f>
        <v>0</v>
      </c>
      <c r="BR194" s="1785">
        <f>0</f>
        <v>0</v>
      </c>
      <c r="BS194" s="1785">
        <f>0</f>
        <v>0</v>
      </c>
      <c r="BT194" s="1785">
        <f>0</f>
        <v>0</v>
      </c>
      <c r="BU194" s="1785">
        <f>0</f>
        <v>0</v>
      </c>
      <c r="BV194" s="1785">
        <f>0</f>
        <v>0</v>
      </c>
      <c r="BW194" s="2359">
        <f>0</f>
        <v>0</v>
      </c>
      <c r="BX194" s="2359">
        <f>0</f>
        <v>0</v>
      </c>
      <c r="BY194" s="2359">
        <f>0</f>
        <v>0</v>
      </c>
      <c r="BZ194" s="2359">
        <f>0</f>
        <v>0</v>
      </c>
      <c r="CA194" s="1785">
        <f>0</f>
        <v>0</v>
      </c>
      <c r="CB194" s="1785">
        <f>0</f>
        <v>0</v>
      </c>
      <c r="CC194" s="1785">
        <f>0</f>
        <v>0</v>
      </c>
      <c r="CD194" s="1785">
        <f>0</f>
        <v>0</v>
      </c>
      <c r="CE194" s="1785">
        <f>0</f>
        <v>0</v>
      </c>
      <c r="CF194" s="1785">
        <f>0</f>
        <v>0</v>
      </c>
      <c r="CG194" s="1785">
        <f>0</f>
        <v>0</v>
      </c>
      <c r="CH194" s="1785">
        <f>0</f>
        <v>0</v>
      </c>
      <c r="CI194" s="1785">
        <f>0</f>
        <v>0</v>
      </c>
      <c r="CJ194" s="1785">
        <f>0</f>
        <v>0</v>
      </c>
      <c r="CK194" s="1785">
        <f>0</f>
        <v>0</v>
      </c>
      <c r="CL194" s="1785">
        <f>0</f>
        <v>0</v>
      </c>
      <c r="CM194" s="1785">
        <f>0</f>
        <v>0</v>
      </c>
      <c r="CN194" s="1785">
        <f>0</f>
        <v>0</v>
      </c>
      <c r="CO194" s="1785">
        <f>0</f>
        <v>0</v>
      </c>
      <c r="CP194" s="1785">
        <f>0</f>
        <v>0</v>
      </c>
      <c r="CQ194" s="1785">
        <f>0</f>
        <v>0</v>
      </c>
      <c r="CR194" s="1785">
        <f>0</f>
        <v>0</v>
      </c>
      <c r="CS194" s="1785">
        <f>0</f>
        <v>0</v>
      </c>
      <c r="CT194" s="2477">
        <f>q_NH2OH_O2*S_NH2OH^2*M_satSO2_KO2_aBIO</f>
        <v>8.8888888888888895E-8</v>
      </c>
      <c r="CV194" s="2502">
        <f>E266*E194+F266*F194+G266*G194+H266*H194+I266*I194+J266*J194+K266*K194+L266*L194+M266*M194+N266*N194+O266*O194+P266*P194+Q266*Q194+R266*R194+S266*S194+T266*T194+U266*U194+V266*V194+W266*W194+X266*X194+Y266*Y194+Z266*Z194+AA266*AA194+AB266*AB194+AC266*AC194+AD266*AD194+AE266*AE194+AF266*AF194+AG266*AG194+AH266*AH194+AI266*AI194+AJ266*AJ194+AK266*AK194+AL266*AL194+AM266*AM194+AN266*AN194+AO266*AO194+AP266*AP194+AQ266*AQ194+AR266*AR194+AS266*AS194+AT266*AT194+AU266*AU194+AV266*AV194+AW266*AW194+AX266*AX194+AY266*AY194+AZ266*AZ194+BA266*BA194+BB266*BB194+BC266*BC194+BD266*BD194+BE266*BE194+BF266*BF194+BG266*BG194+BH266*BH194+BI266*BI194+BJ266*BJ194+BK266*BK194+BL266*BL194+BM266*BM194+BN266*BN194+BO266*BO194+BP266*BP194+BQ266*BQ194+BR266*BR194+BS266*BS194+BT266*BT194+BU266*BU194+BV266*BV194+BW266*BW194+BX266*BX194+BY266*BY194+BZ266*BZ194+CA266*CA194+CB266*CB194+CC266*CC194+CD266*CD194+CE266*CE194+CF266*CF194+CG266*CG194+CH266*CH194+CI266*CI194+CJ266*CJ194+CK266*CK194+CL266*CL194+CM266*CM194+CN266*CN194+CO266*CO194+CP266*CP194+CQ266*CQ194+CR266*CR194+CS266*CS194</f>
        <v>0</v>
      </c>
      <c r="CW194" s="2502">
        <f>E267*E194+F267*F194+G267*G194+H267*H194+I267*I194+J267*J194+K267*K194+L267*L194+M267*M194+N267*N194+O267*O194+P267*P194+Q267*Q194+R267*R194+S267*S194+T267*T194+U267*U194+V267*V194+W267*W194+X267*X194+Y267*Y194+Z267*Z194+AA267*AA194+AB267*AB194+AC267*AC194+AD267*AD194+AE267*AE194+AF267*AF194+AG267*AG194+AH267*AH194+AI267*AI194+AJ267*AJ194+AK267*AK194+AL267*AL194+AM267*AM194+AN267*AN194+AO267*AO194+AP267*AP194+AQ267*AQ194+AR267*AR194+AS267*AS194+AT267*AT194+AU267*AU194+AV267*AV194+AW267*AW194+AX267*AX194+AY267*AY194+AZ267*AZ194+BA267*BA194+BB267*BB194+BC267*BC194+BD267*BD194+BE267*BE194+BF267*BF194+BG267*BG194+BH267*BH194+BI267*BI194+BJ267*BJ194+BK267*BK194+BL267*BL194+BM267*BM194+BN267*BN194+BO267*BO194+BP267*BP194+BQ267*BQ194+BR267*BR194+BS267*BS194+BT267*BT194+BU267*BU194+BV267*BV194+BW267*BW194+BX267*BX194+BY267*BY194+BZ267*BZ194+CA267*CA194+CB267*CB194+CC267*CC194+CD267*CD194+CE267*CE194+CF267*CF194+CG267*CG194+CH267*CH194+CI267*CI194+CJ267*CJ194+CK267*CK194+CL267*CL194+CM267*CM194+CN267*CN194+CO267*CO194+CP267*CP194+CQ267*CQ194+CR267*CR194+CS267*CS194</f>
        <v>0</v>
      </c>
      <c r="CX194" s="2503">
        <f>E268*E194+F268*F194+G268*G194+H268*H194+I268*I194+J268*J194+K268*K194+L268*L194+M268*M194+N268*N194+O268*O194+P268*P194+Q268*Q194+R268*R194+S268*S194+T268*T194+U268*U194+V268*V194+W268*W194+X268*X194+Y268*Y194+Z268*Z194+AA268*AA194+AB268*AB194+AC268*AC194+AD268*AD194+AE268*AE194+AF268*AF194+AG268*AG194+AH268*AH194+AI268*AI194+AJ268*AJ194+AK268*AK194+AL268*AL194+AM268*AM194+AN268*AN194+AO268*AO194+AP268*AP194+AQ268*AQ194+AR268*AR194+AS268*AS194+AT268*AT194+AU268*AU194+AV268*AV194+AW268*AW194+AX268*AX194+AY268*AY194+AZ268*AZ194+BA268*BA194+BB268*BB194+BC268*BC194+BD268*BD194+BE268*BE194+BF268*BF194+BG268*BG194+BH268*BH194+BI268*BI194+BJ268*BJ194+BK268*BK194+BL268*BL194+BM268*BM194+BN268*BN194+BO268*BO194+BP268*BP194+BQ268*BQ194+BR268*BR194+BS268*BS194+BT268*BT194+BU268*BU194+BV268*BV194+BW268*BW194+BX268*BX194+BY268*BY194+BZ268*BZ194+CA268*CA194+CB268*CB194+CC268*CC194+CD268*CD194+CE268*CE194+CF268*CF194+CG268*CG194+CH268*CH194+CI268*CI194+CJ268*CJ194+CK268*CK194+CL268*CL194+CM268*CM194+CN268*CN194+CO268*CO194+CP268*CP194+CQ268*CQ194+CR268*CR194+CS268*CS194</f>
        <v>0</v>
      </c>
      <c r="CY194" s="2504">
        <f>E269*E194+F269*F194+G269*G194+H269*H194+I269*I194+J269*J194+K269*K194+L269*L194+M269*M194+N269*N194+O269*O194+P269*P194+Q269*Q194+R269*R194+S269*S194+T269*T194+U269*U194+V269*V194+W269*W194+X269*X194+Y269*Y194+Z269*Z194+AA269*AA194+AB269*AB194+AC269*AC194+AD269*AD194+AE269*AE194+AF269*AF194+AG269*AG194+AH269*AH194+AI269*AI194+AJ269*AJ194+AK269*AK194+AL269*AL194+AM269*AM194+AN269*AN194+AO269*AO194+AP269*AP194+AQ269*AQ194+AR269*AR194+AS269*AS194+AT269*AT194+AU269*AU194+AV269*AV194+AW269*AW194+AX269*AX194+AY269*AY194+AZ269*AZ194+BA269*BA194+BB269*BB194+BC269*BC194+BD269*BD194+BE269*BE194+BF269*BF194+BG269*BG194+BH269*BH194+BI269*BI194+BJ269*BJ194+BK269*BK194+BL269*BL194+BM269*BM194+BN269*BN194+BO269*BO194+BP269*BP194+BQ269*BQ194+BR269*BR194+BS269*BS194+BT269*BT194+BU269*BU194+BV269*BV194+BW269*BW194+BX269*BX194+BY269*BY194+BZ269*BZ194+CA269*CA194+CB269*CB194+CC269*CC194+CD269*CD194+CE269*CE194+CF269*CF194+CG269*CG194+CH269*CH194+CI269*CI194+CJ269*CJ194+CK269*CK194+CL269*CL194+CM269*CM194+CN269*CN194+CO269*CO194+CP269*CP194+CQ269*CQ194+CR269*CR194+CS269*CS194</f>
        <v>0</v>
      </c>
      <c r="CZ194" s="2504">
        <f>E270*E194+F270*F194+G270*G194+H270*H194+I270*I194+J270*J194+K270*K194+L270*L194+M270*M194+N270*N194+O270*O194+P270*P194+Q270*Q194+R270*R194+S270*S194+T270*T194+U270*U194+V270*V194+W270*W194+X270*X194+Y270*Y194+Z270*Z194+AA270*AA194+AB270*AB194+AC270*AC194+AD270*AD194+AE270*AE194+AF270*AF194+AG270*AG194+AH270*AH194+AI270*AI194+AJ270*AJ194+AK270*AK194+AL270*AL194+AM270*AM194+AN270*AN194+AO270*AO194+AP270*AP194+AQ270*AQ194+AR270*AR194+AS270*AS194+AT270*AT194+AU270*AU194+AV270*AV194+AW270*AW194+AX270*AX194+AY270*AY194+AZ270*AZ194+BA270*BA194+BB270*BB194+BC270*BC194+BD270*BD194+BE270*BE194+BF270*BF194+BG270*BG194+BH270*BH194+BI270*BI194+BJ270*BJ194+BK270*BK194+BL270*BL194+BM270*BM194+BN270*BN194+BO270*BO194+BP270*BP194+BQ270*BQ194+BR270*BR194+BS270*BS194+BT270*BT194+BU270*BU194+BV270*BV194+BW270*BW194+BX270*BX194+BY270*BY194+BZ270*BZ194+CA270*CA194+CB270*CB194+CC270*CC194+CD270*CD194+CE270*CE194+CF270*CF194+CG270*CG194+CH270*CH194+CI270*CI194+CJ270*CJ194+CK270*CK194+CL270*CL194+CM270*CM194+CN270*CN194+CO270*CO194+CP270*CP194+CQ270*CQ194+CR270*CR194+CS270*CS194</f>
        <v>0</v>
      </c>
      <c r="DA194" s="2504">
        <f>E271*E194+F271*F194+G271*G194+H271*H194+I271*I194+J271*J194+K271*K194+L271*L194+M271*M194+N271*N194+O271*O194+P271*P194+Q271*Q194+R271*R194+S271*S194+T271*T194+U271*U194+V271*V194+W271*W194+X271*X194+Y271*Y194+Z271*Z194+AA271*AA194+AB271*AB194+AC271*AC194+AD271*AD194+AE271*AE194+AF271*AF194+AG271*AG194+AH271*AH194+AI271*AI194+AJ271*AJ194+AK271*AK194+AL271*AL194+AM271*AM194+AN271*AN194+AO271*AO194+AP271*AP194+AQ271*AQ194+AR271*AR194+AS271*AS194+AT271*AT194+AU271*AU194+AV271*AV194+AW271*AW194+AX271*AX194+AY271*AY194+AZ271*AZ194+BA271*BA194+BB271*BB194+BC271*BC194+BD271*BD194+BE271*BE194+BF271*BF194+BG271*BG194+BH271*BH194+BI271*BI194+BJ271*BJ194+BK271*BK194+BL271*BL194+BM271*BM194+BN271*BN194+BO271*BO194+BP271*BP194+BQ271*BQ194+BR271*BR194+BS271*BS194+BT271*BT194+BU271*BU194+BV271*BV194+BW271*BW194+BX271*BX194+BY271*BY194+BZ271*BZ194+CA271*CA194+CB271*CB194+CC271*CC194+CD271*CD194+CE271*CE194+CF271*CF194+CG271*CG194+CH271*CH194+CI271*CI194+CJ271*CJ194+CK271*CK194+CL271*CL194+CM271*CM194+CN271*CN194+CO271*CO194+CP271*CP194+CQ271*CQ194+CR271*CR194+CS271*CS194</f>
        <v>0</v>
      </c>
      <c r="DB194" s="2504">
        <f>E272*E194+F272*F194+G272*G194+H272*H194+I272*I194+J272*J194+K272*K194+L272*L194+M272*M194+N272*N194+O272*O194+P272*P194+Q272*Q194+R272*R194+S272*S194+T272*T194+U272*U194+V272*V194+W272*W194+X272*X194+Y272*Y194+Z272*Z194+AA272*AA194+AB272*AB194+AC272*AC194+AD272*AD194+AE272*AE194+AF272*AF194+AG272*AG194+AH272*AH194+AI272*AI194+AJ272*AJ194+AK272*AK194+AL272*AL194+AM272*AM194+AN272*AN194+AO272*AO194+AP272*AP194+AQ272*AQ194+AR272*AR194+AS272*AS194+AT272*AT194+AU272*AU194+AV272*AV194+AW272*AW194+AX272*AX194+AY272*AY194+AZ272*AZ194+BA272*BA194+BB272*BB194+BC272*BC194+BD272*BD194+BE272*BE194+BF272*BF194+BG272*BG194+BH272*BH194+BI272*BI194+BJ272*BJ194+BK272*BK194+BL272*BL194+BM272*BM194+BN272*BN194+BO272*BO194+BP272*BP194+BQ272*BQ194+BR272*BR194+BS272*BS194+BT272*BT194+BU272*BU194+BV272*BV194+BW272*BW194+BX272*BX194+BY272*BY194+BZ272*BZ194+CA272*CA194+CB272*CB194+CC272*CC194+CD272*CD194+CE272*CE194+CF272*CF194+CG272*CG194+CH272*CH194+CI272*CI194+CJ272*CJ194+CK272*CK194+CL272*CL194+CM272*CM194+CN272*CN194+CO272*CO194+CP272*CP194+CQ272*CQ194+CR272*CR194+CS272*CS194</f>
        <v>0</v>
      </c>
      <c r="DC194" s="2504">
        <f>E273*E194+F273*F194+G273*G194+H273*H194+I273*I194+J273*J194+K273*K194+L273*L194+M273*M194+N273*N194+O273*O194+P273*P194+Q273*Q194+R273*R194+S273*S194+T273*T194+U273*U194+V273*V194+W273*W194+X273*X194+Y273*Y194+Z273*Z194+AA273*AA194+AB273*AB194+AC273*AC194+AD273*AD194+AE273*AE194+AF273*AF194+AG273*AG194+AH273*AH194+AI273*AI194+AJ273*AJ194+AK273*AK194+AL273*AL194+AM273*AM194+AN273*AN194+AO273*AO194+AP273*AP194+AQ273*AQ194+AR273*AR194+AS273*AS194+AT273*AT194+AU273*AU194+AV273*AV194+AW273*AW194+AX273*AX194+AY273*AY194+AZ273*AZ194+BA273*BA194+BB273*BB194+BC273*BC194+BD273*BD194+BE273*BE194+BF273*BF194+BG273*BG194+BH273*BH194+BI273*BI194+BJ273*BJ194+BK273*BK194+BL273*BL194+BM273*BM194+BN273*BN194+BO273*BO194+BP273*BP194+BQ273*BQ194+BR273*BR194+BS273*BS194+BT273*BT194+BU273*BU194+BV273*BV194+BW273*BW194+BX273*BX194+BY273*BY194+BZ273*BZ194+CA273*CA194+CB273*CB194+CC273*CC194+CD273*CD194+CE273*CE194+CF273*CF194+CG273*CG194+CH273*CH194+CI273*CI194+CJ273*CJ194+CK273*CK194+CL273*CL194+CM273*CM194+CN273*CN194+CO273*CO194+CP273*CP194+CQ273*CQ194+CR273*CR194+CS273*CS194</f>
        <v>0</v>
      </c>
      <c r="DD194" s="2504">
        <f>E274*E194+F274*F194+G274*G194+H274*H194+I274*I194+J274*J194+K274*K194+L274*L194+M274*M194+N274*N194+O274*O194+P274*P194+Q274*Q194+R274*R194+S274*S194+T274*T194+U274*U194+V274*V194+W274*W194+X274*X194+Y274*Y194+Z274*Z194+AA274*AA194+AB274*AB194+AC274*AC194+AD274*AD194+AE274*AE194+AF274*AF194+AG274*AG194+AH274*AH194+AI274*AI194+AJ274*AJ194+AK274*AK194+AL274*AL194+AM274*AM194+AN274*AN194+AO274*AO194+AP274*AP194+AQ274*AQ194+AR274*AR194+AS274*AS194+AT274*AT194+AU274*AU194+AV274*AV194+AW274*AW194+AX274*AX194+AY274*AY194+AZ274*AZ194+BA274*BA194+BB274*BB194+BC274*BC194+BD274*BD194+BE274*BE194+BF274*BF194+BG274*BG194+BH274*BH194+BI274*BI194+BJ274*BJ194+BK274*BK194+BL274*BL194+BM274*BM194+BN274*BN194+BO274*BO194+BP274*BP194+BQ274*BQ194+BR274*BR194+BS274*BS194+BT274*BT194+BU274*BU194+BV274*BV194+BW274*BW194+BX274*BX194+BY274*BY194+BZ274*BZ194+CA274*CA194+CB274*CB194+CC274*CC194+CD274*CD194+CE274*CE194+CF274*CF194+CG274*CG194+CH274*CH194+CI274*CI194+CJ274*CJ194+CK274*CK194+CL274*CL194+CM274*CM194+CN274*CN194+CO274*CO194+CP274*CP194+CQ274*CQ194+CR274*CR194+CS274*CS194</f>
        <v>0</v>
      </c>
      <c r="DE194" s="2504">
        <f>E275*E194+F275*F194+G275*G194+H275*H194+I275*I194+J275*J194+K275*K194+L275*L194+M275*M194+N275*N194+O275*O194+P275*P194+Q275*Q194+R275*R194+S275*S194+T275*T194+U275*U194+V275*V194+W275*W194+X275*X194+Y275*Y194+Z275*Z194+AA275*AA194+AB275*AB194+AC275*AC194+AD275*AD194+AE275*AE194+AF275*AF194+AG275*AG194+AH275*AH194+AI275*AI194+AJ275*AJ194+AK275*AK194+AL275*AL194+AM275*AM194+AN275*AN194+AO275*AO194+AP275*AP194+AQ275*AQ194+AR275*AR194+AS275*AS194+AT275*AT194+AU275*AU194+AV275*AV194+AW275*AW194+AX275*AX194+AY275*AY194+AZ275*AZ194+BA275*BA194+BB275*BB194+BC275*BC194+BD275*BD194+BE275*BE194+BF275*BF194+BG275*BG194+BH275*BH194+BI275*BI194+BJ275*BJ194+BK275*BK194+BL275*BL194+BM275*BM194+BN275*BN194+BO275*BO194+BP275*BP194+BQ275*BQ194+BR275*BR194+BS275*BS194+BT275*BT194+BU275*BU194+BV275*BV194+BW275*BW194+BX275*BX194+BY275*BY194+BZ275*BZ194+CA275*CA194+CB275*CB194+CC275*CC194+CD275*CD194+CE275*CE194+CF275*CF194+CG275*CG194+CH275*CH194+CI275*CI194+CJ275*CJ194+CK275*CK194+CL275*CL194+CM275*CM194+CN275*CN194+CO275*CO194+CP275*CP194+CQ275*CQ194+CR275*CR194+CS275*CS194</f>
        <v>0</v>
      </c>
      <c r="DF194" s="2504">
        <f>E276*E194+F276*F194+G276*G194+H276*H194+I276*I194+J276*J194+K276*K194+L276*L194+M276*M194+N276*N194+O276*O194+P276*P194+Q276*Q194+R276*R194+S276*S194+T276*T194+U276*U194+V276*V194+W276*W194+X276*X194+Y276*Y194+Z276*Z194+AA276*AA194+AB276*AB194+AC276*AC194+AD276*AD194+AE276*AE194+AF276*AF194+AG276*AG194+AH276*AH194+AI276*AI194+AJ276*AJ194+AK276*AK194+AL276*AL194+AM276*AM194+AN276*AN194+AO276*AO194+AP276*AP194+AQ276*AQ194+AR276*AR194+AS276*AS194+AT276*AT194+AU276*AU194+AV276*AV194+AW276*AW194+AX276*AX194+AY276*AY194+AZ276*AZ194+BA276*BA194+BB276*BB194+BC276*BC194+BD276*BD194+BE276*BE194+BF276*BF194+BG276*BG194+BH276*BH194+BI276*BI194+BJ276*BJ194+BK276*BK194+BL276*BL194+BM276*BM194+BN276*BN194+BO276*BO194+BP276*BP194+BQ276*BQ194+BR276*BR194+BS276*BS194+BT276*BT194+BU276*BU194+BV276*BV194+BW276*BW194+BX276*BX194+BY276*BY194+BZ276*BZ194+CA276*CA194+CB276*CB194+CC276*CC194+CD276*CD194+CE276*CE194+CF276*CF194+CG276*CG194+CH276*CH194+CI276*CI194+CJ276*CJ194+CK276*CK194+CL276*CL194+CM276*CM194+CN276*CN194+CO276*CO194+CP276*CP194+CQ276*CQ194+CR276*CR194+CS276*CS194</f>
        <v>0</v>
      </c>
    </row>
    <row r="195" spans="2:110" x14ac:dyDescent="0.25">
      <c r="B195" s="1782">
        <v>53</v>
      </c>
      <c r="C195" s="1783" t="s">
        <v>2114</v>
      </c>
      <c r="D195" s="1784" t="s">
        <v>5119</v>
      </c>
      <c r="E195" s="1785">
        <f>0</f>
        <v>0</v>
      </c>
      <c r="F195" s="1785">
        <f>0</f>
        <v>0</v>
      </c>
      <c r="G195" s="1785">
        <f>0</f>
        <v>0</v>
      </c>
      <c r="H195" s="1785">
        <f>0</f>
        <v>0</v>
      </c>
      <c r="I195" s="1785">
        <f>0</f>
        <v>0</v>
      </c>
      <c r="J195" s="1785">
        <f>0</f>
        <v>0</v>
      </c>
      <c r="K195" s="1785">
        <f>0</f>
        <v>0</v>
      </c>
      <c r="L195" s="1785">
        <f>0</f>
        <v>0</v>
      </c>
      <c r="M195" s="1785">
        <f>0</f>
        <v>0</v>
      </c>
      <c r="N195" s="1785">
        <f>0</f>
        <v>0</v>
      </c>
      <c r="O195" s="1785">
        <f>0</f>
        <v>0</v>
      </c>
      <c r="P195" s="1785">
        <f>0</f>
        <v>0</v>
      </c>
      <c r="Q195" s="1785">
        <f>0</f>
        <v>0</v>
      </c>
      <c r="R195" s="1785">
        <f>0</f>
        <v>0</v>
      </c>
      <c r="S195" s="1785">
        <f>0</f>
        <v>0</v>
      </c>
      <c r="T195" s="1785">
        <f>0</f>
        <v>0</v>
      </c>
      <c r="U195" s="1785">
        <f>0</f>
        <v>0</v>
      </c>
      <c r="V195" s="1785">
        <f>0</f>
        <v>0</v>
      </c>
      <c r="W195" s="1785">
        <f>0</f>
        <v>0</v>
      </c>
      <c r="X195" s="1785">
        <f>0</f>
        <v>0</v>
      </c>
      <c r="Y195" s="1785">
        <f>0</f>
        <v>0</v>
      </c>
      <c r="Z195" s="1785">
        <f>0</f>
        <v>0</v>
      </c>
      <c r="AA195" s="1785">
        <f>1</f>
        <v>1</v>
      </c>
      <c r="AB195" s="1785">
        <f>-2</f>
        <v>-2</v>
      </c>
      <c r="AC195" s="1785">
        <f>0</f>
        <v>0</v>
      </c>
      <c r="AD195" s="1785">
        <f>0</f>
        <v>0</v>
      </c>
      <c r="AE195" s="1785">
        <f>0</f>
        <v>0</v>
      </c>
      <c r="AF195" s="1785">
        <f>0</f>
        <v>0</v>
      </c>
      <c r="AG195" s="1785">
        <f>1</f>
        <v>1</v>
      </c>
      <c r="AH195" s="1785">
        <f>0</f>
        <v>0</v>
      </c>
      <c r="AI195" s="1785">
        <f>0</f>
        <v>0</v>
      </c>
      <c r="AJ195" s="1785">
        <f>0</f>
        <v>0</v>
      </c>
      <c r="AK195" s="1785">
        <f>0</f>
        <v>0</v>
      </c>
      <c r="AL195" s="1785">
        <f>0</f>
        <v>0</v>
      </c>
      <c r="AM195" s="1785">
        <f>0</f>
        <v>0</v>
      </c>
      <c r="AN195" s="1785">
        <f>0</f>
        <v>0</v>
      </c>
      <c r="AO195" s="1785">
        <f>0</f>
        <v>0</v>
      </c>
      <c r="AP195" s="1785">
        <f>0</f>
        <v>0</v>
      </c>
      <c r="AQ195" s="1785">
        <f>0</f>
        <v>0</v>
      </c>
      <c r="AR195" s="1785">
        <f>0</f>
        <v>0</v>
      </c>
      <c r="AS195" s="1785">
        <f>0</f>
        <v>0</v>
      </c>
      <c r="AT195" s="1785">
        <f>0</f>
        <v>0</v>
      </c>
      <c r="AU195" s="1785">
        <f>0</f>
        <v>0</v>
      </c>
      <c r="AV195" s="1785">
        <f>0</f>
        <v>0</v>
      </c>
      <c r="AW195" s="1785">
        <f>0</f>
        <v>0</v>
      </c>
      <c r="AX195" s="1785">
        <f>0</f>
        <v>0</v>
      </c>
      <c r="AY195" s="1785">
        <f>0</f>
        <v>0</v>
      </c>
      <c r="AZ195" s="1785">
        <f>0</f>
        <v>0</v>
      </c>
      <c r="BA195" s="1785">
        <f>0</f>
        <v>0</v>
      </c>
      <c r="BB195" s="1785">
        <f>0</f>
        <v>0</v>
      </c>
      <c r="BC195" s="1785">
        <f>0</f>
        <v>0</v>
      </c>
      <c r="BD195" s="1785">
        <f>0</f>
        <v>0</v>
      </c>
      <c r="BE195" s="1785">
        <f>0</f>
        <v>0</v>
      </c>
      <c r="BF195" s="1785">
        <f>0</f>
        <v>0</v>
      </c>
      <c r="BG195" s="1785">
        <f>0</f>
        <v>0</v>
      </c>
      <c r="BH195" s="1785">
        <f>0</f>
        <v>0</v>
      </c>
      <c r="BI195" s="1785">
        <f>0</f>
        <v>0</v>
      </c>
      <c r="BJ195" s="1785">
        <f>0</f>
        <v>0</v>
      </c>
      <c r="BK195" s="1785">
        <f>0</f>
        <v>0</v>
      </c>
      <c r="BL195" s="1785">
        <f>0</f>
        <v>0</v>
      </c>
      <c r="BM195" s="1785">
        <f>0</f>
        <v>0</v>
      </c>
      <c r="BN195" s="1785">
        <f>0</f>
        <v>0</v>
      </c>
      <c r="BO195" s="1785">
        <f>0</f>
        <v>0</v>
      </c>
      <c r="BP195" s="1785">
        <f>0</f>
        <v>0</v>
      </c>
      <c r="BQ195" s="1785">
        <f>0</f>
        <v>0</v>
      </c>
      <c r="BR195" s="1785">
        <f>0</f>
        <v>0</v>
      </c>
      <c r="BS195" s="1785">
        <f>0</f>
        <v>0</v>
      </c>
      <c r="BT195" s="1785">
        <f>0</f>
        <v>0</v>
      </c>
      <c r="BU195" s="1785">
        <f>0</f>
        <v>0</v>
      </c>
      <c r="BV195" s="1785">
        <f>0</f>
        <v>0</v>
      </c>
      <c r="BW195" s="2359">
        <f>0</f>
        <v>0</v>
      </c>
      <c r="BX195" s="2359">
        <f>0</f>
        <v>0</v>
      </c>
      <c r="BY195" s="2359">
        <f>0</f>
        <v>0</v>
      </c>
      <c r="BZ195" s="2359">
        <f>0</f>
        <v>0</v>
      </c>
      <c r="CA195" s="1785">
        <f>0</f>
        <v>0</v>
      </c>
      <c r="CB195" s="1785">
        <f>0</f>
        <v>0</v>
      </c>
      <c r="CC195" s="1785">
        <f>0</f>
        <v>0</v>
      </c>
      <c r="CD195" s="1785">
        <f>0</f>
        <v>0</v>
      </c>
      <c r="CE195" s="1785">
        <f>0</f>
        <v>0</v>
      </c>
      <c r="CF195" s="1785">
        <f>0</f>
        <v>0</v>
      </c>
      <c r="CG195" s="1785">
        <f>0</f>
        <v>0</v>
      </c>
      <c r="CH195" s="1785">
        <f>0</f>
        <v>0</v>
      </c>
      <c r="CI195" s="1785">
        <f>0</f>
        <v>0</v>
      </c>
      <c r="CJ195" s="1785">
        <f>0</f>
        <v>0</v>
      </c>
      <c r="CK195" s="1785">
        <f>0</f>
        <v>0</v>
      </c>
      <c r="CL195" s="1785">
        <f>0</f>
        <v>0</v>
      </c>
      <c r="CM195" s="1785">
        <f>0</f>
        <v>0</v>
      </c>
      <c r="CN195" s="1785">
        <f>0</f>
        <v>0</v>
      </c>
      <c r="CO195" s="1785">
        <f>0</f>
        <v>0</v>
      </c>
      <c r="CP195" s="1785">
        <f>0</f>
        <v>0</v>
      </c>
      <c r="CQ195" s="1785">
        <f>0</f>
        <v>0</v>
      </c>
      <c r="CR195" s="1785">
        <f>0</f>
        <v>0</v>
      </c>
      <c r="CS195" s="1785">
        <f>0</f>
        <v>0</v>
      </c>
      <c r="CT195" s="2477">
        <f>q_NH2OH*S_NH2OH*(1+η_NH2OH_dispr_ana*M_inhSO2_KO2_aBIO*M_inhSNOx_KNOx_aBIO)</f>
        <v>1.2174385736029572E-3</v>
      </c>
      <c r="CV195" s="2502">
        <f>E266*E195+F266*F195+G266*G195+H266*H195+I266*I195+J266*J195+K266*K195+L266*L195+M266*M195+N266*N195+O266*O195+P266*P195+Q266*Q195+R266*R195+S266*S195+T266*T195+U266*U195+V266*V195+W266*W195+X266*X195+Y266*Y195+Z266*Z195+AA266*AA195+AB266*AB195+AC266*AC195+AD266*AD195+AE266*AE195+AF266*AF195+AG266*AG195+AH266*AH195+AI266*AI195+AJ266*AJ195+AK266*AK195+AL266*AL195+AM266*AM195+AN266*AN195+AO266*AO195+AP266*AP195+AQ266*AQ195+AR266*AR195+AS266*AS195+AT266*AT195+AU266*AU195+AV266*AV195+AW266*AW195+AX266*AX195+AY266*AY195+AZ266*AZ195+BA266*BA195+BB266*BB195+BC266*BC195+BD266*BD195+BE266*BE195+BF266*BF195+BG266*BG195+BH266*BH195+BI266*BI195+BJ266*BJ195+BK266*BK195+BL266*BL195+BM266*BM195+BN266*BN195+BO266*BO195+BP266*BP195+BQ266*BQ195+BR266*BR195+BS266*BS195+BT266*BT195+BU266*BU195+BV266*BV195+BW266*BW195+BX266*BX195+BY266*BY195+BZ266*BZ195+CA266*CA195+CB266*CB195+CC266*CC195+CD266*CD195+CE266*CE195+CF266*CF195+CG266*CG195+CH266*CH195+CI266*CI195+CJ266*CJ195+CK266*CK195+CL266*CL195+CM266*CM195+CN266*CN195+CO266*CO195+CP266*CP195+CQ266*CQ195+CR266*CR195+CS266*CS195</f>
        <v>0</v>
      </c>
      <c r="CW195" s="2502">
        <f>E267*E195+F267*F195+G267*G195+H267*H195+I267*I195+J267*J195+K267*K195+L267*L195+M267*M195+N267*N195+O267*O195+P267*P195+Q267*Q195+R267*R195+S267*S195+T267*T195+U267*U195+V267*V195+W267*W195+X267*X195+Y267*Y195+Z267*Z195+AA267*AA195+AB267*AB195+AC267*AC195+AD267*AD195+AE267*AE195+AF267*AF195+AG267*AG195+AH267*AH195+AI267*AI195+AJ267*AJ195+AK267*AK195+AL267*AL195+AM267*AM195+AN267*AN195+AO267*AO195+AP267*AP195+AQ267*AQ195+AR267*AR195+AS267*AS195+AT267*AT195+AU267*AU195+AV267*AV195+AW267*AW195+AX267*AX195+AY267*AY195+AZ267*AZ195+BA267*BA195+BB267*BB195+BC267*BC195+BD267*BD195+BE267*BE195+BF267*BF195+BG267*BG195+BH267*BH195+BI267*BI195+BJ267*BJ195+BK267*BK195+BL267*BL195+BM267*BM195+BN267*BN195+BO267*BO195+BP267*BP195+BQ267*BQ195+BR267*BR195+BS267*BS195+BT267*BT195+BU267*BU195+BV267*BV195+BW267*BW195+BX267*BX195+BY267*BY195+BZ267*BZ195+CA267*CA195+CB267*CB195+CC267*CC195+CD267*CD195+CE267*CE195+CF267*CF195+CG267*CG195+CH267*CH195+CI267*CI195+CJ267*CJ195+CK267*CK195+CL267*CL195+CM267*CM195+CN267*CN195+CO267*CO195+CP267*CP195+CQ267*CQ195+CR267*CR195+CS267*CS195</f>
        <v>0</v>
      </c>
      <c r="CX195" s="2503">
        <f>E268*E195+F268*F195+G268*G195+H268*H195+I268*I195+J268*J195+K268*K195+L268*L195+M268*M195+N268*N195+O268*O195+P268*P195+Q268*Q195+R268*R195+S268*S195+T268*T195+U268*U195+V268*V195+W268*W195+X268*X195+Y268*Y195+Z268*Z195+AA268*AA195+AB268*AB195+AC268*AC195+AD268*AD195+AE268*AE195+AF268*AF195+AG268*AG195+AH268*AH195+AI268*AI195+AJ268*AJ195+AK268*AK195+AL268*AL195+AM268*AM195+AN268*AN195+AO268*AO195+AP268*AP195+AQ268*AQ195+AR268*AR195+AS268*AS195+AT268*AT195+AU268*AU195+AV268*AV195+AW268*AW195+AX268*AX195+AY268*AY195+AZ268*AZ195+BA268*BA195+BB268*BB195+BC268*BC195+BD268*BD195+BE268*BE195+BF268*BF195+BG268*BG195+BH268*BH195+BI268*BI195+BJ268*BJ195+BK268*BK195+BL268*BL195+BM268*BM195+BN268*BN195+BO268*BO195+BP268*BP195+BQ268*BQ195+BR268*BR195+BS268*BS195+BT268*BT195+BU268*BU195+BV268*BV195+BW268*BW195+BX268*BX195+BY268*BY195+BZ268*BZ195+CA268*CA195+CB268*CB195+CC268*CC195+CD268*CD195+CE268*CE195+CF268*CF195+CG268*CG195+CH268*CH195+CI268*CI195+CJ268*CJ195+CK268*CK195+CL268*CL195+CM268*CM195+CN268*CN195+CO268*CO195+CP268*CP195+CQ268*CQ195+CR268*CR195+CS268*CS195</f>
        <v>0</v>
      </c>
      <c r="CY195" s="2504">
        <f>E269*E195+F269*F195+G269*G195+H269*H195+I269*I195+J269*J195+K269*K195+L269*L195+M269*M195+N269*N195+O269*O195+P269*P195+Q269*Q195+R269*R195+S269*S195+T269*T195+U269*U195+V269*V195+W269*W195+X269*X195+Y269*Y195+Z269*Z195+AA269*AA195+AB269*AB195+AC269*AC195+AD269*AD195+AE269*AE195+AF269*AF195+AG269*AG195+AH269*AH195+AI269*AI195+AJ269*AJ195+AK269*AK195+AL269*AL195+AM269*AM195+AN269*AN195+AO269*AO195+AP269*AP195+AQ269*AQ195+AR269*AR195+AS269*AS195+AT269*AT195+AU269*AU195+AV269*AV195+AW269*AW195+AX269*AX195+AY269*AY195+AZ269*AZ195+BA269*BA195+BB269*BB195+BC269*BC195+BD269*BD195+BE269*BE195+BF269*BF195+BG269*BG195+BH269*BH195+BI269*BI195+BJ269*BJ195+BK269*BK195+BL269*BL195+BM269*BM195+BN269*BN195+BO269*BO195+BP269*BP195+BQ269*BQ195+BR269*BR195+BS269*BS195+BT269*BT195+BU269*BU195+BV269*BV195+BW269*BW195+BX269*BX195+BY269*BY195+BZ269*BZ195+CA269*CA195+CB269*CB195+CC269*CC195+CD269*CD195+CE269*CE195+CF269*CF195+CG269*CG195+CH269*CH195+CI269*CI195+CJ269*CJ195+CK269*CK195+CL269*CL195+CM269*CM195+CN269*CN195+CO269*CO195+CP269*CP195+CQ269*CQ195+CR269*CR195+CS269*CS195</f>
        <v>0</v>
      </c>
      <c r="CZ195" s="2504">
        <f>E270*E195+F270*F195+G270*G195+H270*H195+I270*I195+J270*J195+K270*K195+L270*L195+M270*M195+N270*N195+O270*O195+P270*P195+Q270*Q195+R270*R195+S270*S195+T270*T195+U270*U195+V270*V195+W270*W195+X270*X195+Y270*Y195+Z270*Z195+AA270*AA195+AB270*AB195+AC270*AC195+AD270*AD195+AE270*AE195+AF270*AF195+AG270*AG195+AH270*AH195+AI270*AI195+AJ270*AJ195+AK270*AK195+AL270*AL195+AM270*AM195+AN270*AN195+AO270*AO195+AP270*AP195+AQ270*AQ195+AR270*AR195+AS270*AS195+AT270*AT195+AU270*AU195+AV270*AV195+AW270*AW195+AX270*AX195+AY270*AY195+AZ270*AZ195+BA270*BA195+BB270*BB195+BC270*BC195+BD270*BD195+BE270*BE195+BF270*BF195+BG270*BG195+BH270*BH195+BI270*BI195+BJ270*BJ195+BK270*BK195+BL270*BL195+BM270*BM195+BN270*BN195+BO270*BO195+BP270*BP195+BQ270*BQ195+BR270*BR195+BS270*BS195+BT270*BT195+BU270*BU195+BV270*BV195+BW270*BW195+BX270*BX195+BY270*BY195+BZ270*BZ195+CA270*CA195+CB270*CB195+CC270*CC195+CD270*CD195+CE270*CE195+CF270*CF195+CG270*CG195+CH270*CH195+CI270*CI195+CJ270*CJ195+CK270*CK195+CL270*CL195+CM270*CM195+CN270*CN195+CO270*CO195+CP270*CP195+CQ270*CQ195+CR270*CR195+CS270*CS195</f>
        <v>0</v>
      </c>
      <c r="DA195" s="2504">
        <f>E271*E195+F271*F195+G271*G195+H271*H195+I271*I195+J271*J195+K271*K195+L271*L195+M271*M195+N271*N195+O271*O195+P271*P195+Q271*Q195+R271*R195+S271*S195+T271*T195+U271*U195+V271*V195+W271*W195+X271*X195+Y271*Y195+Z271*Z195+AA271*AA195+AB271*AB195+AC271*AC195+AD271*AD195+AE271*AE195+AF271*AF195+AG271*AG195+AH271*AH195+AI271*AI195+AJ271*AJ195+AK271*AK195+AL271*AL195+AM271*AM195+AN271*AN195+AO271*AO195+AP271*AP195+AQ271*AQ195+AR271*AR195+AS271*AS195+AT271*AT195+AU271*AU195+AV271*AV195+AW271*AW195+AX271*AX195+AY271*AY195+AZ271*AZ195+BA271*BA195+BB271*BB195+BC271*BC195+BD271*BD195+BE271*BE195+BF271*BF195+BG271*BG195+BH271*BH195+BI271*BI195+BJ271*BJ195+BK271*BK195+BL271*BL195+BM271*BM195+BN271*BN195+BO271*BO195+BP271*BP195+BQ271*BQ195+BR271*BR195+BS271*BS195+BT271*BT195+BU271*BU195+BV271*BV195+BW271*BW195+BX271*BX195+BY271*BY195+BZ271*BZ195+CA271*CA195+CB271*CB195+CC271*CC195+CD271*CD195+CE271*CE195+CF271*CF195+CG271*CG195+CH271*CH195+CI271*CI195+CJ271*CJ195+CK271*CK195+CL271*CL195+CM271*CM195+CN271*CN195+CO271*CO195+CP271*CP195+CQ271*CQ195+CR271*CR195+CS271*CS195</f>
        <v>0</v>
      </c>
      <c r="DB195" s="2504">
        <f>E272*E195+F272*F195+G272*G195+H272*H195+I272*I195+J272*J195+K272*K195+L272*L195+M272*M195+N272*N195+O272*O195+P272*P195+Q272*Q195+R272*R195+S272*S195+T272*T195+U272*U195+V272*V195+W272*W195+X272*X195+Y272*Y195+Z272*Z195+AA272*AA195+AB272*AB195+AC272*AC195+AD272*AD195+AE272*AE195+AF272*AF195+AG272*AG195+AH272*AH195+AI272*AI195+AJ272*AJ195+AK272*AK195+AL272*AL195+AM272*AM195+AN272*AN195+AO272*AO195+AP272*AP195+AQ272*AQ195+AR272*AR195+AS272*AS195+AT272*AT195+AU272*AU195+AV272*AV195+AW272*AW195+AX272*AX195+AY272*AY195+AZ272*AZ195+BA272*BA195+BB272*BB195+BC272*BC195+BD272*BD195+BE272*BE195+BF272*BF195+BG272*BG195+BH272*BH195+BI272*BI195+BJ272*BJ195+BK272*BK195+BL272*BL195+BM272*BM195+BN272*BN195+BO272*BO195+BP272*BP195+BQ272*BQ195+BR272*BR195+BS272*BS195+BT272*BT195+BU272*BU195+BV272*BV195+BW272*BW195+BX272*BX195+BY272*BY195+BZ272*BZ195+CA272*CA195+CB272*CB195+CC272*CC195+CD272*CD195+CE272*CE195+CF272*CF195+CG272*CG195+CH272*CH195+CI272*CI195+CJ272*CJ195+CK272*CK195+CL272*CL195+CM272*CM195+CN272*CN195+CO272*CO195+CP272*CP195+CQ272*CQ195+CR272*CR195+CS272*CS195</f>
        <v>0</v>
      </c>
      <c r="DC195" s="2504">
        <f>E273*E195+F273*F195+G273*G195+H273*H195+I273*I195+J273*J195+K273*K195+L273*L195+M273*M195+N273*N195+O273*O195+P273*P195+Q273*Q195+R273*R195+S273*S195+T273*T195+U273*U195+V273*V195+W273*W195+X273*X195+Y273*Y195+Z273*Z195+AA273*AA195+AB273*AB195+AC273*AC195+AD273*AD195+AE273*AE195+AF273*AF195+AG273*AG195+AH273*AH195+AI273*AI195+AJ273*AJ195+AK273*AK195+AL273*AL195+AM273*AM195+AN273*AN195+AO273*AO195+AP273*AP195+AQ273*AQ195+AR273*AR195+AS273*AS195+AT273*AT195+AU273*AU195+AV273*AV195+AW273*AW195+AX273*AX195+AY273*AY195+AZ273*AZ195+BA273*BA195+BB273*BB195+BC273*BC195+BD273*BD195+BE273*BE195+BF273*BF195+BG273*BG195+BH273*BH195+BI273*BI195+BJ273*BJ195+BK273*BK195+BL273*BL195+BM273*BM195+BN273*BN195+BO273*BO195+BP273*BP195+BQ273*BQ195+BR273*BR195+BS273*BS195+BT273*BT195+BU273*BU195+BV273*BV195+BW273*BW195+BX273*BX195+BY273*BY195+BZ273*BZ195+CA273*CA195+CB273*CB195+CC273*CC195+CD273*CD195+CE273*CE195+CF273*CF195+CG273*CG195+CH273*CH195+CI273*CI195+CJ273*CJ195+CK273*CK195+CL273*CL195+CM273*CM195+CN273*CN195+CO273*CO195+CP273*CP195+CQ273*CQ195+CR273*CR195+CS273*CS195</f>
        <v>0</v>
      </c>
      <c r="DD195" s="2504">
        <f>E274*E195+F274*F195+G274*G195+H274*H195+I274*I195+J274*J195+K274*K195+L274*L195+M274*M195+N274*N195+O274*O195+P274*P195+Q274*Q195+R274*R195+S274*S195+T274*T195+U274*U195+V274*V195+W274*W195+X274*X195+Y274*Y195+Z274*Z195+AA274*AA195+AB274*AB195+AC274*AC195+AD274*AD195+AE274*AE195+AF274*AF195+AG274*AG195+AH274*AH195+AI274*AI195+AJ274*AJ195+AK274*AK195+AL274*AL195+AM274*AM195+AN274*AN195+AO274*AO195+AP274*AP195+AQ274*AQ195+AR274*AR195+AS274*AS195+AT274*AT195+AU274*AU195+AV274*AV195+AW274*AW195+AX274*AX195+AY274*AY195+AZ274*AZ195+BA274*BA195+BB274*BB195+BC274*BC195+BD274*BD195+BE274*BE195+BF274*BF195+BG274*BG195+BH274*BH195+BI274*BI195+BJ274*BJ195+BK274*BK195+BL274*BL195+BM274*BM195+BN274*BN195+BO274*BO195+BP274*BP195+BQ274*BQ195+BR274*BR195+BS274*BS195+BT274*BT195+BU274*BU195+BV274*BV195+BW274*BW195+BX274*BX195+BY274*BY195+BZ274*BZ195+CA274*CA195+CB274*CB195+CC274*CC195+CD274*CD195+CE274*CE195+CF274*CF195+CG274*CG195+CH274*CH195+CI274*CI195+CJ274*CJ195+CK274*CK195+CL274*CL195+CM274*CM195+CN274*CN195+CO274*CO195+CP274*CP195+CQ274*CQ195+CR274*CR195+CS274*CS195</f>
        <v>0</v>
      </c>
      <c r="DE195" s="2504">
        <f>E275*E195+F275*F195+G275*G195+H275*H195+I275*I195+J275*J195+K275*K195+L275*L195+M275*M195+N275*N195+O275*O195+P275*P195+Q275*Q195+R275*R195+S275*S195+T275*T195+U275*U195+V275*V195+W275*W195+X275*X195+Y275*Y195+Z275*Z195+AA275*AA195+AB275*AB195+AC275*AC195+AD275*AD195+AE275*AE195+AF275*AF195+AG275*AG195+AH275*AH195+AI275*AI195+AJ275*AJ195+AK275*AK195+AL275*AL195+AM275*AM195+AN275*AN195+AO275*AO195+AP275*AP195+AQ275*AQ195+AR275*AR195+AS275*AS195+AT275*AT195+AU275*AU195+AV275*AV195+AW275*AW195+AX275*AX195+AY275*AY195+AZ275*AZ195+BA275*BA195+BB275*BB195+BC275*BC195+BD275*BD195+BE275*BE195+BF275*BF195+BG275*BG195+BH275*BH195+BI275*BI195+BJ275*BJ195+BK275*BK195+BL275*BL195+BM275*BM195+BN275*BN195+BO275*BO195+BP275*BP195+BQ275*BQ195+BR275*BR195+BS275*BS195+BT275*BT195+BU275*BU195+BV275*BV195+BW275*BW195+BX275*BX195+BY275*BY195+BZ275*BZ195+CA275*CA195+CB275*CB195+CC275*CC195+CD275*CD195+CE275*CE195+CF275*CF195+CG275*CG195+CH275*CH195+CI275*CI195+CJ275*CJ195+CK275*CK195+CL275*CL195+CM275*CM195+CN275*CN195+CO275*CO195+CP275*CP195+CQ275*CQ195+CR275*CR195+CS275*CS195</f>
        <v>0</v>
      </c>
      <c r="DF195" s="2504">
        <f>E276*E195+F276*F195+G276*G195+H276*H195+I276*I195+J276*J195+K276*K195+L276*L195+M276*M195+N276*N195+O276*O195+P276*P195+Q276*Q195+R276*R195+S276*S195+T276*T195+U276*U195+V276*V195+W276*W195+X276*X195+Y276*Y195+Z276*Z195+AA276*AA195+AB276*AB195+AC276*AC195+AD276*AD195+AE276*AE195+AF276*AF195+AG276*AG195+AH276*AH195+AI276*AI195+AJ276*AJ195+AK276*AK195+AL276*AL195+AM276*AM195+AN276*AN195+AO276*AO195+AP276*AP195+AQ276*AQ195+AR276*AR195+AS276*AS195+AT276*AT195+AU276*AU195+AV276*AV195+AW276*AW195+AX276*AX195+AY276*AY195+AZ276*AZ195+BA276*BA195+BB276*BB195+BC276*BC195+BD276*BD195+BE276*BE195+BF276*BF195+BG276*BG195+BH276*BH195+BI276*BI195+BJ276*BJ195+BK276*BK195+BL276*BL195+BM276*BM195+BN276*BN195+BO276*BO195+BP276*BP195+BQ276*BQ195+BR276*BR195+BS276*BS195+BT276*BT195+BU276*BU195+BV276*BV195+BW276*BW195+BX276*BX195+BY276*BY195+BZ276*BZ195+CA276*CA195+CB276*CB195+CC276*CC195+CD276*CD195+CE276*CE195+CF276*CF195+CG276*CG195+CH276*CH195+CI276*CI195+CJ276*CJ195+CK276*CK195+CL276*CL195+CM276*CM195+CN276*CN195+CO276*CO195+CP276*CP195+CQ276*CQ195+CR276*CR195+CS276*CS195</f>
        <v>0</v>
      </c>
    </row>
    <row r="196" spans="2:110" x14ac:dyDescent="0.25">
      <c r="B196" s="1576">
        <v>54</v>
      </c>
      <c r="C196" s="537" t="s">
        <v>2115</v>
      </c>
      <c r="D196" s="538" t="s">
        <v>2204</v>
      </c>
      <c r="E196" s="502">
        <f>0</f>
        <v>0</v>
      </c>
      <c r="F196" s="502">
        <f>0</f>
        <v>0</v>
      </c>
      <c r="G196" s="502">
        <f>0</f>
        <v>0</v>
      </c>
      <c r="H196" s="502">
        <f>0</f>
        <v>0</v>
      </c>
      <c r="I196" s="502">
        <f>0</f>
        <v>0</v>
      </c>
      <c r="J196" s="502">
        <f>0</f>
        <v>0</v>
      </c>
      <c r="K196" s="502">
        <f>0</f>
        <v>0</v>
      </c>
      <c r="L196" s="502">
        <f>0</f>
        <v>0</v>
      </c>
      <c r="M196" s="502">
        <f>0</f>
        <v>0</v>
      </c>
      <c r="N196" s="502">
        <f>0</f>
        <v>0</v>
      </c>
      <c r="O196" s="502">
        <f>0</f>
        <v>0</v>
      </c>
      <c r="P196" s="502">
        <f>0</f>
        <v>0</v>
      </c>
      <c r="Q196" s="502">
        <f>0</f>
        <v>0</v>
      </c>
      <c r="R196" s="502">
        <f>0</f>
        <v>0</v>
      </c>
      <c r="S196" s="502">
        <f>0</f>
        <v>0</v>
      </c>
      <c r="T196" s="502">
        <f>0</f>
        <v>0</v>
      </c>
      <c r="U196" s="502">
        <f>0</f>
        <v>0</v>
      </c>
      <c r="V196" s="502">
        <f>0</f>
        <v>0</v>
      </c>
      <c r="W196" s="502">
        <f>1</f>
        <v>1</v>
      </c>
      <c r="X196" s="502">
        <f>0</f>
        <v>0</v>
      </c>
      <c r="Y196" s="502">
        <f>0</f>
        <v>0</v>
      </c>
      <c r="Z196" s="502">
        <f>0</f>
        <v>0</v>
      </c>
      <c r="AA196" s="502">
        <f>-(3*i_N_BIO*A_MO+2*A_MN)/(5*Y_AMX_NO3+3-3*Y_AMX_NO2)/A_MO</f>
        <v>-5.7673622319660547</v>
      </c>
      <c r="AB196" s="502">
        <f>0</f>
        <v>0</v>
      </c>
      <c r="AC196" s="502">
        <f>Y_AMX_NO3/(5*Y_AMX_NO3+3-3*Y_AMX_NO2)*(3*i_N_BIO*A_MO+2*A_MN)/A_MO</f>
        <v>1.4995141803111742</v>
      </c>
      <c r="AD196" s="502">
        <f>-Y_AMX_NO2/(5*Y_AMX_NO3+3-3*Y_AMX_NO2)*(3*i_N_BIO*A_MO+2*A_MN)/A_MO</f>
        <v>-7.6129181461951925</v>
      </c>
      <c r="AE196" s="502">
        <f>0</f>
        <v>0</v>
      </c>
      <c r="AF196" s="502">
        <f>0</f>
        <v>0</v>
      </c>
      <c r="AG196" s="502">
        <f>0</f>
        <v>0</v>
      </c>
      <c r="AH196" s="502">
        <f>2*(Y_AMX_NO3*A_MN-1*A_MN-1*Y_AMX_NO2*A_MN+4*Y_AMX_NO3*i_N_BIO*A_MO-3*Y_AMX_NO2*i_N_BIO*A_MO)/A_MO/(3*Y_AMX_NO2-5*Y_AMX_NO3-3)</f>
        <v>11.810766197850072</v>
      </c>
      <c r="AI196" s="502">
        <f>0</f>
        <v>0</v>
      </c>
      <c r="AJ196" s="502">
        <f>0</f>
        <v>0</v>
      </c>
      <c r="AK196" s="502">
        <f>0</f>
        <v>0</v>
      </c>
      <c r="AL196" s="502">
        <f>0</f>
        <v>0</v>
      </c>
      <c r="AM196" s="502">
        <f>-i_P_BIO</f>
        <v>-0.02</v>
      </c>
      <c r="AN196" s="502">
        <f>0</f>
        <v>0</v>
      </c>
      <c r="AO196" s="502">
        <f>0</f>
        <v>0</v>
      </c>
      <c r="AP196" s="502">
        <f>0</f>
        <v>0</v>
      </c>
      <c r="AQ196" s="502">
        <f>0</f>
        <v>0</v>
      </c>
      <c r="AR196" s="502">
        <f>0</f>
        <v>0</v>
      </c>
      <c r="AS196" s="502">
        <f>0</f>
        <v>0</v>
      </c>
      <c r="AT196" s="502">
        <f>0</f>
        <v>0</v>
      </c>
      <c r="AU196" s="502">
        <f>0</f>
        <v>0</v>
      </c>
      <c r="AV196" s="502">
        <f>-i_CIT_BIO</f>
        <v>-0.35199999999999998</v>
      </c>
      <c r="AW196" s="502">
        <f>i_INORG</f>
        <v>0.11</v>
      </c>
      <c r="AX196" s="502">
        <f>-i_INORG*(1-i_Ca_INORG*(A_MCa+2*A_MCl)/A_MCa-i_Mg_INORG*(A_MMg+2*A_MCl)/A_MMg)*f_Na</f>
        <v>-2.8804303582798466E-2</v>
      </c>
      <c r="AY196" s="502">
        <f>-i_INORG*(i_Ca_INORG*(2*A_MCl)/A_MCa+i_Mg_INORG*(2*A_MCl)/A_MMg)-i_INORG*(1-i_Ca_INORG*(A_MCa+2*A_MCl)/A_MCa-i_Mg_INORG*(A_MMg+2*A_MCl)/A_MMg)*(1-f_Na)</f>
        <v>-7.0195696417201539E-2</v>
      </c>
      <c r="AZ196" s="502">
        <f>-i_INORG*i_Ca_INORG</f>
        <v>-5.5000000000000005E-3</v>
      </c>
      <c r="BA196" s="502">
        <f>-i_INORG*i_Mg_INORG</f>
        <v>-5.5000000000000005E-3</v>
      </c>
      <c r="BB196" s="502">
        <f>0</f>
        <v>0</v>
      </c>
      <c r="BC196" s="502">
        <f>0</f>
        <v>0</v>
      </c>
      <c r="BD196" s="502">
        <f>0</f>
        <v>0</v>
      </c>
      <c r="BE196" s="502">
        <f>0</f>
        <v>0</v>
      </c>
      <c r="BF196" s="502">
        <f>0</f>
        <v>0</v>
      </c>
      <c r="BG196" s="502">
        <f>0</f>
        <v>0</v>
      </c>
      <c r="BH196" s="502">
        <f>0</f>
        <v>0</v>
      </c>
      <c r="BI196" s="502">
        <f>0</f>
        <v>0</v>
      </c>
      <c r="BJ196" s="502">
        <f>0</f>
        <v>0</v>
      </c>
      <c r="BK196" s="502">
        <f>0</f>
        <v>0</v>
      </c>
      <c r="BL196" s="502">
        <f>0</f>
        <v>0</v>
      </c>
      <c r="BM196" s="502">
        <f>0</f>
        <v>0</v>
      </c>
      <c r="BN196" s="502">
        <f>0</f>
        <v>0</v>
      </c>
      <c r="BO196" s="502">
        <f>0</f>
        <v>0</v>
      </c>
      <c r="BP196" s="502">
        <f>0</f>
        <v>0</v>
      </c>
      <c r="BQ196" s="502">
        <f>0</f>
        <v>0</v>
      </c>
      <c r="BR196" s="502">
        <f>0</f>
        <v>0</v>
      </c>
      <c r="BS196" s="502">
        <f>0</f>
        <v>0</v>
      </c>
      <c r="BT196" s="502">
        <f>0</f>
        <v>0</v>
      </c>
      <c r="BU196" s="502">
        <f>0</f>
        <v>0</v>
      </c>
      <c r="BV196" s="502">
        <f>0</f>
        <v>0</v>
      </c>
      <c r="BW196" s="2360">
        <f>0</f>
        <v>0</v>
      </c>
      <c r="BX196" s="2360">
        <f>0</f>
        <v>0</v>
      </c>
      <c r="BY196" s="2360">
        <f>0</f>
        <v>0</v>
      </c>
      <c r="BZ196" s="2360">
        <f>0</f>
        <v>0</v>
      </c>
      <c r="CA196" s="502">
        <f>0</f>
        <v>0</v>
      </c>
      <c r="CB196" s="502">
        <f>0</f>
        <v>0</v>
      </c>
      <c r="CC196" s="502">
        <f>0</f>
        <v>0</v>
      </c>
      <c r="CD196" s="502">
        <f>0</f>
        <v>0</v>
      </c>
      <c r="CE196" s="502">
        <f>0</f>
        <v>0</v>
      </c>
      <c r="CF196" s="502">
        <f>0</f>
        <v>0</v>
      </c>
      <c r="CG196" s="502">
        <f>0</f>
        <v>0</v>
      </c>
      <c r="CH196" s="502">
        <f>0</f>
        <v>0</v>
      </c>
      <c r="CI196" s="502">
        <f>0</f>
        <v>0</v>
      </c>
      <c r="CJ196" s="502">
        <f>0</f>
        <v>0</v>
      </c>
      <c r="CK196" s="502">
        <f>0</f>
        <v>0</v>
      </c>
      <c r="CL196" s="502">
        <f>0</f>
        <v>0</v>
      </c>
      <c r="CM196" s="502">
        <f>0</f>
        <v>0</v>
      </c>
      <c r="CN196" s="502">
        <f>0</f>
        <v>0</v>
      </c>
      <c r="CO196" s="502">
        <f>0</f>
        <v>0</v>
      </c>
      <c r="CP196" s="502">
        <f>0</f>
        <v>0</v>
      </c>
      <c r="CQ196" s="502">
        <f>0</f>
        <v>0</v>
      </c>
      <c r="CR196" s="502">
        <f>0</f>
        <v>0</v>
      </c>
      <c r="CS196" s="502">
        <f>0</f>
        <v>0</v>
      </c>
      <c r="CT196" s="2485">
        <f>µ_AMX_T*X_AMX*M_satSNHx_KNHx_AMX*M_satSNO2_KNO2_AMX*M_inhSO2_KiO2_AMX*L_ogsatpHCO2_AMX*M_satSPO4_KPO4_BIO*M_satSCAT_KCAT*M_satSAN_KAN*M_satSCa_KCa*M_satSMg_KMg*B_ellinhpH*M_inhpHHNO2_AMX</f>
        <v>5.0125651939223804E-4</v>
      </c>
      <c r="CV196" s="2502">
        <f>E266*E196+F266*F196+G266*G196+H266*H196+I266*I196+J266*J196+K266*K196+L266*L196+M266*M196+N266*N196+O266*O196+P266*P196+Q266*Q196+R266*R196+S266*S196+T266*T196+U266*U196+V266*V196+W266*W196+X266*X196+Y266*Y196+Z266*Z196+AA266*AA196+AB266*AB196+AC266*AC196+AD266*AD196+AE266*AE196+AF266*AF196+AG266*AG196+AH266*AH196+AI266*AI196+AJ266*AJ196+AK266*AK196+AL266*AL196+AM266*AM196+AN266*AN196+AO266*AO196+AP266*AP196+AQ266*AQ196+AR266*AR196+AS266*AS196+AT266*AT196+AU266*AU196+AV266*AV196+AW266*AW196+AX266*AX196+AY266*AY196+AZ266*AZ196+BA266*BA196+BB266*BB196+BC266*BC196+BD266*BD196+BE266*BE196+BF266*BF196+BG266*BG196+BH266*BH196+BI266*BI196+BJ266*BJ196+BK266*BK196+BL266*BL196+BM266*BM196+BN266*BN196+BO266*BO196+BP266*BP196+BQ266*BQ196+BR266*BR196+BS266*BS196+BT266*BT196+BU266*BU196+BV266*BV196+BW266*BW196+BX266*BX196+BY266*BY196+BZ266*BZ196+CA266*CA196+CB266*CB196+CC266*CC196+CD266*CD196+CE266*CE196+CF266*CF196+CG266*CG196+CH266*CH196+CI266*CI196+CJ266*CJ196+CK266*CK196+CL266*CL196+CM266*CM196+CN266*CN196+CO266*CO196+CP266*CP196+CQ266*CQ196+CR266*CR196+CS266*CS196</f>
        <v>3.5527136788005009E-15</v>
      </c>
      <c r="CW196" s="2502">
        <f>E267*E196+F267*F196+G267*G196+H267*H196+I267*I196+J267*J196+K267*K196+L267*L196+M267*M196+N267*N196+O267*O196+P267*P196+Q267*Q196+R267*R196+S267*S196+T267*T196+U267*U196+V267*V196+W267*W196+X267*X196+Y267*Y196+Z267*Z196+AA267*AA196+AB267*AB196+AC267*AC196+AD267*AD196+AE267*AE196+AF267*AF196+AG267*AG196+AH267*AH196+AI267*AI196+AJ267*AJ196+AK267*AK196+AL267*AL196+AM267*AM196+AN267*AN196+AO267*AO196+AP267*AP196+AQ267*AQ196+AR267*AR196+AS267*AS196+AT267*AT196+AU267*AU196+AV267*AV196+AW267*AW196+AX267*AX196+AY267*AY196+AZ267*AZ196+BA267*BA196+BB267*BB196+BC267*BC196+BD267*BD196+BE267*BE196+BF267*BF196+BG267*BG196+BH267*BH196+BI267*BI196+BJ267*BJ196+BK267*BK196+BL267*BL196+BM267*BM196+BN267*BN196+BO267*BO196+BP267*BP196+BQ267*BQ196+BR267*BR196+BS267*BS196+BT267*BT196+BU267*BU196+BV267*BV196+BW267*BW196+BX267*BX196+BY267*BY196+BZ267*BZ196+CA267*CA196+CB267*CB196+CC267*CC196+CD267*CD196+CE267*CE196+CF267*CF196+CG267*CG196+CH267*CH196+CI267*CI196+CJ267*CJ196+CK267*CK196+CL267*CL196+CM267*CM196+CN267*CN196+CO267*CO196+CP267*CP196+CQ267*CQ196+CR267*CR196+CS267*CS196</f>
        <v>0</v>
      </c>
      <c r="CX196" s="2503">
        <f>E268*E196+F268*F196+G268*G196+H268*H196+I268*I196+J268*J196+K268*K196+L268*L196+M268*M196+N268*N196+O268*O196+P268*P196+Q268*Q196+R268*R196+S268*S196+T268*T196+U268*U196+V268*V196+W268*W196+X268*X196+Y268*Y196+Z268*Z196+AA268*AA196+AB268*AB196+AC268*AC196+AD268*AD196+AE268*AE196+AF268*AF196+AG268*AG196+AH268*AH196+AI268*AI196+AJ268*AJ196+AK268*AK196+AL268*AL196+AM268*AM196+AN268*AN196+AO268*AO196+AP268*AP196+AQ268*AQ196+AR268*AR196+AS268*AS196+AT268*AT196+AU268*AU196+AV268*AV196+AW268*AW196+AX268*AX196+AY268*AY196+AZ268*AZ196+BA268*BA196+BB268*BB196+BC268*BC196+BD268*BD196+BE268*BE196+BF268*BF196+BG268*BG196+BH268*BH196+BI268*BI196+BJ268*BJ196+BK268*BK196+BL268*BL196+BM268*BM196+BN268*BN196+BO268*BO196+BP268*BP196+BQ268*BQ196+BR268*BR196+BS268*BS196+BT268*BT196+BU268*BU196+BV268*BV196+BW268*BW196+BX268*BX196+BY268*BY196+BZ268*BZ196+CA268*CA196+CB268*CB196+CC268*CC196+CD268*CD196+CE268*CE196+CF268*CF196+CG268*CG196+CH268*CH196+CI268*CI196+CJ268*CJ196+CK268*CK196+CL268*CL196+CM268*CM196+CN268*CN196+CO268*CO196+CP268*CP196+CQ268*CQ196+CR268*CR196+CS268*CS196</f>
        <v>0</v>
      </c>
      <c r="CY196" s="2504">
        <f>E269*E196+F269*F196+G269*G196+H269*H196+I269*I196+J269*J196+K269*K196+L269*L196+M269*M196+N269*N196+O269*O196+P269*P196+Q269*Q196+R269*R196+S269*S196+T269*T196+U269*U196+V269*V196+W269*W196+X269*X196+Y269*Y196+Z269*Z196+AA269*AA196+AB269*AB196+AC269*AC196+AD269*AD196+AE269*AE196+AF269*AF196+AG269*AG196+AH269*AH196+AI269*AI196+AJ269*AJ196+AK269*AK196+AL269*AL196+AM269*AM196+AN269*AN196+AO269*AO196+AP269*AP196+AQ269*AQ196+AR269*AR196+AS269*AS196+AT269*AT196+AU269*AU196+AV269*AV196+AW269*AW196+AX269*AX196+AY269*AY196+AZ269*AZ196+BA269*BA196+BB269*BB196+BC269*BC196+BD269*BD196+BE269*BE196+BF269*BF196+BG269*BG196+BH269*BH196+BI269*BI196+BJ269*BJ196+BK269*BK196+BL269*BL196+BM269*BM196+BN269*BN196+BO269*BO196+BP269*BP196+BQ269*BQ196+BR269*BR196+BS269*BS196+BT269*BT196+BU269*BU196+BV269*BV196+BW269*BW196+BX269*BX196+BY269*BY196+BZ269*BZ196+CA269*CA196+CB269*CB196+CC269*CC196+CD269*CD196+CE269*CE196+CF269*CF196+CG269*CG196+CH269*CH196+CI269*CI196+CJ269*CJ196+CK269*CK196+CL269*CL196+CM269*CM196+CN269*CN196+CO269*CO196+CP269*CP196+CQ269*CQ196+CR269*CR196+CS269*CS196</f>
        <v>0</v>
      </c>
      <c r="CZ196" s="2504">
        <f>E270*E196+F270*F196+G270*G196+H270*H196+I270*I196+J270*J196+K270*K196+L270*L196+M270*M196+N270*N196+O270*O196+P270*P196+Q270*Q196+R270*R196+S270*S196+T270*T196+U270*U196+V270*V196+W270*W196+X270*X196+Y270*Y196+Z270*Z196+AA270*AA196+AB270*AB196+AC270*AC196+AD270*AD196+AE270*AE196+AF270*AF196+AG270*AG196+AH270*AH196+AI270*AI196+AJ270*AJ196+AK270*AK196+AL270*AL196+AM270*AM196+AN270*AN196+AO270*AO196+AP270*AP196+AQ270*AQ196+AR270*AR196+AS270*AS196+AT270*AT196+AU270*AU196+AV270*AV196+AW270*AW196+AX270*AX196+AY270*AY196+AZ270*AZ196+BA270*BA196+BB270*BB196+BC270*BC196+BD270*BD196+BE270*BE196+BF270*BF196+BG270*BG196+BH270*BH196+BI270*BI196+BJ270*BJ196+BK270*BK196+BL270*BL196+BM270*BM196+BN270*BN196+BO270*BO196+BP270*BP196+BQ270*BQ196+BR270*BR196+BS270*BS196+BT270*BT196+BU270*BU196+BV270*BV196+BW270*BW196+BX270*BX196+BY270*BY196+BZ270*BZ196+CA270*CA196+CB270*CB196+CC270*CC196+CD270*CD196+CE270*CE196+CF270*CF196+CG270*CG196+CH270*CH196+CI270*CI196+CJ270*CJ196+CK270*CK196+CL270*CL196+CM270*CM196+CN270*CN196+CO270*CO196+CP270*CP196+CQ270*CQ196+CR270*CR196+CS270*CS196</f>
        <v>0</v>
      </c>
      <c r="DA196" s="2504">
        <f>E271*E196+F271*F196+G271*G196+H271*H196+I271*I196+J271*J196+K271*K196+L271*L196+M271*M196+N271*N196+O271*O196+P271*P196+Q271*Q196+R271*R196+S271*S196+T271*T196+U271*U196+V271*V196+W271*W196+X271*X196+Y271*Y196+Z271*Z196+AA271*AA196+AB271*AB196+AC271*AC196+AD271*AD196+AE271*AE196+AF271*AF196+AG271*AG196+AH271*AH196+AI271*AI196+AJ271*AJ196+AK271*AK196+AL271*AL196+AM271*AM196+AN271*AN196+AO271*AO196+AP271*AP196+AQ271*AQ196+AR271*AR196+AS271*AS196+AT271*AT196+AU271*AU196+AV271*AV196+AW271*AW196+AX271*AX196+AY271*AY196+AZ271*AZ196+BA271*BA196+BB271*BB196+BC271*BC196+BD271*BD196+BE271*BE196+BF271*BF196+BG271*BG196+BH271*BH196+BI271*BI196+BJ271*BJ196+BK271*BK196+BL271*BL196+BM271*BM196+BN271*BN196+BO271*BO196+BP271*BP196+BQ271*BQ196+BR271*BR196+BS271*BS196+BT271*BT196+BU271*BU196+BV271*BV196+BW271*BW196+BX271*BX196+BY271*BY196+BZ271*BZ196+CA271*CA196+CB271*CB196+CC271*CC196+CD271*CD196+CE271*CE196+CF271*CF196+CG271*CG196+CH271*CH196+CI271*CI196+CJ271*CJ196+CK271*CK196+CL271*CL196+CM271*CM196+CN271*CN196+CO271*CO196+CP271*CP196+CQ271*CQ196+CR271*CR196+CS271*CS196</f>
        <v>0</v>
      </c>
      <c r="DB196" s="2504">
        <f>E272*E196+F272*F196+G272*G196+H272*H196+I272*I196+J272*J196+K272*K196+L272*L196+M272*M196+N272*N196+O272*O196+P272*P196+Q272*Q196+R272*R196+S272*S196+T272*T196+U272*U196+V272*V196+W272*W196+X272*X196+Y272*Y196+Z272*Z196+AA272*AA196+AB272*AB196+AC272*AC196+AD272*AD196+AE272*AE196+AF272*AF196+AG272*AG196+AH272*AH196+AI272*AI196+AJ272*AJ196+AK272*AK196+AL272*AL196+AM272*AM196+AN272*AN196+AO272*AO196+AP272*AP196+AQ272*AQ196+AR272*AR196+AS272*AS196+AT272*AT196+AU272*AU196+AV272*AV196+AW272*AW196+AX272*AX196+AY272*AY196+AZ272*AZ196+BA272*BA196+BB272*BB196+BC272*BC196+BD272*BD196+BE272*BE196+BF272*BF196+BG272*BG196+BH272*BH196+BI272*BI196+BJ272*BJ196+BK272*BK196+BL272*BL196+BM272*BM196+BN272*BN196+BO272*BO196+BP272*BP196+BQ272*BQ196+BR272*BR196+BS272*BS196+BT272*BT196+BU272*BU196+BV272*BV196+BW272*BW196+BX272*BX196+BY272*BY196+BZ272*BZ196+CA272*CA196+CB272*CB196+CC272*CC196+CD272*CD196+CE272*CE196+CF272*CF196+CG272*CG196+CH272*CH196+CI272*CI196+CJ272*CJ196+CK272*CK196+CL272*CL196+CM272*CM196+CN272*CN196+CO272*CO196+CP272*CP196+CQ272*CQ196+CR272*CR196+CS272*CS196</f>
        <v>0</v>
      </c>
      <c r="DC196" s="2504">
        <f>E273*E196+F273*F196+G273*G196+H273*H196+I273*I196+J273*J196+K273*K196+L273*L196+M273*M196+N273*N196+O273*O196+P273*P196+Q273*Q196+R273*R196+S273*S196+T273*T196+U273*U196+V273*V196+W273*W196+X273*X196+Y273*Y196+Z273*Z196+AA273*AA196+AB273*AB196+AC273*AC196+AD273*AD196+AE273*AE196+AF273*AF196+AG273*AG196+AH273*AH196+AI273*AI196+AJ273*AJ196+AK273*AK196+AL273*AL196+AM273*AM196+AN273*AN196+AO273*AO196+AP273*AP196+AQ273*AQ196+AR273*AR196+AS273*AS196+AT273*AT196+AU273*AU196+AV273*AV196+AW273*AW196+AX273*AX196+AY273*AY196+AZ273*AZ196+BA273*BA196+BB273*BB196+BC273*BC196+BD273*BD196+BE273*BE196+BF273*BF196+BG273*BG196+BH273*BH196+BI273*BI196+BJ273*BJ196+BK273*BK196+BL273*BL196+BM273*BM196+BN273*BN196+BO273*BO196+BP273*BP196+BQ273*BQ196+BR273*BR196+BS273*BS196+BT273*BT196+BU273*BU196+BV273*BV196+BW273*BW196+BX273*BX196+BY273*BY196+BZ273*BZ196+CA273*CA196+CB273*CB196+CC273*CC196+CD273*CD196+CE273*CE196+CF273*CF196+CG273*CG196+CH273*CH196+CI273*CI196+CJ273*CJ196+CK273*CK196+CL273*CL196+CM273*CM196+CN273*CN196+CO273*CO196+CP273*CP196+CQ273*CQ196+CR273*CR196+CS273*CS196</f>
        <v>0</v>
      </c>
      <c r="DD196" s="2504">
        <f>E274*E196+F274*F196+G274*G196+H274*H196+I274*I196+J274*J196+K274*K196+L274*L196+M274*M196+N274*N196+O274*O196+P274*P196+Q274*Q196+R274*R196+S274*S196+T274*T196+U274*U196+V274*V196+W274*W196+X274*X196+Y274*Y196+Z274*Z196+AA274*AA196+AB274*AB196+AC274*AC196+AD274*AD196+AE274*AE196+AF274*AF196+AG274*AG196+AH274*AH196+AI274*AI196+AJ274*AJ196+AK274*AK196+AL274*AL196+AM274*AM196+AN274*AN196+AO274*AO196+AP274*AP196+AQ274*AQ196+AR274*AR196+AS274*AS196+AT274*AT196+AU274*AU196+AV274*AV196+AW274*AW196+AX274*AX196+AY274*AY196+AZ274*AZ196+BA274*BA196+BB274*BB196+BC274*BC196+BD274*BD196+BE274*BE196+BF274*BF196+BG274*BG196+BH274*BH196+BI274*BI196+BJ274*BJ196+BK274*BK196+BL274*BL196+BM274*BM196+BN274*BN196+BO274*BO196+BP274*BP196+BQ274*BQ196+BR274*BR196+BS274*BS196+BT274*BT196+BU274*BU196+BV274*BV196+BW274*BW196+BX274*BX196+BY274*BY196+BZ274*BZ196+CA274*CA196+CB274*CB196+CC274*CC196+CD274*CD196+CE274*CE196+CF274*CF196+CG274*CG196+CH274*CH196+CI274*CI196+CJ274*CJ196+CK274*CK196+CL274*CL196+CM274*CM196+CN274*CN196+CO274*CO196+CP274*CP196+CQ274*CQ196+CR274*CR196+CS274*CS196</f>
        <v>0</v>
      </c>
      <c r="DE196" s="2504">
        <f>E275*E196+F275*F196+G275*G196+H275*H196+I275*I196+J275*J196+K275*K196+L275*L196+M275*M196+N275*N196+O275*O196+P275*P196+Q275*Q196+R275*R196+S275*S196+T275*T196+U275*U196+V275*V196+W275*W196+X275*X196+Y275*Y196+Z275*Z196+AA275*AA196+AB275*AB196+AC275*AC196+AD275*AD196+AE275*AE196+AF275*AF196+AG275*AG196+AH275*AH196+AI275*AI196+AJ275*AJ196+AK275*AK196+AL275*AL196+AM275*AM196+AN275*AN196+AO275*AO196+AP275*AP196+AQ275*AQ196+AR275*AR196+AS275*AS196+AT275*AT196+AU275*AU196+AV275*AV196+AW275*AW196+AX275*AX196+AY275*AY196+AZ275*AZ196+BA275*BA196+BB275*BB196+BC275*BC196+BD275*BD196+BE275*BE196+BF275*BF196+BG275*BG196+BH275*BH196+BI275*BI196+BJ275*BJ196+BK275*BK196+BL275*BL196+BM275*BM196+BN275*BN196+BO275*BO196+BP275*BP196+BQ275*BQ196+BR275*BR196+BS275*BS196+BT275*BT196+BU275*BU196+BV275*BV196+BW275*BW196+BX275*BX196+BY275*BY196+BZ275*BZ196+CA275*CA196+CB275*CB196+CC275*CC196+CD275*CD196+CE275*CE196+CF275*CF196+CG275*CG196+CH275*CH196+CI275*CI196+CJ275*CJ196+CK275*CK196+CL275*CL196+CM275*CM196+CN275*CN196+CO275*CO196+CP275*CP196+CQ275*CQ196+CR275*CR196+CS275*CS196</f>
        <v>0</v>
      </c>
      <c r="DF196" s="2504">
        <f>E276*E196+F276*F196+G276*G196+H276*H196+I276*I196+J276*J196+K276*K196+L276*L196+M276*M196+N276*N196+O276*O196+P276*P196+Q276*Q196+R276*R196+S276*S196+T276*T196+U276*U196+V276*V196+W276*W196+X276*X196+Y276*Y196+Z276*Z196+AA276*AA196+AB276*AB196+AC276*AC196+AD276*AD196+AE276*AE196+AF276*AF196+AG276*AG196+AH276*AH196+AI276*AI196+AJ276*AJ196+AK276*AK196+AL276*AL196+AM276*AM196+AN276*AN196+AO276*AO196+AP276*AP196+AQ276*AQ196+AR276*AR196+AS276*AS196+AT276*AT196+AU276*AU196+AV276*AV196+AW276*AW196+AX276*AX196+AY276*AY196+AZ276*AZ196+BA276*BA196+BB276*BB196+BC276*BC196+BD276*BD196+BE276*BE196+BF276*BF196+BG276*BG196+BH276*BH196+BI276*BI196+BJ276*BJ196+BK276*BK196+BL276*BL196+BM276*BM196+BN276*BN196+BO276*BO196+BP276*BP196+BQ276*BQ196+BR276*BR196+BS276*BS196+BT276*BT196+BU276*BU196+BV276*BV196+BW276*BW196+BX276*BX196+BY276*BY196+BZ276*BZ196+CA276*CA196+CB276*CB196+CC276*CC196+CD276*CD196+CE276*CE196+CF276*CF196+CG276*CG196+CH276*CH196+CI276*CI196+CJ276*CJ196+CK276*CK196+CL276*CL196+CM276*CM196+CN276*CN196+CO276*CO196+CP276*CP196+CQ276*CQ196+CR276*CR196+CS276*CS196</f>
        <v>0</v>
      </c>
    </row>
    <row r="197" spans="2:110" x14ac:dyDescent="0.25">
      <c r="B197" s="1576">
        <v>55</v>
      </c>
      <c r="C197" s="537" t="s">
        <v>2116</v>
      </c>
      <c r="D197" s="538" t="s">
        <v>2205</v>
      </c>
      <c r="E197" s="503">
        <f>0</f>
        <v>0</v>
      </c>
      <c r="F197" s="503">
        <f>0</f>
        <v>0</v>
      </c>
      <c r="G197" s="503">
        <f>0</f>
        <v>0</v>
      </c>
      <c r="H197" s="503">
        <f>0</f>
        <v>0</v>
      </c>
      <c r="I197" s="503">
        <f>0</f>
        <v>0</v>
      </c>
      <c r="J197" s="503">
        <f>1-f_E</f>
        <v>0.92</v>
      </c>
      <c r="K197" s="503">
        <f>0</f>
        <v>0</v>
      </c>
      <c r="L197" s="503">
        <f>0</f>
        <v>0</v>
      </c>
      <c r="M197" s="503">
        <f>0</f>
        <v>0</v>
      </c>
      <c r="N197" s="503">
        <f>0</f>
        <v>0</v>
      </c>
      <c r="O197" s="503">
        <f>0</f>
        <v>0</v>
      </c>
      <c r="P197" s="503">
        <f>f_E</f>
        <v>0.08</v>
      </c>
      <c r="Q197" s="503">
        <f>0</f>
        <v>0</v>
      </c>
      <c r="R197" s="503">
        <f>0</f>
        <v>0</v>
      </c>
      <c r="S197" s="503">
        <f>0</f>
        <v>0</v>
      </c>
      <c r="T197" s="503">
        <f>0</f>
        <v>0</v>
      </c>
      <c r="U197" s="503">
        <f>0</f>
        <v>0</v>
      </c>
      <c r="V197" s="503">
        <f>0</f>
        <v>0</v>
      </c>
      <c r="W197" s="503">
        <f>-1</f>
        <v>-1</v>
      </c>
      <c r="X197" s="503">
        <f>0</f>
        <v>0</v>
      </c>
      <c r="Y197" s="503">
        <f>0</f>
        <v>0</v>
      </c>
      <c r="Z197" s="503">
        <f>0</f>
        <v>0</v>
      </c>
      <c r="AA197" s="503">
        <f>-f_E*(i_N_XE-i_N_BIO)</f>
        <v>8.0000000000000069E-4</v>
      </c>
      <c r="AB197" s="503">
        <f>0</f>
        <v>0</v>
      </c>
      <c r="AC197" s="503">
        <f>0</f>
        <v>0</v>
      </c>
      <c r="AD197" s="503">
        <f>0</f>
        <v>0</v>
      </c>
      <c r="AE197" s="503">
        <f>0</f>
        <v>0</v>
      </c>
      <c r="AF197" s="503">
        <f>0</f>
        <v>0</v>
      </c>
      <c r="AG197" s="503">
        <f>0</f>
        <v>0</v>
      </c>
      <c r="AH197" s="503">
        <f>0</f>
        <v>0</v>
      </c>
      <c r="AI197" s="503">
        <f>0</f>
        <v>0</v>
      </c>
      <c r="AJ197" s="503">
        <f>0</f>
        <v>0</v>
      </c>
      <c r="AK197" s="503">
        <f>(1-f_E)*i_N_BIO</f>
        <v>6.4400000000000013E-2</v>
      </c>
      <c r="AL197" s="503">
        <f>0</f>
        <v>0</v>
      </c>
      <c r="AM197" s="503">
        <f>0</f>
        <v>0</v>
      </c>
      <c r="AN197" s="503">
        <f>0</f>
        <v>0</v>
      </c>
      <c r="AO197" s="503">
        <f>0</f>
        <v>0</v>
      </c>
      <c r="AP197" s="503">
        <f>0</f>
        <v>0</v>
      </c>
      <c r="AQ197" s="503">
        <f>(1-f_E)*i_P_BIO</f>
        <v>1.84E-2</v>
      </c>
      <c r="AR197" s="503">
        <f>0</f>
        <v>0</v>
      </c>
      <c r="AS197" s="503">
        <f>0</f>
        <v>0</v>
      </c>
      <c r="AT197" s="503">
        <f>0</f>
        <v>0</v>
      </c>
      <c r="AU197" s="503">
        <f>0</f>
        <v>0</v>
      </c>
      <c r="AV197" s="502">
        <f>(1-f_E)*(i_CIT_BIO-i_CIT_XBe)</f>
        <v>6.0720000000000003E-2</v>
      </c>
      <c r="AW197" s="503">
        <f>0</f>
        <v>0</v>
      </c>
      <c r="AX197" s="503">
        <f>0</f>
        <v>0</v>
      </c>
      <c r="AY197" s="503">
        <f>0</f>
        <v>0</v>
      </c>
      <c r="AZ197" s="503">
        <f>0</f>
        <v>0</v>
      </c>
      <c r="BA197" s="503">
        <f>0</f>
        <v>0</v>
      </c>
      <c r="BB197" s="503">
        <f>0</f>
        <v>0</v>
      </c>
      <c r="BC197" s="503">
        <f>0</f>
        <v>0</v>
      </c>
      <c r="BD197" s="503">
        <f>0</f>
        <v>0</v>
      </c>
      <c r="BE197" s="503">
        <f>0</f>
        <v>0</v>
      </c>
      <c r="BF197" s="503">
        <f>0</f>
        <v>0</v>
      </c>
      <c r="BG197" s="503">
        <f>0</f>
        <v>0</v>
      </c>
      <c r="BH197" s="503">
        <f>0</f>
        <v>0</v>
      </c>
      <c r="BI197" s="503">
        <f>0</f>
        <v>0</v>
      </c>
      <c r="BJ197" s="503">
        <f>0</f>
        <v>0</v>
      </c>
      <c r="BK197" s="503">
        <f>0</f>
        <v>0</v>
      </c>
      <c r="BL197" s="503">
        <f>0</f>
        <v>0</v>
      </c>
      <c r="BM197" s="503">
        <f>0</f>
        <v>0</v>
      </c>
      <c r="BN197" s="503">
        <f>0</f>
        <v>0</v>
      </c>
      <c r="BO197" s="503">
        <f>0</f>
        <v>0</v>
      </c>
      <c r="BP197" s="503">
        <f>0</f>
        <v>0</v>
      </c>
      <c r="BQ197" s="503">
        <f>0</f>
        <v>0</v>
      </c>
      <c r="BR197" s="503">
        <f>0</f>
        <v>0</v>
      </c>
      <c r="BS197" s="503">
        <f>0</f>
        <v>0</v>
      </c>
      <c r="BT197" s="503">
        <f>0</f>
        <v>0</v>
      </c>
      <c r="BU197" s="503">
        <f>0</f>
        <v>0</v>
      </c>
      <c r="BV197" s="503">
        <f>0</f>
        <v>0</v>
      </c>
      <c r="BW197" s="2361">
        <f>0</f>
        <v>0</v>
      </c>
      <c r="BX197" s="2361">
        <f>0</f>
        <v>0</v>
      </c>
      <c r="BY197" s="2361">
        <f>0</f>
        <v>0</v>
      </c>
      <c r="BZ197" s="2361">
        <f>0</f>
        <v>0</v>
      </c>
      <c r="CA197" s="503">
        <f>0</f>
        <v>0</v>
      </c>
      <c r="CB197" s="503">
        <f>0</f>
        <v>0</v>
      </c>
      <c r="CC197" s="503">
        <f>0</f>
        <v>0</v>
      </c>
      <c r="CD197" s="503">
        <f>0</f>
        <v>0</v>
      </c>
      <c r="CE197" s="503">
        <f>0</f>
        <v>0</v>
      </c>
      <c r="CF197" s="503">
        <f>0</f>
        <v>0</v>
      </c>
      <c r="CG197" s="503">
        <f>0</f>
        <v>0</v>
      </c>
      <c r="CH197" s="503">
        <f>0</f>
        <v>0</v>
      </c>
      <c r="CI197" s="503">
        <f>0</f>
        <v>0</v>
      </c>
      <c r="CJ197" s="503">
        <f>0</f>
        <v>0</v>
      </c>
      <c r="CK197" s="503">
        <f>0</f>
        <v>0</v>
      </c>
      <c r="CL197" s="503">
        <f>0</f>
        <v>0</v>
      </c>
      <c r="CM197" s="503">
        <f>0</f>
        <v>0</v>
      </c>
      <c r="CN197" s="503">
        <f>0</f>
        <v>0</v>
      </c>
      <c r="CO197" s="503">
        <f>0</f>
        <v>0</v>
      </c>
      <c r="CP197" s="503">
        <f>0</f>
        <v>0</v>
      </c>
      <c r="CQ197" s="503">
        <f>0</f>
        <v>0</v>
      </c>
      <c r="CR197" s="503">
        <f>0</f>
        <v>0</v>
      </c>
      <c r="CS197" s="503">
        <f>0</f>
        <v>0</v>
      </c>
      <c r="CT197" s="2485">
        <f>b_AMX_T*X_AMX*(M_satSO2_KiO2_AMX+η_b_anox*M_satSNOx_KNOx_AMX*M_inhSO2_KiO2_AMX)</f>
        <v>1.738621794871795E-2</v>
      </c>
      <c r="CV197" s="2502">
        <f>E266*E197+F266*F197+G266*G197+H266*H197+I266*I197+J266*J197+K266*K197+L266*L197+M266*M197+N266*N197+O266*O197+P266*P197+Q266*Q197+R266*R197+S266*S197+T266*T197+U266*U197+V266*V197+W266*W197+X266*X197+Y266*Y197+Z266*Z197+AA266*AA197+AB266*AB197+AC266*AC197+AD266*AD197+AE266*AE197+AF266*AF197+AG266*AG197+AH266*AH197+AI266*AI197+AJ266*AJ197+AK266*AK197+AL266*AL197+AM266*AM197+AN266*AN197+AO266*AO197+AP266*AP197+AQ266*AQ197+AR266*AR197+AS266*AS197+AT266*AT197+AU266*AU197+AV266*AV197+AW266*AW197+AX266*AX197+AY266*AY197+AZ266*AZ197+BA266*BA197+BB266*BB197+BC266*BC197+BD266*BD197+BE266*BE197+BF266*BF197+BG266*BG197+BH266*BH197+BI266*BI197+BJ266*BJ197+BK266*BK197+BL266*BL197+BM266*BM197+BN266*BN197+BO266*BO197+BP266*BP197+BQ266*BQ197+BR266*BR197+BS266*BS197+BT266*BT197+BU266*BU197+BV266*BV197+BW266*BW197+BX266*BX197+BY266*BY197+BZ266*BZ197+CA266*CA197+CB266*CB197+CC266*CC197+CD266*CD197+CE266*CE197+CF266*CF197+CG266*CG197+CH266*CH197+CI266*CI197+CJ266*CJ197+CK266*CK197+CL266*CL197+CM266*CM197+CN266*CN197+CO266*CO197+CP266*CP197+CQ266*CQ197+CR266*CR197+CS266*CS197</f>
        <v>0</v>
      </c>
      <c r="CW197" s="2502">
        <f>E267*E197+F267*F197+G267*G197+H267*H197+I267*I197+J267*J197+K267*K197+L267*L197+M267*M197+N267*N197+O267*O197+P267*P197+Q267*Q197+R267*R197+S267*S197+T267*T197+U267*U197+V267*V197+W267*W197+X267*X197+Y267*Y197+Z267*Z197+AA267*AA197+AB267*AB197+AC267*AC197+AD267*AD197+AE267*AE197+AF267*AF197+AG267*AG197+AH267*AH197+AI267*AI197+AJ267*AJ197+AK267*AK197+AL267*AL197+AM267*AM197+AN267*AN197+AO267*AO197+AP267*AP197+AQ267*AQ197+AR267*AR197+AS267*AS197+AT267*AT197+AU267*AU197+AV267*AV197+AW267*AW197+AX267*AX197+AY267*AY197+AZ267*AZ197+BA267*BA197+BB267*BB197+BC267*BC197+BD267*BD197+BE267*BE197+BF267*BF197+BG267*BG197+BH267*BH197+BI267*BI197+BJ267*BJ197+BK267*BK197+BL267*BL197+BM267*BM197+BN267*BN197+BO267*BO197+BP267*BP197+BQ267*BQ197+BR267*BR197+BS267*BS197+BT267*BT197+BU267*BU197+BV267*BV197+BW267*BW197+BX267*BX197+BY267*BY197+BZ267*BZ197+CA267*CA197+CB267*CB197+CC267*CC197+CD267*CD197+CE267*CE197+CF267*CF197+CG267*CG197+CH267*CH197+CI267*CI197+CJ267*CJ197+CK267*CK197+CL267*CL197+CM267*CM197+CN267*CN197+CO267*CO197+CP267*CP197+CQ267*CQ197+CR267*CR197+CS267*CS197</f>
        <v>6.9388939039072284E-18</v>
      </c>
      <c r="CX197" s="2503">
        <f>E268*E197+F268*F197+G268*G197+H268*H197+I268*I197+J268*J197+K268*K197+L268*L197+M268*M197+N268*N197+O268*O197+P268*P197+Q268*Q197+R268*R197+S268*S197+T268*T197+U268*U197+V268*V197+W268*W197+X268*X197+Y268*Y197+Z268*Z197+AA268*AA197+AB268*AB197+AC268*AC197+AD268*AD197+AE268*AE197+AF268*AF197+AG268*AG197+AH268*AH197+AI268*AI197+AJ268*AJ197+AK268*AK197+AL268*AL197+AM268*AM197+AN268*AN197+AO268*AO197+AP268*AP197+AQ268*AQ197+AR268*AR197+AS268*AS197+AT268*AT197+AU268*AU197+AV268*AV197+AW268*AW197+AX268*AX197+AY268*AY197+AZ268*AZ197+BA268*BA197+BB268*BB197+BC268*BC197+BD268*BD197+BE268*BE197+BF268*BF197+BG268*BG197+BH268*BH197+BI268*BI197+BJ268*BJ197+BK268*BK197+BL268*BL197+BM268*BM197+BN268*BN197+BO268*BO197+BP268*BP197+BQ268*BQ197+BR268*BR197+BS268*BS197+BT268*BT197+BU268*BU197+BV268*BV197+BW268*BW197+BX268*BX197+BY268*BY197+BZ268*BZ197+CA268*CA197+CB268*CB197+CC268*CC197+CD268*CD197+CE268*CE197+CF268*CF197+CG268*CG197+CH268*CH197+CI268*CI197+CJ268*CJ197+CK268*CK197+CL268*CL197+CM268*CM197+CN268*CN197+CO268*CO197+CP268*CP197+CQ268*CQ197+CR268*CR197+CS268*CS197</f>
        <v>0</v>
      </c>
      <c r="CY197" s="2504">
        <f>E269*E197+F269*F197+G269*G197+H269*H197+I269*I197+J269*J197+K269*K197+L269*L197+M269*M197+N269*N197+O269*O197+P269*P197+Q269*Q197+R269*R197+S269*S197+T269*T197+U269*U197+V269*V197+W269*W197+X269*X197+Y269*Y197+Z269*Z197+AA269*AA197+AB269*AB197+AC269*AC197+AD269*AD197+AE269*AE197+AF269*AF197+AG269*AG197+AH269*AH197+AI269*AI197+AJ269*AJ197+AK269*AK197+AL269*AL197+AM269*AM197+AN269*AN197+AO269*AO197+AP269*AP197+AQ269*AQ197+AR269*AR197+AS269*AS197+AT269*AT197+AU269*AU197+AV269*AV197+AW269*AW197+AX269*AX197+AY269*AY197+AZ269*AZ197+BA269*BA197+BB269*BB197+BC269*BC197+BD269*BD197+BE269*BE197+BF269*BF197+BG269*BG197+BH269*BH197+BI269*BI197+BJ269*BJ197+BK269*BK197+BL269*BL197+BM269*BM197+BN269*BN197+BO269*BO197+BP269*BP197+BQ269*BQ197+BR269*BR197+BS269*BS197+BT269*BT197+BU269*BU197+BV269*BV197+BW269*BW197+BX269*BX197+BY269*BY197+BZ269*BZ197+CA269*CA197+CB269*CB197+CC269*CC197+CD269*CD197+CE269*CE197+CF269*CF197+CG269*CG197+CH269*CH197+CI269*CI197+CJ269*CJ197+CK269*CK197+CL269*CL197+CM269*CM197+CN269*CN197+CO269*CO197+CP269*CP197+CQ269*CQ197+CR269*CR197+CS269*CS197</f>
        <v>0</v>
      </c>
      <c r="CZ197" s="2504">
        <f>E270*E197+F270*F197+G270*G197+H270*H197+I270*I197+J270*J197+K270*K197+L270*L197+M270*M197+N270*N197+O270*O197+P270*P197+Q270*Q197+R270*R197+S270*S197+T270*T197+U270*U197+V270*V197+W270*W197+X270*X197+Y270*Y197+Z270*Z197+AA270*AA197+AB270*AB197+AC270*AC197+AD270*AD197+AE270*AE197+AF270*AF197+AG270*AG197+AH270*AH197+AI270*AI197+AJ270*AJ197+AK270*AK197+AL270*AL197+AM270*AM197+AN270*AN197+AO270*AO197+AP270*AP197+AQ270*AQ197+AR270*AR197+AS270*AS197+AT270*AT197+AU270*AU197+AV270*AV197+AW270*AW197+AX270*AX197+AY270*AY197+AZ270*AZ197+BA270*BA197+BB270*BB197+BC270*BC197+BD270*BD197+BE270*BE197+BF270*BF197+BG270*BG197+BH270*BH197+BI270*BI197+BJ270*BJ197+BK270*BK197+BL270*BL197+BM270*BM197+BN270*BN197+BO270*BO197+BP270*BP197+BQ270*BQ197+BR270*BR197+BS270*BS197+BT270*BT197+BU270*BU197+BV270*BV197+BW270*BW197+BX270*BX197+BY270*BY197+BZ270*BZ197+CA270*CA197+CB270*CB197+CC270*CC197+CD270*CD197+CE270*CE197+CF270*CF197+CG270*CG197+CH270*CH197+CI270*CI197+CJ270*CJ197+CK270*CK197+CL270*CL197+CM270*CM197+CN270*CN197+CO270*CO197+CP270*CP197+CQ270*CQ197+CR270*CR197+CS270*CS197</f>
        <v>0</v>
      </c>
      <c r="DA197" s="2504">
        <f>E271*E197+F271*F197+G271*G197+H271*H197+I271*I197+J271*J197+K271*K197+L271*L197+M271*M197+N271*N197+O271*O197+P271*P197+Q271*Q197+R271*R197+S271*S197+T271*T197+U271*U197+V271*V197+W271*W197+X271*X197+Y271*Y197+Z271*Z197+AA271*AA197+AB271*AB197+AC271*AC197+AD271*AD197+AE271*AE197+AF271*AF197+AG271*AG197+AH271*AH197+AI271*AI197+AJ271*AJ197+AK271*AK197+AL271*AL197+AM271*AM197+AN271*AN197+AO271*AO197+AP271*AP197+AQ271*AQ197+AR271*AR197+AS271*AS197+AT271*AT197+AU271*AU197+AV271*AV197+AW271*AW197+AX271*AX197+AY271*AY197+AZ271*AZ197+BA271*BA197+BB271*BB197+BC271*BC197+BD271*BD197+BE271*BE197+BF271*BF197+BG271*BG197+BH271*BH197+BI271*BI197+BJ271*BJ197+BK271*BK197+BL271*BL197+BM271*BM197+BN271*BN197+BO271*BO197+BP271*BP197+BQ271*BQ197+BR271*BR197+BS271*BS197+BT271*BT197+BU271*BU197+BV271*BV197+BW271*BW197+BX271*BX197+BY271*BY197+BZ271*BZ197+CA271*CA197+CB271*CB197+CC271*CC197+CD271*CD197+CE271*CE197+CF271*CF197+CG271*CG197+CH271*CH197+CI271*CI197+CJ271*CJ197+CK271*CK197+CL271*CL197+CM271*CM197+CN271*CN197+CO271*CO197+CP271*CP197+CQ271*CQ197+CR271*CR197+CS271*CS197</f>
        <v>0</v>
      </c>
      <c r="DB197" s="2504">
        <f>E272*E197+F272*F197+G272*G197+H272*H197+I272*I197+J272*J197+K272*K197+L272*L197+M272*M197+N272*N197+O272*O197+P272*P197+Q272*Q197+R272*R197+S272*S197+T272*T197+U272*U197+V272*V197+W272*W197+X272*X197+Y272*Y197+Z272*Z197+AA272*AA197+AB272*AB197+AC272*AC197+AD272*AD197+AE272*AE197+AF272*AF197+AG272*AG197+AH272*AH197+AI272*AI197+AJ272*AJ197+AK272*AK197+AL272*AL197+AM272*AM197+AN272*AN197+AO272*AO197+AP272*AP197+AQ272*AQ197+AR272*AR197+AS272*AS197+AT272*AT197+AU272*AU197+AV272*AV197+AW272*AW197+AX272*AX197+AY272*AY197+AZ272*AZ197+BA272*BA197+BB272*BB197+BC272*BC197+BD272*BD197+BE272*BE197+BF272*BF197+BG272*BG197+BH272*BH197+BI272*BI197+BJ272*BJ197+BK272*BK197+BL272*BL197+BM272*BM197+BN272*BN197+BO272*BO197+BP272*BP197+BQ272*BQ197+BR272*BR197+BS272*BS197+BT272*BT197+BU272*BU197+BV272*BV197+BW272*BW197+BX272*BX197+BY272*BY197+BZ272*BZ197+CA272*CA197+CB272*CB197+CC272*CC197+CD272*CD197+CE272*CE197+CF272*CF197+CG272*CG197+CH272*CH197+CI272*CI197+CJ272*CJ197+CK272*CK197+CL272*CL197+CM272*CM197+CN272*CN197+CO272*CO197+CP272*CP197+CQ272*CQ197+CR272*CR197+CS272*CS197</f>
        <v>0</v>
      </c>
      <c r="DC197" s="2504">
        <f>E273*E197+F273*F197+G273*G197+H273*H197+I273*I197+J273*J197+K273*K197+L273*L197+M273*M197+N273*N197+O273*O197+P273*P197+Q273*Q197+R273*R197+S273*S197+T273*T197+U273*U197+V273*V197+W273*W197+X273*X197+Y273*Y197+Z273*Z197+AA273*AA197+AB273*AB197+AC273*AC197+AD273*AD197+AE273*AE197+AF273*AF197+AG273*AG197+AH273*AH197+AI273*AI197+AJ273*AJ197+AK273*AK197+AL273*AL197+AM273*AM197+AN273*AN197+AO273*AO197+AP273*AP197+AQ273*AQ197+AR273*AR197+AS273*AS197+AT273*AT197+AU273*AU197+AV273*AV197+AW273*AW197+AX273*AX197+AY273*AY197+AZ273*AZ197+BA273*BA197+BB273*BB197+BC273*BC197+BD273*BD197+BE273*BE197+BF273*BF197+BG273*BG197+BH273*BH197+BI273*BI197+BJ273*BJ197+BK273*BK197+BL273*BL197+BM273*BM197+BN273*BN197+BO273*BO197+BP273*BP197+BQ273*BQ197+BR273*BR197+BS273*BS197+BT273*BT197+BU273*BU197+BV273*BV197+BW273*BW197+BX273*BX197+BY273*BY197+BZ273*BZ197+CA273*CA197+CB273*CB197+CC273*CC197+CD273*CD197+CE273*CE197+CF273*CF197+CG273*CG197+CH273*CH197+CI273*CI197+CJ273*CJ197+CK273*CK197+CL273*CL197+CM273*CM197+CN273*CN197+CO273*CO197+CP273*CP197+CQ273*CQ197+CR273*CR197+CS273*CS197</f>
        <v>0</v>
      </c>
      <c r="DD197" s="2504">
        <f>E274*E197+F274*F197+G274*G197+H274*H197+I274*I197+J274*J197+K274*K197+L274*L197+M274*M197+N274*N197+O274*O197+P274*P197+Q274*Q197+R274*R197+S274*S197+T274*T197+U274*U197+V274*V197+W274*W197+X274*X197+Y274*Y197+Z274*Z197+AA274*AA197+AB274*AB197+AC274*AC197+AD274*AD197+AE274*AE197+AF274*AF197+AG274*AG197+AH274*AH197+AI274*AI197+AJ274*AJ197+AK274*AK197+AL274*AL197+AM274*AM197+AN274*AN197+AO274*AO197+AP274*AP197+AQ274*AQ197+AR274*AR197+AS274*AS197+AT274*AT197+AU274*AU197+AV274*AV197+AW274*AW197+AX274*AX197+AY274*AY197+AZ274*AZ197+BA274*BA197+BB274*BB197+BC274*BC197+BD274*BD197+BE274*BE197+BF274*BF197+BG274*BG197+BH274*BH197+BI274*BI197+BJ274*BJ197+BK274*BK197+BL274*BL197+BM274*BM197+BN274*BN197+BO274*BO197+BP274*BP197+BQ274*BQ197+BR274*BR197+BS274*BS197+BT274*BT197+BU274*BU197+BV274*BV197+BW274*BW197+BX274*BX197+BY274*BY197+BZ274*BZ197+CA274*CA197+CB274*CB197+CC274*CC197+CD274*CD197+CE274*CE197+CF274*CF197+CG274*CG197+CH274*CH197+CI274*CI197+CJ274*CJ197+CK274*CK197+CL274*CL197+CM274*CM197+CN274*CN197+CO274*CO197+CP274*CP197+CQ274*CQ197+CR274*CR197+CS274*CS197</f>
        <v>0</v>
      </c>
      <c r="DE197" s="2504">
        <f>E275*E197+F275*F197+G275*G197+H275*H197+I275*I197+J275*J197+K275*K197+L275*L197+M275*M197+N275*N197+O275*O197+P275*P197+Q275*Q197+R275*R197+S275*S197+T275*T197+U275*U197+V275*V197+W275*W197+X275*X197+Y275*Y197+Z275*Z197+AA275*AA197+AB275*AB197+AC275*AC197+AD275*AD197+AE275*AE197+AF275*AF197+AG275*AG197+AH275*AH197+AI275*AI197+AJ275*AJ197+AK275*AK197+AL275*AL197+AM275*AM197+AN275*AN197+AO275*AO197+AP275*AP197+AQ275*AQ197+AR275*AR197+AS275*AS197+AT275*AT197+AU275*AU197+AV275*AV197+AW275*AW197+AX275*AX197+AY275*AY197+AZ275*AZ197+BA275*BA197+BB275*BB197+BC275*BC197+BD275*BD197+BE275*BE197+BF275*BF197+BG275*BG197+BH275*BH197+BI275*BI197+BJ275*BJ197+BK275*BK197+BL275*BL197+BM275*BM197+BN275*BN197+BO275*BO197+BP275*BP197+BQ275*BQ197+BR275*BR197+BS275*BS197+BT275*BT197+BU275*BU197+BV275*BV197+BW275*BW197+BX275*BX197+BY275*BY197+BZ275*BZ197+CA275*CA197+CB275*CB197+CC275*CC197+CD275*CD197+CE275*CE197+CF275*CF197+CG275*CG197+CH275*CH197+CI275*CI197+CJ275*CJ197+CK275*CK197+CL275*CL197+CM275*CM197+CN275*CN197+CO275*CO197+CP275*CP197+CQ275*CQ197+CR275*CR197+CS275*CS197</f>
        <v>0</v>
      </c>
      <c r="DF197" s="2504">
        <f>E276*E197+F276*F197+G276*G197+H276*H197+I276*I197+J276*J197+K276*K197+L276*L197+M276*M197+N276*N197+O276*O197+P276*P197+Q276*Q197+R276*R197+S276*S197+T276*T197+U276*U197+V276*V197+W276*W197+X276*X197+Y276*Y197+Z276*Z197+AA276*AA197+AB276*AB197+AC276*AC197+AD276*AD197+AE276*AE197+AF276*AF197+AG276*AG197+AH276*AH197+AI276*AI197+AJ276*AJ197+AK276*AK197+AL276*AL197+AM276*AM197+AN276*AN197+AO276*AO197+AP276*AP197+AQ276*AQ197+AR276*AR197+AS276*AS197+AT276*AT197+AU276*AU197+AV276*AV197+AW276*AW197+AX276*AX197+AY276*AY197+AZ276*AZ197+BA276*BA197+BB276*BB197+BC276*BC197+BD276*BD197+BE276*BE197+BF276*BF197+BG276*BG197+BH276*BH197+BI276*BI197+BJ276*BJ197+BK276*BK197+BL276*BL197+BM276*BM197+BN276*BN197+BO276*BO197+BP276*BP197+BQ276*BQ197+BR276*BR197+BS276*BS197+BT276*BT197+BU276*BU197+BV276*BV197+BW276*BW197+BX276*BX197+BY276*BY197+BZ276*BZ197+CA276*CA197+CB276*CB197+CC276*CC197+CD276*CD197+CE276*CE197+CF276*CF197+CG276*CG197+CH276*CH197+CI276*CI197+CJ276*CJ197+CK276*CK197+CL276*CL197+CM276*CM197+CN276*CN197+CO276*CO197+CP276*CP197+CQ276*CQ197+CR276*CR197+CS276*CS197</f>
        <v>0</v>
      </c>
    </row>
    <row r="198" spans="2:110" x14ac:dyDescent="0.25">
      <c r="B198" s="1576">
        <v>56</v>
      </c>
      <c r="C198" s="537" t="s">
        <v>2117</v>
      </c>
      <c r="D198" s="538" t="s">
        <v>2955</v>
      </c>
      <c r="E198" s="503">
        <f>0</f>
        <v>0</v>
      </c>
      <c r="F198" s="503">
        <f>0</f>
        <v>0</v>
      </c>
      <c r="G198" s="503">
        <f>0</f>
        <v>0</v>
      </c>
      <c r="H198" s="503">
        <f>0</f>
        <v>0</v>
      </c>
      <c r="I198" s="503">
        <f>0</f>
        <v>0</v>
      </c>
      <c r="J198" s="503">
        <f>1-f_E</f>
        <v>0.92</v>
      </c>
      <c r="K198" s="503">
        <f>0</f>
        <v>0</v>
      </c>
      <c r="L198" s="503">
        <f>0</f>
        <v>0</v>
      </c>
      <c r="M198" s="503">
        <f>0</f>
        <v>0</v>
      </c>
      <c r="N198" s="503">
        <f>0</f>
        <v>0</v>
      </c>
      <c r="O198" s="503">
        <f>0</f>
        <v>0</v>
      </c>
      <c r="P198" s="503">
        <f>0</f>
        <v>0</v>
      </c>
      <c r="Q198" s="503">
        <f>f_E</f>
        <v>0.08</v>
      </c>
      <c r="R198" s="503">
        <f>0</f>
        <v>0</v>
      </c>
      <c r="S198" s="503">
        <f>0</f>
        <v>0</v>
      </c>
      <c r="T198" s="503">
        <f>0</f>
        <v>0</v>
      </c>
      <c r="U198" s="503">
        <f>0</f>
        <v>0</v>
      </c>
      <c r="V198" s="503">
        <f>0</f>
        <v>0</v>
      </c>
      <c r="W198" s="503">
        <f>-1</f>
        <v>-1</v>
      </c>
      <c r="X198" s="503">
        <f>0</f>
        <v>0</v>
      </c>
      <c r="Y198" s="503">
        <f>0</f>
        <v>0</v>
      </c>
      <c r="Z198" s="503">
        <f>0</f>
        <v>0</v>
      </c>
      <c r="AA198" s="503">
        <f>-f_E*(i_N_XE-i_N_BIO)</f>
        <v>8.0000000000000069E-4</v>
      </c>
      <c r="AB198" s="503">
        <f>0</f>
        <v>0</v>
      </c>
      <c r="AC198" s="503">
        <f>0</f>
        <v>0</v>
      </c>
      <c r="AD198" s="503">
        <f>0</f>
        <v>0</v>
      </c>
      <c r="AE198" s="503">
        <f>0</f>
        <v>0</v>
      </c>
      <c r="AF198" s="503">
        <f>0</f>
        <v>0</v>
      </c>
      <c r="AG198" s="503">
        <f>0</f>
        <v>0</v>
      </c>
      <c r="AH198" s="503">
        <f>0</f>
        <v>0</v>
      </c>
      <c r="AI198" s="503">
        <f>0</f>
        <v>0</v>
      </c>
      <c r="AJ198" s="503">
        <f>0</f>
        <v>0</v>
      </c>
      <c r="AK198" s="503">
        <f>(1-f_E)*i_N_BIO</f>
        <v>6.4400000000000013E-2</v>
      </c>
      <c r="AL198" s="503">
        <f>0</f>
        <v>0</v>
      </c>
      <c r="AM198" s="503">
        <f>0</f>
        <v>0</v>
      </c>
      <c r="AN198" s="503">
        <f>0</f>
        <v>0</v>
      </c>
      <c r="AO198" s="503">
        <f>0</f>
        <v>0</v>
      </c>
      <c r="AP198" s="503">
        <f>0</f>
        <v>0</v>
      </c>
      <c r="AQ198" s="503">
        <f>(1-f_E)*i_P_BIO</f>
        <v>1.84E-2</v>
      </c>
      <c r="AR198" s="503">
        <f>0</f>
        <v>0</v>
      </c>
      <c r="AS198" s="503">
        <f>0</f>
        <v>0</v>
      </c>
      <c r="AT198" s="503">
        <f>0</f>
        <v>0</v>
      </c>
      <c r="AU198" s="503">
        <f>0</f>
        <v>0</v>
      </c>
      <c r="AV198" s="502">
        <f>(1-f_E)*(i_CIT_BIO-i_CIT_XBe)</f>
        <v>6.0720000000000003E-2</v>
      </c>
      <c r="AW198" s="503">
        <f>0</f>
        <v>0</v>
      </c>
      <c r="AX198" s="503">
        <f>0</f>
        <v>0</v>
      </c>
      <c r="AY198" s="503">
        <f>0</f>
        <v>0</v>
      </c>
      <c r="AZ198" s="503">
        <f>0</f>
        <v>0</v>
      </c>
      <c r="BA198" s="503">
        <f>0</f>
        <v>0</v>
      </c>
      <c r="BB198" s="503">
        <f>0</f>
        <v>0</v>
      </c>
      <c r="BC198" s="503">
        <f>0</f>
        <v>0</v>
      </c>
      <c r="BD198" s="503">
        <f>0</f>
        <v>0</v>
      </c>
      <c r="BE198" s="503">
        <f>0</f>
        <v>0</v>
      </c>
      <c r="BF198" s="503">
        <f>0</f>
        <v>0</v>
      </c>
      <c r="BG198" s="503">
        <f>0</f>
        <v>0</v>
      </c>
      <c r="BH198" s="503">
        <f>0</f>
        <v>0</v>
      </c>
      <c r="BI198" s="503">
        <f>0</f>
        <v>0</v>
      </c>
      <c r="BJ198" s="503">
        <f>0</f>
        <v>0</v>
      </c>
      <c r="BK198" s="503">
        <f>0</f>
        <v>0</v>
      </c>
      <c r="BL198" s="503">
        <f>0</f>
        <v>0</v>
      </c>
      <c r="BM198" s="503">
        <f>0</f>
        <v>0</v>
      </c>
      <c r="BN198" s="503">
        <f>0</f>
        <v>0</v>
      </c>
      <c r="BO198" s="503">
        <f>0</f>
        <v>0</v>
      </c>
      <c r="BP198" s="503">
        <f>0</f>
        <v>0</v>
      </c>
      <c r="BQ198" s="503">
        <f>0</f>
        <v>0</v>
      </c>
      <c r="BR198" s="503">
        <f>0</f>
        <v>0</v>
      </c>
      <c r="BS198" s="503">
        <f>0</f>
        <v>0</v>
      </c>
      <c r="BT198" s="503">
        <f>0</f>
        <v>0</v>
      </c>
      <c r="BU198" s="503">
        <f>0</f>
        <v>0</v>
      </c>
      <c r="BV198" s="503">
        <f>0</f>
        <v>0</v>
      </c>
      <c r="BW198" s="2361">
        <f>0</f>
        <v>0</v>
      </c>
      <c r="BX198" s="2361">
        <f>0</f>
        <v>0</v>
      </c>
      <c r="BY198" s="2361">
        <f>0</f>
        <v>0</v>
      </c>
      <c r="BZ198" s="2361">
        <f>0</f>
        <v>0</v>
      </c>
      <c r="CA198" s="503">
        <f>0</f>
        <v>0</v>
      </c>
      <c r="CB198" s="503">
        <f>0</f>
        <v>0</v>
      </c>
      <c r="CC198" s="503">
        <f>0</f>
        <v>0</v>
      </c>
      <c r="CD198" s="503">
        <f>0</f>
        <v>0</v>
      </c>
      <c r="CE198" s="503">
        <f>0</f>
        <v>0</v>
      </c>
      <c r="CF198" s="503">
        <f>0</f>
        <v>0</v>
      </c>
      <c r="CG198" s="503">
        <f>0</f>
        <v>0</v>
      </c>
      <c r="CH198" s="503">
        <f>0</f>
        <v>0</v>
      </c>
      <c r="CI198" s="503">
        <f>0</f>
        <v>0</v>
      </c>
      <c r="CJ198" s="503">
        <f>0</f>
        <v>0</v>
      </c>
      <c r="CK198" s="503">
        <f>0</f>
        <v>0</v>
      </c>
      <c r="CL198" s="503">
        <f>0</f>
        <v>0</v>
      </c>
      <c r="CM198" s="503">
        <f>0</f>
        <v>0</v>
      </c>
      <c r="CN198" s="503">
        <f>0</f>
        <v>0</v>
      </c>
      <c r="CO198" s="503">
        <f>0</f>
        <v>0</v>
      </c>
      <c r="CP198" s="503">
        <f>0</f>
        <v>0</v>
      </c>
      <c r="CQ198" s="503">
        <f>0</f>
        <v>0</v>
      </c>
      <c r="CR198" s="503">
        <f>0</f>
        <v>0</v>
      </c>
      <c r="CS198" s="503">
        <f>0</f>
        <v>0</v>
      </c>
      <c r="CT198" s="2485">
        <f>b_AMX_T*X_AMX*(η_b_ana*M_inhSNOx_KNOx_AMX*M_inhSO2_KiO2_AMX)</f>
        <v>1.522435897435898E-5</v>
      </c>
      <c r="CV198" s="2502">
        <f>E266*E198+F266*F198+G266*G198+H266*H198+I266*I198+J266*J198+K266*K198+L266*L198+M266*M198+N266*N198+O266*O198+P266*P198+Q266*Q198+R266*R198+S266*S198+T266*T198+U266*U198+V266*V198+W266*W198+X266*X198+Y266*Y198+Z266*Z198+AA266*AA198+AB266*AB198+AC266*AC198+AD266*AD198+AE266*AE198+AF266*AF198+AG266*AG198+AH266*AH198+AI266*AI198+AJ266*AJ198+AK266*AK198+AL266*AL198+AM266*AM198+AN266*AN198+AO266*AO198+AP266*AP198+AQ266*AQ198+AR266*AR198+AS266*AS198+AT266*AT198+AU266*AU198+AV266*AV198+AW266*AW198+AX266*AX198+AY266*AY198+AZ266*AZ198+BA266*BA198+BB266*BB198+BC266*BC198+BD266*BD198+BE266*BE198+BF266*BF198+BG266*BG198+BH266*BH198+BI266*BI198+BJ266*BJ198+BK266*BK198+BL266*BL198+BM266*BM198+BN266*BN198+BO266*BO198+BP266*BP198+BQ266*BQ198+BR266*BR198+BS266*BS198+BT266*BT198+BU266*BU198+BV266*BV198+BW266*BW198+BX266*BX198+BY266*BY198+BZ266*BZ198+CA266*CA198+CB266*CB198+CC266*CC198+CD266*CD198+CE266*CE198+CF266*CF198+CG266*CG198+CH266*CH198+CI266*CI198+CJ266*CJ198+CK266*CK198+CL266*CL198+CM266*CM198+CN266*CN198+CO266*CO198+CP266*CP198+CQ266*CQ198+CR266*CR198+CS266*CS198</f>
        <v>0</v>
      </c>
      <c r="CW198" s="2502">
        <f>E267*E198+F267*F198+G267*G198+H267*H198+I267*I198+J267*J198+K267*K198+L267*L198+M267*M198+N267*N198+O267*O198+P267*P198+Q267*Q198+R267*R198+S267*S198+T267*T198+U267*U198+V267*V198+W267*W198+X267*X198+Y267*Y198+Z267*Z198+AA267*AA198+AB267*AB198+AC267*AC198+AD267*AD198+AE267*AE198+AF267*AF198+AG267*AG198+AH267*AH198+AI267*AI198+AJ267*AJ198+AK267*AK198+AL267*AL198+AM267*AM198+AN267*AN198+AO267*AO198+AP267*AP198+AQ267*AQ198+AR267*AR198+AS267*AS198+AT267*AT198+AU267*AU198+AV267*AV198+AW267*AW198+AX267*AX198+AY267*AY198+AZ267*AZ198+BA267*BA198+BB267*BB198+BC267*BC198+BD267*BD198+BE267*BE198+BF267*BF198+BG267*BG198+BH267*BH198+BI267*BI198+BJ267*BJ198+BK267*BK198+BL267*BL198+BM267*BM198+BN267*BN198+BO267*BO198+BP267*BP198+BQ267*BQ198+BR267*BR198+BS267*BS198+BT267*BT198+BU267*BU198+BV267*BV198+BW267*BW198+BX267*BX198+BY267*BY198+BZ267*BZ198+CA267*CA198+CB267*CB198+CC267*CC198+CD267*CD198+CE267*CE198+CF267*CF198+CG267*CG198+CH267*CH198+CI267*CI198+CJ267*CJ198+CK267*CK198+CL267*CL198+CM267*CM198+CN267*CN198+CO267*CO198+CP267*CP198+CQ267*CQ198+CR267*CR198+CS267*CS198</f>
        <v>6.9388939039072284E-18</v>
      </c>
      <c r="CX198" s="2503">
        <f>E268*E198+F268*F198+G268*G198+H268*H198+I268*I198+J268*J198+K268*K198+L268*L198+M268*M198+N268*N198+O268*O198+P268*P198+Q268*Q198+R268*R198+S268*S198+T268*T198+U268*U198+V268*V198+W268*W198+X268*X198+Y268*Y198+Z268*Z198+AA268*AA198+AB268*AB198+AC268*AC198+AD268*AD198+AE268*AE198+AF268*AF198+AG268*AG198+AH268*AH198+AI268*AI198+AJ268*AJ198+AK268*AK198+AL268*AL198+AM268*AM198+AN268*AN198+AO268*AO198+AP268*AP198+AQ268*AQ198+AR268*AR198+AS268*AS198+AT268*AT198+AU268*AU198+AV268*AV198+AW268*AW198+AX268*AX198+AY268*AY198+AZ268*AZ198+BA268*BA198+BB268*BB198+BC268*BC198+BD268*BD198+BE268*BE198+BF268*BF198+BG268*BG198+BH268*BH198+BI268*BI198+BJ268*BJ198+BK268*BK198+BL268*BL198+BM268*BM198+BN268*BN198+BO268*BO198+BP268*BP198+BQ268*BQ198+BR268*BR198+BS268*BS198+BT268*BT198+BU268*BU198+BV268*BV198+BW268*BW198+BX268*BX198+BY268*BY198+BZ268*BZ198+CA268*CA198+CB268*CB198+CC268*CC198+CD268*CD198+CE268*CE198+CF268*CF198+CG268*CG198+CH268*CH198+CI268*CI198+CJ268*CJ198+CK268*CK198+CL268*CL198+CM268*CM198+CN268*CN198+CO268*CO198+CP268*CP198+CQ268*CQ198+CR268*CR198+CS268*CS198</f>
        <v>0</v>
      </c>
      <c r="CY198" s="2504">
        <f>E269*E198+F269*F198+G269*G198+H269*H198+I269*I198+J269*J198+K269*K198+L269*L198+M269*M198+N269*N198+O269*O198+P269*P198+Q269*Q198+R269*R198+S269*S198+T269*T198+U269*U198+V269*V198+W269*W198+X269*X198+Y269*Y198+Z269*Z198+AA269*AA198+AB269*AB198+AC269*AC198+AD269*AD198+AE269*AE198+AF269*AF198+AG269*AG198+AH269*AH198+AI269*AI198+AJ269*AJ198+AK269*AK198+AL269*AL198+AM269*AM198+AN269*AN198+AO269*AO198+AP269*AP198+AQ269*AQ198+AR269*AR198+AS269*AS198+AT269*AT198+AU269*AU198+AV269*AV198+AW269*AW198+AX269*AX198+AY269*AY198+AZ269*AZ198+BA269*BA198+BB269*BB198+BC269*BC198+BD269*BD198+BE269*BE198+BF269*BF198+BG269*BG198+BH269*BH198+BI269*BI198+BJ269*BJ198+BK269*BK198+BL269*BL198+BM269*BM198+BN269*BN198+BO269*BO198+BP269*BP198+BQ269*BQ198+BR269*BR198+BS269*BS198+BT269*BT198+BU269*BU198+BV269*BV198+BW269*BW198+BX269*BX198+BY269*BY198+BZ269*BZ198+CA269*CA198+CB269*CB198+CC269*CC198+CD269*CD198+CE269*CE198+CF269*CF198+CG269*CG198+CH269*CH198+CI269*CI198+CJ269*CJ198+CK269*CK198+CL269*CL198+CM269*CM198+CN269*CN198+CO269*CO198+CP269*CP198+CQ269*CQ198+CR269*CR198+CS269*CS198</f>
        <v>0</v>
      </c>
      <c r="CZ198" s="2504">
        <f>E270*E198+F270*F198+G270*G198+H270*H198+I270*I198+J270*J198+K270*K198+L270*L198+M270*M198+N270*N198+O270*O198+P270*P198+Q270*Q198+R270*R198+S270*S198+T270*T198+U270*U198+V270*V198+W270*W198+X270*X198+Y270*Y198+Z270*Z198+AA270*AA198+AB270*AB198+AC270*AC198+AD270*AD198+AE270*AE198+AF270*AF198+AG270*AG198+AH270*AH198+AI270*AI198+AJ270*AJ198+AK270*AK198+AL270*AL198+AM270*AM198+AN270*AN198+AO270*AO198+AP270*AP198+AQ270*AQ198+AR270*AR198+AS270*AS198+AT270*AT198+AU270*AU198+AV270*AV198+AW270*AW198+AX270*AX198+AY270*AY198+AZ270*AZ198+BA270*BA198+BB270*BB198+BC270*BC198+BD270*BD198+BE270*BE198+BF270*BF198+BG270*BG198+BH270*BH198+BI270*BI198+BJ270*BJ198+BK270*BK198+BL270*BL198+BM270*BM198+BN270*BN198+BO270*BO198+BP270*BP198+BQ270*BQ198+BR270*BR198+BS270*BS198+BT270*BT198+BU270*BU198+BV270*BV198+BW270*BW198+BX270*BX198+BY270*BY198+BZ270*BZ198+CA270*CA198+CB270*CB198+CC270*CC198+CD270*CD198+CE270*CE198+CF270*CF198+CG270*CG198+CH270*CH198+CI270*CI198+CJ270*CJ198+CK270*CK198+CL270*CL198+CM270*CM198+CN270*CN198+CO270*CO198+CP270*CP198+CQ270*CQ198+CR270*CR198+CS270*CS198</f>
        <v>0</v>
      </c>
      <c r="DA198" s="2504">
        <f>E271*E198+F271*F198+G271*G198+H271*H198+I271*I198+J271*J198+K271*K198+L271*L198+M271*M198+N271*N198+O271*O198+P271*P198+Q271*Q198+R271*R198+S271*S198+T271*T198+U271*U198+V271*V198+W271*W198+X271*X198+Y271*Y198+Z271*Z198+AA271*AA198+AB271*AB198+AC271*AC198+AD271*AD198+AE271*AE198+AF271*AF198+AG271*AG198+AH271*AH198+AI271*AI198+AJ271*AJ198+AK271*AK198+AL271*AL198+AM271*AM198+AN271*AN198+AO271*AO198+AP271*AP198+AQ271*AQ198+AR271*AR198+AS271*AS198+AT271*AT198+AU271*AU198+AV271*AV198+AW271*AW198+AX271*AX198+AY271*AY198+AZ271*AZ198+BA271*BA198+BB271*BB198+BC271*BC198+BD271*BD198+BE271*BE198+BF271*BF198+BG271*BG198+BH271*BH198+BI271*BI198+BJ271*BJ198+BK271*BK198+BL271*BL198+BM271*BM198+BN271*BN198+BO271*BO198+BP271*BP198+BQ271*BQ198+BR271*BR198+BS271*BS198+BT271*BT198+BU271*BU198+BV271*BV198+BW271*BW198+BX271*BX198+BY271*BY198+BZ271*BZ198+CA271*CA198+CB271*CB198+CC271*CC198+CD271*CD198+CE271*CE198+CF271*CF198+CG271*CG198+CH271*CH198+CI271*CI198+CJ271*CJ198+CK271*CK198+CL271*CL198+CM271*CM198+CN271*CN198+CO271*CO198+CP271*CP198+CQ271*CQ198+CR271*CR198+CS271*CS198</f>
        <v>0</v>
      </c>
      <c r="DB198" s="2504">
        <f>E272*E198+F272*F198+G272*G198+H272*H198+I272*I198+J272*J198+K272*K198+L272*L198+M272*M198+N272*N198+O272*O198+P272*P198+Q272*Q198+R272*R198+S272*S198+T272*T198+U272*U198+V272*V198+W272*W198+X272*X198+Y272*Y198+Z272*Z198+AA272*AA198+AB272*AB198+AC272*AC198+AD272*AD198+AE272*AE198+AF272*AF198+AG272*AG198+AH272*AH198+AI272*AI198+AJ272*AJ198+AK272*AK198+AL272*AL198+AM272*AM198+AN272*AN198+AO272*AO198+AP272*AP198+AQ272*AQ198+AR272*AR198+AS272*AS198+AT272*AT198+AU272*AU198+AV272*AV198+AW272*AW198+AX272*AX198+AY272*AY198+AZ272*AZ198+BA272*BA198+BB272*BB198+BC272*BC198+BD272*BD198+BE272*BE198+BF272*BF198+BG272*BG198+BH272*BH198+BI272*BI198+BJ272*BJ198+BK272*BK198+BL272*BL198+BM272*BM198+BN272*BN198+BO272*BO198+BP272*BP198+BQ272*BQ198+BR272*BR198+BS272*BS198+BT272*BT198+BU272*BU198+BV272*BV198+BW272*BW198+BX272*BX198+BY272*BY198+BZ272*BZ198+CA272*CA198+CB272*CB198+CC272*CC198+CD272*CD198+CE272*CE198+CF272*CF198+CG272*CG198+CH272*CH198+CI272*CI198+CJ272*CJ198+CK272*CK198+CL272*CL198+CM272*CM198+CN272*CN198+CO272*CO198+CP272*CP198+CQ272*CQ198+CR272*CR198+CS272*CS198</f>
        <v>0</v>
      </c>
      <c r="DC198" s="2504">
        <f>E273*E198+F273*F198+G273*G198+H273*H198+I273*I198+J273*J198+K273*K198+L273*L198+M273*M198+N273*N198+O273*O198+P273*P198+Q273*Q198+R273*R198+S273*S198+T273*T198+U273*U198+V273*V198+W273*W198+X273*X198+Y273*Y198+Z273*Z198+AA273*AA198+AB273*AB198+AC273*AC198+AD273*AD198+AE273*AE198+AF273*AF198+AG273*AG198+AH273*AH198+AI273*AI198+AJ273*AJ198+AK273*AK198+AL273*AL198+AM273*AM198+AN273*AN198+AO273*AO198+AP273*AP198+AQ273*AQ198+AR273*AR198+AS273*AS198+AT273*AT198+AU273*AU198+AV273*AV198+AW273*AW198+AX273*AX198+AY273*AY198+AZ273*AZ198+BA273*BA198+BB273*BB198+BC273*BC198+BD273*BD198+BE273*BE198+BF273*BF198+BG273*BG198+BH273*BH198+BI273*BI198+BJ273*BJ198+BK273*BK198+BL273*BL198+BM273*BM198+BN273*BN198+BO273*BO198+BP273*BP198+BQ273*BQ198+BR273*BR198+BS273*BS198+BT273*BT198+BU273*BU198+BV273*BV198+BW273*BW198+BX273*BX198+BY273*BY198+BZ273*BZ198+CA273*CA198+CB273*CB198+CC273*CC198+CD273*CD198+CE273*CE198+CF273*CF198+CG273*CG198+CH273*CH198+CI273*CI198+CJ273*CJ198+CK273*CK198+CL273*CL198+CM273*CM198+CN273*CN198+CO273*CO198+CP273*CP198+CQ273*CQ198+CR273*CR198+CS273*CS198</f>
        <v>0</v>
      </c>
      <c r="DD198" s="2504">
        <f>E274*E198+F274*F198+G274*G198+H274*H198+I274*I198+J274*J198+K274*K198+L274*L198+M274*M198+N274*N198+O274*O198+P274*P198+Q274*Q198+R274*R198+S274*S198+T274*T198+U274*U198+V274*V198+W274*W198+X274*X198+Y274*Y198+Z274*Z198+AA274*AA198+AB274*AB198+AC274*AC198+AD274*AD198+AE274*AE198+AF274*AF198+AG274*AG198+AH274*AH198+AI274*AI198+AJ274*AJ198+AK274*AK198+AL274*AL198+AM274*AM198+AN274*AN198+AO274*AO198+AP274*AP198+AQ274*AQ198+AR274*AR198+AS274*AS198+AT274*AT198+AU274*AU198+AV274*AV198+AW274*AW198+AX274*AX198+AY274*AY198+AZ274*AZ198+BA274*BA198+BB274*BB198+BC274*BC198+BD274*BD198+BE274*BE198+BF274*BF198+BG274*BG198+BH274*BH198+BI274*BI198+BJ274*BJ198+BK274*BK198+BL274*BL198+BM274*BM198+BN274*BN198+BO274*BO198+BP274*BP198+BQ274*BQ198+BR274*BR198+BS274*BS198+BT274*BT198+BU274*BU198+BV274*BV198+BW274*BW198+BX274*BX198+BY274*BY198+BZ274*BZ198+CA274*CA198+CB274*CB198+CC274*CC198+CD274*CD198+CE274*CE198+CF274*CF198+CG274*CG198+CH274*CH198+CI274*CI198+CJ274*CJ198+CK274*CK198+CL274*CL198+CM274*CM198+CN274*CN198+CO274*CO198+CP274*CP198+CQ274*CQ198+CR274*CR198+CS274*CS198</f>
        <v>0</v>
      </c>
      <c r="DE198" s="2504">
        <f>E275*E198+F275*F198+G275*G198+H275*H198+I275*I198+J275*J198+K275*K198+L275*L198+M275*M198+N275*N198+O275*O198+P275*P198+Q275*Q198+R275*R198+S275*S198+T275*T198+U275*U198+V275*V198+W275*W198+X275*X198+Y275*Y198+Z275*Z198+AA275*AA198+AB275*AB198+AC275*AC198+AD275*AD198+AE275*AE198+AF275*AF198+AG275*AG198+AH275*AH198+AI275*AI198+AJ275*AJ198+AK275*AK198+AL275*AL198+AM275*AM198+AN275*AN198+AO275*AO198+AP275*AP198+AQ275*AQ198+AR275*AR198+AS275*AS198+AT275*AT198+AU275*AU198+AV275*AV198+AW275*AW198+AX275*AX198+AY275*AY198+AZ275*AZ198+BA275*BA198+BB275*BB198+BC275*BC198+BD275*BD198+BE275*BE198+BF275*BF198+BG275*BG198+BH275*BH198+BI275*BI198+BJ275*BJ198+BK275*BK198+BL275*BL198+BM275*BM198+BN275*BN198+BO275*BO198+BP275*BP198+BQ275*BQ198+BR275*BR198+BS275*BS198+BT275*BT198+BU275*BU198+BV275*BV198+BW275*BW198+BX275*BX198+BY275*BY198+BZ275*BZ198+CA275*CA198+CB275*CB198+CC275*CC198+CD275*CD198+CE275*CE198+CF275*CF198+CG275*CG198+CH275*CH198+CI275*CI198+CJ275*CJ198+CK275*CK198+CL275*CL198+CM275*CM198+CN275*CN198+CO275*CO198+CP275*CP198+CQ275*CQ198+CR275*CR198+CS275*CS198</f>
        <v>0</v>
      </c>
      <c r="DF198" s="2504">
        <f>E276*E198+F276*F198+G276*G198+H276*H198+I276*I198+J276*J198+K276*K198+L276*L198+M276*M198+N276*N198+O276*O198+P276*P198+Q276*Q198+R276*R198+S276*S198+T276*T198+U276*U198+V276*V198+W276*W198+X276*X198+Y276*Y198+Z276*Z198+AA276*AA198+AB276*AB198+AC276*AC198+AD276*AD198+AE276*AE198+AF276*AF198+AG276*AG198+AH276*AH198+AI276*AI198+AJ276*AJ198+AK276*AK198+AL276*AL198+AM276*AM198+AN276*AN198+AO276*AO198+AP276*AP198+AQ276*AQ198+AR276*AR198+AS276*AS198+AT276*AT198+AU276*AU198+AV276*AV198+AW276*AW198+AX276*AX198+AY276*AY198+AZ276*AZ198+BA276*BA198+BB276*BB198+BC276*BC198+BD276*BD198+BE276*BE198+BF276*BF198+BG276*BG198+BH276*BH198+BI276*BI198+BJ276*BJ198+BK276*BK198+BL276*BL198+BM276*BM198+BN276*BN198+BO276*BO198+BP276*BP198+BQ276*BQ198+BR276*BR198+BS276*BS198+BT276*BT198+BU276*BU198+BV276*BV198+BW276*BW198+BX276*BX198+BY276*BY198+BZ276*BZ198+CA276*CA198+CB276*CB198+CC276*CC198+CD276*CD198+CE276*CE198+CF276*CF198+CG276*CG198+CH276*CH198+CI276*CI198+CJ276*CJ198+CK276*CK198+CL276*CL198+CM276*CM198+CN276*CN198+CO276*CO198+CP276*CP198+CQ276*CQ198+CR276*CR198+CS276*CS198</f>
        <v>0</v>
      </c>
    </row>
    <row r="199" spans="2:110" x14ac:dyDescent="0.25">
      <c r="B199" s="1579">
        <v>57</v>
      </c>
      <c r="C199" s="541" t="s">
        <v>2118</v>
      </c>
      <c r="D199" s="542" t="s">
        <v>304</v>
      </c>
      <c r="E199" s="543">
        <f>-1/Y_AMETO</f>
        <v>-10</v>
      </c>
      <c r="F199" s="504">
        <f>0</f>
        <v>0</v>
      </c>
      <c r="G199" s="504">
        <f>0</f>
        <v>0</v>
      </c>
      <c r="H199" s="504">
        <f>0</f>
        <v>0</v>
      </c>
      <c r="I199" s="504">
        <f>0</f>
        <v>0</v>
      </c>
      <c r="J199" s="504">
        <f>0</f>
        <v>0</v>
      </c>
      <c r="K199" s="504">
        <f>0</f>
        <v>0</v>
      </c>
      <c r="L199" s="504">
        <f>0</f>
        <v>0</v>
      </c>
      <c r="M199" s="504">
        <f>0</f>
        <v>0</v>
      </c>
      <c r="N199" s="504">
        <f>0</f>
        <v>0</v>
      </c>
      <c r="O199" s="504">
        <f>0</f>
        <v>0</v>
      </c>
      <c r="P199" s="504">
        <f>0</f>
        <v>0</v>
      </c>
      <c r="Q199" s="504">
        <f>0</f>
        <v>0</v>
      </c>
      <c r="R199" s="504">
        <f>0</f>
        <v>0</v>
      </c>
      <c r="S199" s="504">
        <f>0</f>
        <v>0</v>
      </c>
      <c r="T199" s="504">
        <f>0</f>
        <v>0</v>
      </c>
      <c r="U199" s="504">
        <f>0</f>
        <v>0</v>
      </c>
      <c r="V199" s="504">
        <f>0</f>
        <v>0</v>
      </c>
      <c r="W199" s="504">
        <f>0</f>
        <v>0</v>
      </c>
      <c r="X199" s="504">
        <f>1</f>
        <v>1</v>
      </c>
      <c r="Y199" s="504">
        <f>0</f>
        <v>0</v>
      </c>
      <c r="Z199" s="504">
        <f>0</f>
        <v>0</v>
      </c>
      <c r="AA199" s="504">
        <f>-i_N_BIO</f>
        <v>-7.0000000000000007E-2</v>
      </c>
      <c r="AB199" s="504">
        <f>0</f>
        <v>0</v>
      </c>
      <c r="AC199" s="504">
        <f>0</f>
        <v>0</v>
      </c>
      <c r="AD199" s="504">
        <f>0</f>
        <v>0</v>
      </c>
      <c r="AE199" s="504">
        <f>0</f>
        <v>0</v>
      </c>
      <c r="AF199" s="504">
        <f>0</f>
        <v>0</v>
      </c>
      <c r="AG199" s="504">
        <f>0</f>
        <v>0</v>
      </c>
      <c r="AH199" s="504">
        <f>0</f>
        <v>0</v>
      </c>
      <c r="AI199" s="504">
        <f>0</f>
        <v>0</v>
      </c>
      <c r="AJ199" s="504">
        <f>0</f>
        <v>0</v>
      </c>
      <c r="AK199" s="504">
        <f>0</f>
        <v>0</v>
      </c>
      <c r="AL199" s="504">
        <f>0</f>
        <v>0</v>
      </c>
      <c r="AM199" s="543">
        <f>-i_P_BIO</f>
        <v>-0.02</v>
      </c>
      <c r="AN199" s="504">
        <f>0</f>
        <v>0</v>
      </c>
      <c r="AO199" s="504">
        <f>0</f>
        <v>0</v>
      </c>
      <c r="AP199" s="504">
        <f>0</f>
        <v>0</v>
      </c>
      <c r="AQ199" s="504">
        <f>0</f>
        <v>0</v>
      </c>
      <c r="AR199" s="504">
        <f>0</f>
        <v>0</v>
      </c>
      <c r="AS199" s="504">
        <f>0</f>
        <v>0</v>
      </c>
      <c r="AT199" s="504">
        <f>(1-Y_AMETO)/Y_AMETO</f>
        <v>9</v>
      </c>
      <c r="AU199" s="504">
        <f>0</f>
        <v>0</v>
      </c>
      <c r="AV199" s="504">
        <f>i_CIT_VFA*1/Y_AMETO-i_CIT_BIO-i_CIT_CH4*(1-Y_AMETO)/Y_AMETO</f>
        <v>1.706</v>
      </c>
      <c r="AW199" s="543">
        <f>i_INORG</f>
        <v>0.11</v>
      </c>
      <c r="AX199" s="543">
        <f>-i_INORG*(1-i_Ca_INORG*(A_MCa+2*A_MCl)/A_MCa-i_Mg_INORG*(A_MMg+2*A_MCl)/A_MMg)*f_Na</f>
        <v>-2.8804303582798466E-2</v>
      </c>
      <c r="AY199" s="543">
        <f>-i_INORG*(i_Ca_INORG*(2*A_MCl)/A_MCa+i_Mg_INORG*(2*A_MCl)/A_MMg)-i_INORG*(1-i_Ca_INORG*(A_MCa+2*A_MCl)/A_MCa-i_Mg_INORG*(A_MMg+2*A_MCl)/A_MMg)*(1-f_Na)</f>
        <v>-7.0195696417201539E-2</v>
      </c>
      <c r="AZ199" s="543">
        <f>-i_INORG*i_Ca_INORG</f>
        <v>-5.5000000000000005E-3</v>
      </c>
      <c r="BA199" s="543">
        <f>-i_INORG*i_Mg_INORG</f>
        <v>-5.5000000000000005E-3</v>
      </c>
      <c r="BB199" s="543">
        <f>0</f>
        <v>0</v>
      </c>
      <c r="BC199" s="543">
        <f>0</f>
        <v>0</v>
      </c>
      <c r="BD199" s="543">
        <f>0</f>
        <v>0</v>
      </c>
      <c r="BE199" s="543">
        <f>0</f>
        <v>0</v>
      </c>
      <c r="BF199" s="543">
        <f>0</f>
        <v>0</v>
      </c>
      <c r="BG199" s="543">
        <f>0</f>
        <v>0</v>
      </c>
      <c r="BH199" s="543">
        <f>0</f>
        <v>0</v>
      </c>
      <c r="BI199" s="543">
        <f>0</f>
        <v>0</v>
      </c>
      <c r="BJ199" s="543">
        <f>0</f>
        <v>0</v>
      </c>
      <c r="BK199" s="543">
        <f>0</f>
        <v>0</v>
      </c>
      <c r="BL199" s="543">
        <f>0</f>
        <v>0</v>
      </c>
      <c r="BM199" s="543">
        <f>0</f>
        <v>0</v>
      </c>
      <c r="BN199" s="543">
        <f>0</f>
        <v>0</v>
      </c>
      <c r="BO199" s="543">
        <f>0</f>
        <v>0</v>
      </c>
      <c r="BP199" s="543">
        <f>0</f>
        <v>0</v>
      </c>
      <c r="BQ199" s="543">
        <f>0</f>
        <v>0</v>
      </c>
      <c r="BR199" s="543">
        <f>0</f>
        <v>0</v>
      </c>
      <c r="BS199" s="543">
        <f>0</f>
        <v>0</v>
      </c>
      <c r="BT199" s="543">
        <f>0</f>
        <v>0</v>
      </c>
      <c r="BU199" s="543">
        <f>0</f>
        <v>0</v>
      </c>
      <c r="BV199" s="543">
        <f>0</f>
        <v>0</v>
      </c>
      <c r="BW199" s="2362">
        <f>0</f>
        <v>0</v>
      </c>
      <c r="BX199" s="2362">
        <f>0</f>
        <v>0</v>
      </c>
      <c r="BY199" s="2362">
        <f>0</f>
        <v>0</v>
      </c>
      <c r="BZ199" s="2362">
        <f>0</f>
        <v>0</v>
      </c>
      <c r="CA199" s="543">
        <f>0</f>
        <v>0</v>
      </c>
      <c r="CB199" s="543">
        <f>0</f>
        <v>0</v>
      </c>
      <c r="CC199" s="543">
        <f>0</f>
        <v>0</v>
      </c>
      <c r="CD199" s="543">
        <f>0</f>
        <v>0</v>
      </c>
      <c r="CE199" s="543">
        <f>0</f>
        <v>0</v>
      </c>
      <c r="CF199" s="543">
        <f>0</f>
        <v>0</v>
      </c>
      <c r="CG199" s="543">
        <f>0</f>
        <v>0</v>
      </c>
      <c r="CH199" s="543">
        <f>0</f>
        <v>0</v>
      </c>
      <c r="CI199" s="543">
        <f>0</f>
        <v>0</v>
      </c>
      <c r="CJ199" s="543">
        <f>0</f>
        <v>0</v>
      </c>
      <c r="CK199" s="543">
        <f>0</f>
        <v>0</v>
      </c>
      <c r="CL199" s="543">
        <f>0</f>
        <v>0</v>
      </c>
      <c r="CM199" s="543">
        <f>0</f>
        <v>0</v>
      </c>
      <c r="CN199" s="543">
        <f>0</f>
        <v>0</v>
      </c>
      <c r="CO199" s="543">
        <f>0</f>
        <v>0</v>
      </c>
      <c r="CP199" s="543">
        <f>0</f>
        <v>0</v>
      </c>
      <c r="CQ199" s="543">
        <f>0</f>
        <v>0</v>
      </c>
      <c r="CR199" s="543">
        <f>0</f>
        <v>0</v>
      </c>
      <c r="CS199" s="543">
        <f>0</f>
        <v>0</v>
      </c>
      <c r="CT199" s="2486">
        <f>µ_AMETO_T*X_AMETO*H_satSVFA_AMETO*M_inhSO2_KiO2_AMETO*M_inhSNOx_KNO3_AMETO*L_oginhpHNH3_AMETO*M_satSNHx_KNHx_BIO*M_satSPO4_KPO4_BIO*M_satSCAT_KCAT*M_satSAN_KAN*M_satSCa_KCa*M_satSMg_KMg*B_ellinhpH_AMETO</f>
        <v>5.2580491000979624E-10</v>
      </c>
      <c r="CV199" s="2502">
        <f>E266*E199+F266*F199+G266*G199+H266*H199+I266*I199+J266*J199+K266*K199+L266*L199+M266*M199+N266*N199+O266*O199+P266*P199+Q266*Q199+R266*R199+S266*S199+T266*T199+U266*U199+V266*V199+W266*W199+X266*X199+Y266*Y199+Z266*Z199+AA266*AA199+AB266*AB199+AC266*AC199+AD266*AD199+AE266*AE199+AF266*AF199+AG266*AG199+AH266*AH199+AI266*AI199+AJ266*AJ199+AK266*AK199+AL266*AL199+AM266*AM199+AN266*AN199+AO266*AO199+AP266*AP199+AQ266*AQ199+AR266*AR199+AS266*AS199+AT266*AT199+AU266*AU199+AV266*AV199+AW266*AW199+AX266*AX199+AY266*AY199+AZ266*AZ199+BA266*BA199+BB266*BB199+BC266*BC199+BD266*BD199+BE266*BE199+BF266*BF199+BG266*BG199+BH266*BH199+BI266*BI199+BJ266*BJ199+BK266*BK199+BL266*BL199+BM266*BM199+BN266*BN199+BO266*BO199+BP266*BP199+BQ266*BQ199+BR266*BR199+BS266*BS199+BT266*BT199+BU266*BU199+BV266*BV199+BW266*BW199+BX266*BX199+BY266*BY199+BZ266*BZ199+CA266*CA199+CB266*CB199+CC266*CC199+CD266*CD199+CE266*CE199+CF266*CF199+CG266*CG199+CH266*CH199+CI266*CI199+CJ266*CJ199+CK266*CK199+CL266*CL199+CM266*CM199+CN266*CN199+CO266*CO199+CP266*CP199+CQ266*CQ199+CR266*CR199+CS266*CS199</f>
        <v>0</v>
      </c>
      <c r="CW199" s="2502">
        <f>E267*E199+F267*F199+G267*G199+H267*H199+I267*I199+J267*J199+K267*K199+L267*L199+M267*M199+N267*N199+O267*O199+P267*P199+Q267*Q199+R267*R199+S267*S199+T267*T199+U267*U199+V267*V199+W267*W199+X267*X199+Y267*Y199+Z267*Z199+AA267*AA199+AB267*AB199+AC267*AC199+AD267*AD199+AE267*AE199+AF267*AF199+AG267*AG199+AH267*AH199+AI267*AI199+AJ267*AJ199+AK267*AK199+AL267*AL199+AM267*AM199+AN267*AN199+AO267*AO199+AP267*AP199+AQ267*AQ199+AR267*AR199+AS267*AS199+AT267*AT199+AU267*AU199+AV267*AV199+AW267*AW199+AX267*AX199+AY267*AY199+AZ267*AZ199+BA267*BA199+BB267*BB199+BC267*BC199+BD267*BD199+BE267*BE199+BF267*BF199+BG267*BG199+BH267*BH199+BI267*BI199+BJ267*BJ199+BK267*BK199+BL267*BL199+BM267*BM199+BN267*BN199+BO267*BO199+BP267*BP199+BQ267*BQ199+BR267*BR199+BS267*BS199+BT267*BT199+BU267*BU199+BV267*BV199+BW267*BW199+BX267*BX199+BY267*BY199+BZ267*BZ199+CA267*CA199+CB267*CB199+CC267*CC199+CD267*CD199+CE267*CE199+CF267*CF199+CG267*CG199+CH267*CH199+CI267*CI199+CJ267*CJ199+CK267*CK199+CL267*CL199+CM267*CM199+CN267*CN199+CO267*CO199+CP267*CP199+CQ267*CQ199+CR267*CR199+CS267*CS199</f>
        <v>-2.2204460492503131E-16</v>
      </c>
      <c r="CX199" s="2503">
        <f>E268*E199+F268*F199+G268*G199+H268*H199+I268*I199+J268*J199+K268*K199+L268*L199+M268*M199+N268*N199+O268*O199+P268*P199+Q268*Q199+R268*R199+S268*S199+T268*T199+U268*U199+V268*V199+W268*W199+X268*X199+Y268*Y199+Z268*Z199+AA268*AA199+AB268*AB199+AC268*AC199+AD268*AD199+AE268*AE199+AF268*AF199+AG268*AG199+AH268*AH199+AI268*AI199+AJ268*AJ199+AK268*AK199+AL268*AL199+AM268*AM199+AN268*AN199+AO268*AO199+AP268*AP199+AQ268*AQ199+AR268*AR199+AS268*AS199+AT268*AT199+AU268*AU199+AV268*AV199+AW268*AW199+AX268*AX199+AY268*AY199+AZ268*AZ199+BA268*BA199+BB268*BB199+BC268*BC199+BD268*BD199+BE268*BE199+BF268*BF199+BG268*BG199+BH268*BH199+BI268*BI199+BJ268*BJ199+BK268*BK199+BL268*BL199+BM268*BM199+BN268*BN199+BO268*BO199+BP268*BP199+BQ268*BQ199+BR268*BR199+BS268*BS199+BT268*BT199+BU268*BU199+BV268*BV199+BW268*BW199+BX268*BX199+BY268*BY199+BZ268*BZ199+CA268*CA199+CB268*CB199+CC268*CC199+CD268*CD199+CE268*CE199+CF268*CF199+CG268*CG199+CH268*CH199+CI268*CI199+CJ268*CJ199+CK268*CK199+CL268*CL199+CM268*CM199+CN268*CN199+CO268*CO199+CP268*CP199+CQ268*CQ199+CR268*CR199+CS268*CS199</f>
        <v>0</v>
      </c>
      <c r="CY199" s="2504">
        <f>E269*E199+F269*F199+G269*G199+H269*H199+I269*I199+J269*J199+K269*K199+L269*L199+M269*M199+N269*N199+O269*O199+P269*P199+Q269*Q199+R269*R199+S269*S199+T269*T199+U269*U199+V269*V199+W269*W199+X269*X199+Y269*Y199+Z269*Z199+AA269*AA199+AB269*AB199+AC269*AC199+AD269*AD199+AE269*AE199+AF269*AF199+AG269*AG199+AH269*AH199+AI269*AI199+AJ269*AJ199+AK269*AK199+AL269*AL199+AM269*AM199+AN269*AN199+AO269*AO199+AP269*AP199+AQ269*AQ199+AR269*AR199+AS269*AS199+AT269*AT199+AU269*AU199+AV269*AV199+AW269*AW199+AX269*AX199+AY269*AY199+AZ269*AZ199+BA269*BA199+BB269*BB199+BC269*BC199+BD269*BD199+BE269*BE199+BF269*BF199+BG269*BG199+BH269*BH199+BI269*BI199+BJ269*BJ199+BK269*BK199+BL269*BL199+BM269*BM199+BN269*BN199+BO269*BO199+BP269*BP199+BQ269*BQ199+BR269*BR199+BS269*BS199+BT269*BT199+BU269*BU199+BV269*BV199+BW269*BW199+BX269*BX199+BY269*BY199+BZ269*BZ199+CA269*CA199+CB269*CB199+CC269*CC199+CD269*CD199+CE269*CE199+CF269*CF199+CG269*CG199+CH269*CH199+CI269*CI199+CJ269*CJ199+CK269*CK199+CL269*CL199+CM269*CM199+CN269*CN199+CO269*CO199+CP269*CP199+CQ269*CQ199+CR269*CR199+CS269*CS199</f>
        <v>0</v>
      </c>
      <c r="CZ199" s="2504">
        <f>E270*E199+F270*F199+G270*G199+H270*H199+I270*I199+J270*J199+K270*K199+L270*L199+M270*M199+N270*N199+O270*O199+P270*P199+Q270*Q199+R270*R199+S270*S199+T270*T199+U270*U199+V270*V199+W270*W199+X270*X199+Y270*Y199+Z270*Z199+AA270*AA199+AB270*AB199+AC270*AC199+AD270*AD199+AE270*AE199+AF270*AF199+AG270*AG199+AH270*AH199+AI270*AI199+AJ270*AJ199+AK270*AK199+AL270*AL199+AM270*AM199+AN270*AN199+AO270*AO199+AP270*AP199+AQ270*AQ199+AR270*AR199+AS270*AS199+AT270*AT199+AU270*AU199+AV270*AV199+AW270*AW199+AX270*AX199+AY270*AY199+AZ270*AZ199+BA270*BA199+BB270*BB199+BC270*BC199+BD270*BD199+BE270*BE199+BF270*BF199+BG270*BG199+BH270*BH199+BI270*BI199+BJ270*BJ199+BK270*BK199+BL270*BL199+BM270*BM199+BN270*BN199+BO270*BO199+BP270*BP199+BQ270*BQ199+BR270*BR199+BS270*BS199+BT270*BT199+BU270*BU199+BV270*BV199+BW270*BW199+BX270*BX199+BY270*BY199+BZ270*BZ199+CA270*CA199+CB270*CB199+CC270*CC199+CD270*CD199+CE270*CE199+CF270*CF199+CG270*CG199+CH270*CH199+CI270*CI199+CJ270*CJ199+CK270*CK199+CL270*CL199+CM270*CM199+CN270*CN199+CO270*CO199+CP270*CP199+CQ270*CQ199+CR270*CR199+CS270*CS199</f>
        <v>0</v>
      </c>
      <c r="DA199" s="2504">
        <f>E271*E199+F271*F199+G271*G199+H271*H199+I271*I199+J271*J199+K271*K199+L271*L199+M271*M199+N271*N199+O271*O199+P271*P199+Q271*Q199+R271*R199+S271*S199+T271*T199+U271*U199+V271*V199+W271*W199+X271*X199+Y271*Y199+Z271*Z199+AA271*AA199+AB271*AB199+AC271*AC199+AD271*AD199+AE271*AE199+AF271*AF199+AG271*AG199+AH271*AH199+AI271*AI199+AJ271*AJ199+AK271*AK199+AL271*AL199+AM271*AM199+AN271*AN199+AO271*AO199+AP271*AP199+AQ271*AQ199+AR271*AR199+AS271*AS199+AT271*AT199+AU271*AU199+AV271*AV199+AW271*AW199+AX271*AX199+AY271*AY199+AZ271*AZ199+BA271*BA199+BB271*BB199+BC271*BC199+BD271*BD199+BE271*BE199+BF271*BF199+BG271*BG199+BH271*BH199+BI271*BI199+BJ271*BJ199+BK271*BK199+BL271*BL199+BM271*BM199+BN271*BN199+BO271*BO199+BP271*BP199+BQ271*BQ199+BR271*BR199+BS271*BS199+BT271*BT199+BU271*BU199+BV271*BV199+BW271*BW199+BX271*BX199+BY271*BY199+BZ271*BZ199+CA271*CA199+CB271*CB199+CC271*CC199+CD271*CD199+CE271*CE199+CF271*CF199+CG271*CG199+CH271*CH199+CI271*CI199+CJ271*CJ199+CK271*CK199+CL271*CL199+CM271*CM199+CN271*CN199+CO271*CO199+CP271*CP199+CQ271*CQ199+CR271*CR199+CS271*CS199</f>
        <v>0</v>
      </c>
      <c r="DB199" s="2504">
        <f>E272*E199+F272*F199+G272*G199+H272*H199+I272*I199+J272*J199+K272*K199+L272*L199+M272*M199+N272*N199+O272*O199+P272*P199+Q272*Q199+R272*R199+S272*S199+T272*T199+U272*U199+V272*V199+W272*W199+X272*X199+Y272*Y199+Z272*Z199+AA272*AA199+AB272*AB199+AC272*AC199+AD272*AD199+AE272*AE199+AF272*AF199+AG272*AG199+AH272*AH199+AI272*AI199+AJ272*AJ199+AK272*AK199+AL272*AL199+AM272*AM199+AN272*AN199+AO272*AO199+AP272*AP199+AQ272*AQ199+AR272*AR199+AS272*AS199+AT272*AT199+AU272*AU199+AV272*AV199+AW272*AW199+AX272*AX199+AY272*AY199+AZ272*AZ199+BA272*BA199+BB272*BB199+BC272*BC199+BD272*BD199+BE272*BE199+BF272*BF199+BG272*BG199+BH272*BH199+BI272*BI199+BJ272*BJ199+BK272*BK199+BL272*BL199+BM272*BM199+BN272*BN199+BO272*BO199+BP272*BP199+BQ272*BQ199+BR272*BR199+BS272*BS199+BT272*BT199+BU272*BU199+BV272*BV199+BW272*BW199+BX272*BX199+BY272*BY199+BZ272*BZ199+CA272*CA199+CB272*CB199+CC272*CC199+CD272*CD199+CE272*CE199+CF272*CF199+CG272*CG199+CH272*CH199+CI272*CI199+CJ272*CJ199+CK272*CK199+CL272*CL199+CM272*CM199+CN272*CN199+CO272*CO199+CP272*CP199+CQ272*CQ199+CR272*CR199+CS272*CS199</f>
        <v>0</v>
      </c>
      <c r="DC199" s="2504">
        <f>E273*E199+F273*F199+G273*G199+H273*H199+I273*I199+J273*J199+K273*K199+L273*L199+M273*M199+N273*N199+O273*O199+P273*P199+Q273*Q199+R273*R199+S273*S199+T273*T199+U273*U199+V273*V199+W273*W199+X273*X199+Y273*Y199+Z273*Z199+AA273*AA199+AB273*AB199+AC273*AC199+AD273*AD199+AE273*AE199+AF273*AF199+AG273*AG199+AH273*AH199+AI273*AI199+AJ273*AJ199+AK273*AK199+AL273*AL199+AM273*AM199+AN273*AN199+AO273*AO199+AP273*AP199+AQ273*AQ199+AR273*AR199+AS273*AS199+AT273*AT199+AU273*AU199+AV273*AV199+AW273*AW199+AX273*AX199+AY273*AY199+AZ273*AZ199+BA273*BA199+BB273*BB199+BC273*BC199+BD273*BD199+BE273*BE199+BF273*BF199+BG273*BG199+BH273*BH199+BI273*BI199+BJ273*BJ199+BK273*BK199+BL273*BL199+BM273*BM199+BN273*BN199+BO273*BO199+BP273*BP199+BQ273*BQ199+BR273*BR199+BS273*BS199+BT273*BT199+BU273*BU199+BV273*BV199+BW273*BW199+BX273*BX199+BY273*BY199+BZ273*BZ199+CA273*CA199+CB273*CB199+CC273*CC199+CD273*CD199+CE273*CE199+CF273*CF199+CG273*CG199+CH273*CH199+CI273*CI199+CJ273*CJ199+CK273*CK199+CL273*CL199+CM273*CM199+CN273*CN199+CO273*CO199+CP273*CP199+CQ273*CQ199+CR273*CR199+CS273*CS199</f>
        <v>0</v>
      </c>
      <c r="DD199" s="2504">
        <f>E274*E199+F274*F199+G274*G199+H274*H199+I274*I199+J274*J199+K274*K199+L274*L199+M274*M199+N274*N199+O274*O199+P274*P199+Q274*Q199+R274*R199+S274*S199+T274*T199+U274*U199+V274*V199+W274*W199+X274*X199+Y274*Y199+Z274*Z199+AA274*AA199+AB274*AB199+AC274*AC199+AD274*AD199+AE274*AE199+AF274*AF199+AG274*AG199+AH274*AH199+AI274*AI199+AJ274*AJ199+AK274*AK199+AL274*AL199+AM274*AM199+AN274*AN199+AO274*AO199+AP274*AP199+AQ274*AQ199+AR274*AR199+AS274*AS199+AT274*AT199+AU274*AU199+AV274*AV199+AW274*AW199+AX274*AX199+AY274*AY199+AZ274*AZ199+BA274*BA199+BB274*BB199+BC274*BC199+BD274*BD199+BE274*BE199+BF274*BF199+BG274*BG199+BH274*BH199+BI274*BI199+BJ274*BJ199+BK274*BK199+BL274*BL199+BM274*BM199+BN274*BN199+BO274*BO199+BP274*BP199+BQ274*BQ199+BR274*BR199+BS274*BS199+BT274*BT199+BU274*BU199+BV274*BV199+BW274*BW199+BX274*BX199+BY274*BY199+BZ274*BZ199+CA274*CA199+CB274*CB199+CC274*CC199+CD274*CD199+CE274*CE199+CF274*CF199+CG274*CG199+CH274*CH199+CI274*CI199+CJ274*CJ199+CK274*CK199+CL274*CL199+CM274*CM199+CN274*CN199+CO274*CO199+CP274*CP199+CQ274*CQ199+CR274*CR199+CS274*CS199</f>
        <v>0</v>
      </c>
      <c r="DE199" s="2504">
        <f>E275*E199+F275*F199+G275*G199+H275*H199+I275*I199+J275*J199+K275*K199+L275*L199+M275*M199+N275*N199+O275*O199+P275*P199+Q275*Q199+R275*R199+S275*S199+T275*T199+U275*U199+V275*V199+W275*W199+X275*X199+Y275*Y199+Z275*Z199+AA275*AA199+AB275*AB199+AC275*AC199+AD275*AD199+AE275*AE199+AF275*AF199+AG275*AG199+AH275*AH199+AI275*AI199+AJ275*AJ199+AK275*AK199+AL275*AL199+AM275*AM199+AN275*AN199+AO275*AO199+AP275*AP199+AQ275*AQ199+AR275*AR199+AS275*AS199+AT275*AT199+AU275*AU199+AV275*AV199+AW275*AW199+AX275*AX199+AY275*AY199+AZ275*AZ199+BA275*BA199+BB275*BB199+BC275*BC199+BD275*BD199+BE275*BE199+BF275*BF199+BG275*BG199+BH275*BH199+BI275*BI199+BJ275*BJ199+BK275*BK199+BL275*BL199+BM275*BM199+BN275*BN199+BO275*BO199+BP275*BP199+BQ275*BQ199+BR275*BR199+BS275*BS199+BT275*BT199+BU275*BU199+BV275*BV199+BW275*BW199+BX275*BX199+BY275*BY199+BZ275*BZ199+CA275*CA199+CB275*CB199+CC275*CC199+CD275*CD199+CE275*CE199+CF275*CF199+CG275*CG199+CH275*CH199+CI275*CI199+CJ275*CJ199+CK275*CK199+CL275*CL199+CM275*CM199+CN275*CN199+CO275*CO199+CP275*CP199+CQ275*CQ199+CR275*CR199+CS275*CS199</f>
        <v>0</v>
      </c>
      <c r="DF199" s="2504">
        <f>E276*E199+F276*F199+G276*G199+H276*H199+I276*I199+J276*J199+K276*K199+L276*L199+M276*M199+N276*N199+O276*O199+P276*P199+Q276*Q199+R276*R199+S276*S199+T276*T199+U276*U199+V276*V199+W276*W199+X276*X199+Y276*Y199+Z276*Z199+AA276*AA199+AB276*AB199+AC276*AC199+AD276*AD199+AE276*AE199+AF276*AF199+AG276*AG199+AH276*AH199+AI276*AI199+AJ276*AJ199+AK276*AK199+AL276*AL199+AM276*AM199+AN276*AN199+AO276*AO199+AP276*AP199+AQ276*AQ199+AR276*AR199+AS276*AS199+AT276*AT199+AU276*AU199+AV276*AV199+AW276*AW199+AX276*AX199+AY276*AY199+AZ276*AZ199+BA276*BA199+BB276*BB199+BC276*BC199+BD276*BD199+BE276*BE199+BF276*BF199+BG276*BG199+BH276*BH199+BI276*BI199+BJ276*BJ199+BK276*BK199+BL276*BL199+BM276*BM199+BN276*BN199+BO276*BO199+BP276*BP199+BQ276*BQ199+BR276*BR199+BS276*BS199+BT276*BT199+BU276*BU199+BV276*BV199+BW276*BW199+BX276*BX199+BY276*BY199+BZ276*BZ199+CA276*CA199+CB276*CB199+CC276*CC199+CD276*CD199+CE276*CE199+CF276*CF199+CG276*CG199+CH276*CH199+CI276*CI199+CJ276*CJ199+CK276*CK199+CL276*CL199+CM276*CM199+CN276*CN199+CO276*CO199+CP276*CP199+CQ276*CQ199+CR276*CR199+CS276*CS199</f>
        <v>0</v>
      </c>
    </row>
    <row r="200" spans="2:110" x14ac:dyDescent="0.25">
      <c r="B200" s="1579">
        <v>58</v>
      </c>
      <c r="C200" s="541" t="s">
        <v>2151</v>
      </c>
      <c r="D200" s="542" t="s">
        <v>296</v>
      </c>
      <c r="E200" s="504">
        <f>0</f>
        <v>0</v>
      </c>
      <c r="F200" s="504">
        <f>0</f>
        <v>0</v>
      </c>
      <c r="G200" s="504">
        <f>0</f>
        <v>0</v>
      </c>
      <c r="H200" s="504">
        <f>0</f>
        <v>0</v>
      </c>
      <c r="I200" s="504">
        <f>0</f>
        <v>0</v>
      </c>
      <c r="J200" s="504">
        <f>1-f_E</f>
        <v>0.92</v>
      </c>
      <c r="K200" s="504">
        <f>0</f>
        <v>0</v>
      </c>
      <c r="L200" s="504">
        <f>0</f>
        <v>0</v>
      </c>
      <c r="M200" s="504">
        <f>0</f>
        <v>0</v>
      </c>
      <c r="N200" s="504">
        <f>0</f>
        <v>0</v>
      </c>
      <c r="O200" s="504">
        <f>0</f>
        <v>0</v>
      </c>
      <c r="P200" s="504">
        <f>f_E</f>
        <v>0.08</v>
      </c>
      <c r="Q200" s="504">
        <f>0</f>
        <v>0</v>
      </c>
      <c r="R200" s="504">
        <f>0</f>
        <v>0</v>
      </c>
      <c r="S200" s="504">
        <f>0</f>
        <v>0</v>
      </c>
      <c r="T200" s="504">
        <f>0</f>
        <v>0</v>
      </c>
      <c r="U200" s="504">
        <f>0</f>
        <v>0</v>
      </c>
      <c r="V200" s="504">
        <f>0</f>
        <v>0</v>
      </c>
      <c r="W200" s="504">
        <f>0</f>
        <v>0</v>
      </c>
      <c r="X200" s="504">
        <f>-1</f>
        <v>-1</v>
      </c>
      <c r="Y200" s="504">
        <f>0</f>
        <v>0</v>
      </c>
      <c r="Z200" s="504">
        <f>0</f>
        <v>0</v>
      </c>
      <c r="AA200" s="504">
        <f>-f_E*(i_N_XE-i_N_BIO)</f>
        <v>8.0000000000000069E-4</v>
      </c>
      <c r="AB200" s="504">
        <f>0</f>
        <v>0</v>
      </c>
      <c r="AC200" s="504">
        <f>0</f>
        <v>0</v>
      </c>
      <c r="AD200" s="504">
        <f>0</f>
        <v>0</v>
      </c>
      <c r="AE200" s="504">
        <f>0</f>
        <v>0</v>
      </c>
      <c r="AF200" s="504">
        <f>0</f>
        <v>0</v>
      </c>
      <c r="AG200" s="504">
        <f>0</f>
        <v>0</v>
      </c>
      <c r="AH200" s="504">
        <f>0</f>
        <v>0</v>
      </c>
      <c r="AI200" s="504">
        <f>0</f>
        <v>0</v>
      </c>
      <c r="AJ200" s="504">
        <f>0</f>
        <v>0</v>
      </c>
      <c r="AK200" s="504">
        <f>(1-f_E)*i_N_BIO</f>
        <v>6.4400000000000013E-2</v>
      </c>
      <c r="AL200" s="504">
        <f>0</f>
        <v>0</v>
      </c>
      <c r="AM200" s="543">
        <f>0</f>
        <v>0</v>
      </c>
      <c r="AN200" s="504">
        <f>0</f>
        <v>0</v>
      </c>
      <c r="AO200" s="504">
        <f>0</f>
        <v>0</v>
      </c>
      <c r="AP200" s="504">
        <f>0</f>
        <v>0</v>
      </c>
      <c r="AQ200" s="504">
        <f>(1-f_E)*i_P_BIO</f>
        <v>1.84E-2</v>
      </c>
      <c r="AR200" s="504">
        <f>0</f>
        <v>0</v>
      </c>
      <c r="AS200" s="504">
        <f>0</f>
        <v>0</v>
      </c>
      <c r="AT200" s="504">
        <f>0</f>
        <v>0</v>
      </c>
      <c r="AU200" s="504">
        <f>0</f>
        <v>0</v>
      </c>
      <c r="AV200" s="504">
        <f>(1-f_E)*(i_CIT_BIO-i_CIT_XBe)</f>
        <v>6.0720000000000003E-2</v>
      </c>
      <c r="AW200" s="504">
        <f>0</f>
        <v>0</v>
      </c>
      <c r="AX200" s="504">
        <f>0</f>
        <v>0</v>
      </c>
      <c r="AY200" s="504">
        <f>0</f>
        <v>0</v>
      </c>
      <c r="AZ200" s="504">
        <f>0</f>
        <v>0</v>
      </c>
      <c r="BA200" s="504">
        <f>0</f>
        <v>0</v>
      </c>
      <c r="BB200" s="504">
        <f>0</f>
        <v>0</v>
      </c>
      <c r="BC200" s="504">
        <f>0</f>
        <v>0</v>
      </c>
      <c r="BD200" s="504">
        <f>0</f>
        <v>0</v>
      </c>
      <c r="BE200" s="504">
        <f>0</f>
        <v>0</v>
      </c>
      <c r="BF200" s="504">
        <f>0</f>
        <v>0</v>
      </c>
      <c r="BG200" s="504">
        <f>0</f>
        <v>0</v>
      </c>
      <c r="BH200" s="504">
        <f>0</f>
        <v>0</v>
      </c>
      <c r="BI200" s="504">
        <f>0</f>
        <v>0</v>
      </c>
      <c r="BJ200" s="504">
        <f>0</f>
        <v>0</v>
      </c>
      <c r="BK200" s="504">
        <f>0</f>
        <v>0</v>
      </c>
      <c r="BL200" s="504">
        <f>0</f>
        <v>0</v>
      </c>
      <c r="BM200" s="504">
        <f>0</f>
        <v>0</v>
      </c>
      <c r="BN200" s="504">
        <f>0</f>
        <v>0</v>
      </c>
      <c r="BO200" s="504">
        <f>0</f>
        <v>0</v>
      </c>
      <c r="BP200" s="504">
        <f>0</f>
        <v>0</v>
      </c>
      <c r="BQ200" s="504">
        <f>0</f>
        <v>0</v>
      </c>
      <c r="BR200" s="504">
        <f>0</f>
        <v>0</v>
      </c>
      <c r="BS200" s="504">
        <f>0</f>
        <v>0</v>
      </c>
      <c r="BT200" s="504">
        <f>0</f>
        <v>0</v>
      </c>
      <c r="BU200" s="504">
        <f>0</f>
        <v>0</v>
      </c>
      <c r="BV200" s="504">
        <f>0</f>
        <v>0</v>
      </c>
      <c r="BW200" s="2363">
        <f>0</f>
        <v>0</v>
      </c>
      <c r="BX200" s="2363">
        <f>0</f>
        <v>0</v>
      </c>
      <c r="BY200" s="2363">
        <f>0</f>
        <v>0</v>
      </c>
      <c r="BZ200" s="2363">
        <f>0</f>
        <v>0</v>
      </c>
      <c r="CA200" s="504">
        <f>0</f>
        <v>0</v>
      </c>
      <c r="CB200" s="504">
        <f>0</f>
        <v>0</v>
      </c>
      <c r="CC200" s="504">
        <f>0</f>
        <v>0</v>
      </c>
      <c r="CD200" s="504">
        <f>0</f>
        <v>0</v>
      </c>
      <c r="CE200" s="504">
        <f>0</f>
        <v>0</v>
      </c>
      <c r="CF200" s="504">
        <f>0</f>
        <v>0</v>
      </c>
      <c r="CG200" s="504">
        <f>0</f>
        <v>0</v>
      </c>
      <c r="CH200" s="504">
        <f>0</f>
        <v>0</v>
      </c>
      <c r="CI200" s="504">
        <f>0</f>
        <v>0</v>
      </c>
      <c r="CJ200" s="504">
        <f>0</f>
        <v>0</v>
      </c>
      <c r="CK200" s="504">
        <f>0</f>
        <v>0</v>
      </c>
      <c r="CL200" s="504">
        <f>0</f>
        <v>0</v>
      </c>
      <c r="CM200" s="504">
        <f>0</f>
        <v>0</v>
      </c>
      <c r="CN200" s="504">
        <f>0</f>
        <v>0</v>
      </c>
      <c r="CO200" s="504">
        <f>0</f>
        <v>0</v>
      </c>
      <c r="CP200" s="504">
        <f>0</f>
        <v>0</v>
      </c>
      <c r="CQ200" s="504">
        <f>0</f>
        <v>0</v>
      </c>
      <c r="CR200" s="504">
        <f>0</f>
        <v>0</v>
      </c>
      <c r="CS200" s="504">
        <f>0</f>
        <v>0</v>
      </c>
      <c r="CT200" s="2486">
        <f>b_AMETO_T*X_AMETO*(m_tox_aer*M_satSO2_KiO2_AMETO+m_tox_anox*M_satSNOx_KNO3_AMETO*M_inhSO2_KiO2_AMETO)</f>
        <v>8.8891783092588217E-2</v>
      </c>
      <c r="CV200" s="2502">
        <f>E266*E200+F266*F200+G266*G200+H266*H200+I266*I200+J266*J200+K266*K200+L266*L200+M266*M200+N266*N200+O266*O200+P266*P200+Q266*Q200+R266*R200+S266*S200+T266*T200+U266*U200+V266*V200+W266*W200+X266*X200+Y266*Y200+Z266*Z200+AA266*AA200+AB266*AB200+AC266*AC200+AD266*AD200+AE266*AE200+AF266*AF200+AG266*AG200+AH266*AH200+AI266*AI200+AJ266*AJ200+AK266*AK200+AL266*AL200+AM266*AM200+AN266*AN200+AO266*AO200+AP266*AP200+AQ266*AQ200+AR266*AR200+AS266*AS200+AT266*AT200+AU266*AU200+AV266*AV200+AW266*AW200+AX266*AX200+AY266*AY200+AZ266*AZ200+BA266*BA200+BB266*BB200+BC266*BC200+BD266*BD200+BE266*BE200+BF266*BF200+BG266*BG200+BH266*BH200+BI266*BI200+BJ266*BJ200+BK266*BK200+BL266*BL200+BM266*BM200+BN266*BN200+BO266*BO200+BP266*BP200+BQ266*BQ200+BR266*BR200+BS266*BS200+BT266*BT200+BU266*BU200+BV266*BV200+BW266*BW200+BX266*BX200+BY266*BY200+BZ266*BZ200+CA266*CA200+CB266*CB200+CC266*CC200+CD266*CD200+CE266*CE200+CF266*CF200+CG266*CG200+CH266*CH200+CI266*CI200+CJ266*CJ200+CK266*CK200+CL266*CL200+CM266*CM200+CN266*CN200+CO266*CO200+CP266*CP200+CQ266*CQ200+CR266*CR200+CS266*CS200</f>
        <v>0</v>
      </c>
      <c r="CW200" s="2502">
        <f>E267*E200+F267*F200+G267*G200+H267*H200+I267*I200+J267*J200+K267*K200+L267*L200+M267*M200+N267*N200+O267*O200+P267*P200+Q267*Q200+R267*R200+S267*S200+T267*T200+U267*U200+V267*V200+W267*W200+X267*X200+Y267*Y200+Z267*Z200+AA267*AA200+AB267*AB200+AC267*AC200+AD267*AD200+AE267*AE200+AF267*AF200+AG267*AG200+AH267*AH200+AI267*AI200+AJ267*AJ200+AK267*AK200+AL267*AL200+AM267*AM200+AN267*AN200+AO267*AO200+AP267*AP200+AQ267*AQ200+AR267*AR200+AS267*AS200+AT267*AT200+AU267*AU200+AV267*AV200+AW267*AW200+AX267*AX200+AY267*AY200+AZ267*AZ200+BA267*BA200+BB267*BB200+BC267*BC200+BD267*BD200+BE267*BE200+BF267*BF200+BG267*BG200+BH267*BH200+BI267*BI200+BJ267*BJ200+BK267*BK200+BL267*BL200+BM267*BM200+BN267*BN200+BO267*BO200+BP267*BP200+BQ267*BQ200+BR267*BR200+BS267*BS200+BT267*BT200+BU267*BU200+BV267*BV200+BW267*BW200+BX267*BX200+BY267*BY200+BZ267*BZ200+CA267*CA200+CB267*CB200+CC267*CC200+CD267*CD200+CE267*CE200+CF267*CF200+CG267*CG200+CH267*CH200+CI267*CI200+CJ267*CJ200+CK267*CK200+CL267*CL200+CM267*CM200+CN267*CN200+CO267*CO200+CP267*CP200+CQ267*CQ200+CR267*CR200+CS267*CS200</f>
        <v>6.9388939039072284E-18</v>
      </c>
      <c r="CX200" s="2503">
        <f>E268*E200+F268*F200+G268*G200+H268*H200+I268*I200+J268*J200+K268*K200+L268*L200+M268*M200+N268*N200+O268*O200+P268*P200+Q268*Q200+R268*R200+S268*S200+T268*T200+U268*U200+V268*V200+W268*W200+X268*X200+Y268*Y200+Z268*Z200+AA268*AA200+AB268*AB200+AC268*AC200+AD268*AD200+AE268*AE200+AF268*AF200+AG268*AG200+AH268*AH200+AI268*AI200+AJ268*AJ200+AK268*AK200+AL268*AL200+AM268*AM200+AN268*AN200+AO268*AO200+AP268*AP200+AQ268*AQ200+AR268*AR200+AS268*AS200+AT268*AT200+AU268*AU200+AV268*AV200+AW268*AW200+AX268*AX200+AY268*AY200+AZ268*AZ200+BA268*BA200+BB268*BB200+BC268*BC200+BD268*BD200+BE268*BE200+BF268*BF200+BG268*BG200+BH268*BH200+BI268*BI200+BJ268*BJ200+BK268*BK200+BL268*BL200+BM268*BM200+BN268*BN200+BO268*BO200+BP268*BP200+BQ268*BQ200+BR268*BR200+BS268*BS200+BT268*BT200+BU268*BU200+BV268*BV200+BW268*BW200+BX268*BX200+BY268*BY200+BZ268*BZ200+CA268*CA200+CB268*CB200+CC268*CC200+CD268*CD200+CE268*CE200+CF268*CF200+CG268*CG200+CH268*CH200+CI268*CI200+CJ268*CJ200+CK268*CK200+CL268*CL200+CM268*CM200+CN268*CN200+CO268*CO200+CP268*CP200+CQ268*CQ200+CR268*CR200+CS268*CS200</f>
        <v>0</v>
      </c>
      <c r="CY200" s="2504">
        <f>E269*E200+F269*F200+G269*G200+H269*H200+I269*I200+J269*J200+K269*K200+L269*L200+M269*M200+N269*N200+O269*O200+P269*P200+Q269*Q200+R269*R200+S269*S200+T269*T200+U269*U200+V269*V200+W269*W200+X269*X200+Y269*Y200+Z269*Z200+AA269*AA200+AB269*AB200+AC269*AC200+AD269*AD200+AE269*AE200+AF269*AF200+AG269*AG200+AH269*AH200+AI269*AI200+AJ269*AJ200+AK269*AK200+AL269*AL200+AM269*AM200+AN269*AN200+AO269*AO200+AP269*AP200+AQ269*AQ200+AR269*AR200+AS269*AS200+AT269*AT200+AU269*AU200+AV269*AV200+AW269*AW200+AX269*AX200+AY269*AY200+AZ269*AZ200+BA269*BA200+BB269*BB200+BC269*BC200+BD269*BD200+BE269*BE200+BF269*BF200+BG269*BG200+BH269*BH200+BI269*BI200+BJ269*BJ200+BK269*BK200+BL269*BL200+BM269*BM200+BN269*BN200+BO269*BO200+BP269*BP200+BQ269*BQ200+BR269*BR200+BS269*BS200+BT269*BT200+BU269*BU200+BV269*BV200+BW269*BW200+BX269*BX200+BY269*BY200+BZ269*BZ200+CA269*CA200+CB269*CB200+CC269*CC200+CD269*CD200+CE269*CE200+CF269*CF200+CG269*CG200+CH269*CH200+CI269*CI200+CJ269*CJ200+CK269*CK200+CL269*CL200+CM269*CM200+CN269*CN200+CO269*CO200+CP269*CP200+CQ269*CQ200+CR269*CR200+CS269*CS200</f>
        <v>0</v>
      </c>
      <c r="CZ200" s="2504">
        <f>E270*E200+F270*F200+G270*G200+H270*H200+I270*I200+J270*J200+K270*K200+L270*L200+M270*M200+N270*N200+O270*O200+P270*P200+Q270*Q200+R270*R200+S270*S200+T270*T200+U270*U200+V270*V200+W270*W200+X270*X200+Y270*Y200+Z270*Z200+AA270*AA200+AB270*AB200+AC270*AC200+AD270*AD200+AE270*AE200+AF270*AF200+AG270*AG200+AH270*AH200+AI270*AI200+AJ270*AJ200+AK270*AK200+AL270*AL200+AM270*AM200+AN270*AN200+AO270*AO200+AP270*AP200+AQ270*AQ200+AR270*AR200+AS270*AS200+AT270*AT200+AU270*AU200+AV270*AV200+AW270*AW200+AX270*AX200+AY270*AY200+AZ270*AZ200+BA270*BA200+BB270*BB200+BC270*BC200+BD270*BD200+BE270*BE200+BF270*BF200+BG270*BG200+BH270*BH200+BI270*BI200+BJ270*BJ200+BK270*BK200+BL270*BL200+BM270*BM200+BN270*BN200+BO270*BO200+BP270*BP200+BQ270*BQ200+BR270*BR200+BS270*BS200+BT270*BT200+BU270*BU200+BV270*BV200+BW270*BW200+BX270*BX200+BY270*BY200+BZ270*BZ200+CA270*CA200+CB270*CB200+CC270*CC200+CD270*CD200+CE270*CE200+CF270*CF200+CG270*CG200+CH270*CH200+CI270*CI200+CJ270*CJ200+CK270*CK200+CL270*CL200+CM270*CM200+CN270*CN200+CO270*CO200+CP270*CP200+CQ270*CQ200+CR270*CR200+CS270*CS200</f>
        <v>0</v>
      </c>
      <c r="DA200" s="2504">
        <f>E271*E200+F271*F200+G271*G200+H271*H200+I271*I200+J271*J200+K271*K200+L271*L200+M271*M200+N271*N200+O271*O200+P271*P200+Q271*Q200+R271*R200+S271*S200+T271*T200+U271*U200+V271*V200+W271*W200+X271*X200+Y271*Y200+Z271*Z200+AA271*AA200+AB271*AB200+AC271*AC200+AD271*AD200+AE271*AE200+AF271*AF200+AG271*AG200+AH271*AH200+AI271*AI200+AJ271*AJ200+AK271*AK200+AL271*AL200+AM271*AM200+AN271*AN200+AO271*AO200+AP271*AP200+AQ271*AQ200+AR271*AR200+AS271*AS200+AT271*AT200+AU271*AU200+AV271*AV200+AW271*AW200+AX271*AX200+AY271*AY200+AZ271*AZ200+BA271*BA200+BB271*BB200+BC271*BC200+BD271*BD200+BE271*BE200+BF271*BF200+BG271*BG200+BH271*BH200+BI271*BI200+BJ271*BJ200+BK271*BK200+BL271*BL200+BM271*BM200+BN271*BN200+BO271*BO200+BP271*BP200+BQ271*BQ200+BR271*BR200+BS271*BS200+BT271*BT200+BU271*BU200+BV271*BV200+BW271*BW200+BX271*BX200+BY271*BY200+BZ271*BZ200+CA271*CA200+CB271*CB200+CC271*CC200+CD271*CD200+CE271*CE200+CF271*CF200+CG271*CG200+CH271*CH200+CI271*CI200+CJ271*CJ200+CK271*CK200+CL271*CL200+CM271*CM200+CN271*CN200+CO271*CO200+CP271*CP200+CQ271*CQ200+CR271*CR200+CS271*CS200</f>
        <v>0</v>
      </c>
      <c r="DB200" s="2504">
        <f>E272*E200+F272*F200+G272*G200+H272*H200+I272*I200+J272*J200+K272*K200+L272*L200+M272*M200+N272*N200+O272*O200+P272*P200+Q272*Q200+R272*R200+S272*S200+T272*T200+U272*U200+V272*V200+W272*W200+X272*X200+Y272*Y200+Z272*Z200+AA272*AA200+AB272*AB200+AC272*AC200+AD272*AD200+AE272*AE200+AF272*AF200+AG272*AG200+AH272*AH200+AI272*AI200+AJ272*AJ200+AK272*AK200+AL272*AL200+AM272*AM200+AN272*AN200+AO272*AO200+AP272*AP200+AQ272*AQ200+AR272*AR200+AS272*AS200+AT272*AT200+AU272*AU200+AV272*AV200+AW272*AW200+AX272*AX200+AY272*AY200+AZ272*AZ200+BA272*BA200+BB272*BB200+BC272*BC200+BD272*BD200+BE272*BE200+BF272*BF200+BG272*BG200+BH272*BH200+BI272*BI200+BJ272*BJ200+BK272*BK200+BL272*BL200+BM272*BM200+BN272*BN200+BO272*BO200+BP272*BP200+BQ272*BQ200+BR272*BR200+BS272*BS200+BT272*BT200+BU272*BU200+BV272*BV200+BW272*BW200+BX272*BX200+BY272*BY200+BZ272*BZ200+CA272*CA200+CB272*CB200+CC272*CC200+CD272*CD200+CE272*CE200+CF272*CF200+CG272*CG200+CH272*CH200+CI272*CI200+CJ272*CJ200+CK272*CK200+CL272*CL200+CM272*CM200+CN272*CN200+CO272*CO200+CP272*CP200+CQ272*CQ200+CR272*CR200+CS272*CS200</f>
        <v>0</v>
      </c>
      <c r="DC200" s="2504">
        <f>E273*E200+F273*F200+G273*G200+H273*H200+I273*I200+J273*J200+K273*K200+L273*L200+M273*M200+N273*N200+O273*O200+P273*P200+Q273*Q200+R273*R200+S273*S200+T273*T200+U273*U200+V273*V200+W273*W200+X273*X200+Y273*Y200+Z273*Z200+AA273*AA200+AB273*AB200+AC273*AC200+AD273*AD200+AE273*AE200+AF273*AF200+AG273*AG200+AH273*AH200+AI273*AI200+AJ273*AJ200+AK273*AK200+AL273*AL200+AM273*AM200+AN273*AN200+AO273*AO200+AP273*AP200+AQ273*AQ200+AR273*AR200+AS273*AS200+AT273*AT200+AU273*AU200+AV273*AV200+AW273*AW200+AX273*AX200+AY273*AY200+AZ273*AZ200+BA273*BA200+BB273*BB200+BC273*BC200+BD273*BD200+BE273*BE200+BF273*BF200+BG273*BG200+BH273*BH200+BI273*BI200+BJ273*BJ200+BK273*BK200+BL273*BL200+BM273*BM200+BN273*BN200+BO273*BO200+BP273*BP200+BQ273*BQ200+BR273*BR200+BS273*BS200+BT273*BT200+BU273*BU200+BV273*BV200+BW273*BW200+BX273*BX200+BY273*BY200+BZ273*BZ200+CA273*CA200+CB273*CB200+CC273*CC200+CD273*CD200+CE273*CE200+CF273*CF200+CG273*CG200+CH273*CH200+CI273*CI200+CJ273*CJ200+CK273*CK200+CL273*CL200+CM273*CM200+CN273*CN200+CO273*CO200+CP273*CP200+CQ273*CQ200+CR273*CR200+CS273*CS200</f>
        <v>0</v>
      </c>
      <c r="DD200" s="2504">
        <f>E274*E200+F274*F200+G274*G200+H274*H200+I274*I200+J274*J200+K274*K200+L274*L200+M274*M200+N274*N200+O274*O200+P274*P200+Q274*Q200+R274*R200+S274*S200+T274*T200+U274*U200+V274*V200+W274*W200+X274*X200+Y274*Y200+Z274*Z200+AA274*AA200+AB274*AB200+AC274*AC200+AD274*AD200+AE274*AE200+AF274*AF200+AG274*AG200+AH274*AH200+AI274*AI200+AJ274*AJ200+AK274*AK200+AL274*AL200+AM274*AM200+AN274*AN200+AO274*AO200+AP274*AP200+AQ274*AQ200+AR274*AR200+AS274*AS200+AT274*AT200+AU274*AU200+AV274*AV200+AW274*AW200+AX274*AX200+AY274*AY200+AZ274*AZ200+BA274*BA200+BB274*BB200+BC274*BC200+BD274*BD200+BE274*BE200+BF274*BF200+BG274*BG200+BH274*BH200+BI274*BI200+BJ274*BJ200+BK274*BK200+BL274*BL200+BM274*BM200+BN274*BN200+BO274*BO200+BP274*BP200+BQ274*BQ200+BR274*BR200+BS274*BS200+BT274*BT200+BU274*BU200+BV274*BV200+BW274*BW200+BX274*BX200+BY274*BY200+BZ274*BZ200+CA274*CA200+CB274*CB200+CC274*CC200+CD274*CD200+CE274*CE200+CF274*CF200+CG274*CG200+CH274*CH200+CI274*CI200+CJ274*CJ200+CK274*CK200+CL274*CL200+CM274*CM200+CN274*CN200+CO274*CO200+CP274*CP200+CQ274*CQ200+CR274*CR200+CS274*CS200</f>
        <v>0</v>
      </c>
      <c r="DE200" s="2504">
        <f>E275*E200+F275*F200+G275*G200+H275*H200+I275*I200+J275*J200+K275*K200+L275*L200+M275*M200+N275*N200+O275*O200+P275*P200+Q275*Q200+R275*R200+S275*S200+T275*T200+U275*U200+V275*V200+W275*W200+X275*X200+Y275*Y200+Z275*Z200+AA275*AA200+AB275*AB200+AC275*AC200+AD275*AD200+AE275*AE200+AF275*AF200+AG275*AG200+AH275*AH200+AI275*AI200+AJ275*AJ200+AK275*AK200+AL275*AL200+AM275*AM200+AN275*AN200+AO275*AO200+AP275*AP200+AQ275*AQ200+AR275*AR200+AS275*AS200+AT275*AT200+AU275*AU200+AV275*AV200+AW275*AW200+AX275*AX200+AY275*AY200+AZ275*AZ200+BA275*BA200+BB275*BB200+BC275*BC200+BD275*BD200+BE275*BE200+BF275*BF200+BG275*BG200+BH275*BH200+BI275*BI200+BJ275*BJ200+BK275*BK200+BL275*BL200+BM275*BM200+BN275*BN200+BO275*BO200+BP275*BP200+BQ275*BQ200+BR275*BR200+BS275*BS200+BT275*BT200+BU275*BU200+BV275*BV200+BW275*BW200+BX275*BX200+BY275*BY200+BZ275*BZ200+CA275*CA200+CB275*CB200+CC275*CC200+CD275*CD200+CE275*CE200+CF275*CF200+CG275*CG200+CH275*CH200+CI275*CI200+CJ275*CJ200+CK275*CK200+CL275*CL200+CM275*CM200+CN275*CN200+CO275*CO200+CP275*CP200+CQ275*CQ200+CR275*CR200+CS275*CS200</f>
        <v>0</v>
      </c>
      <c r="DF200" s="2504">
        <f>E276*E200+F276*F200+G276*G200+H276*H200+I276*I200+J276*J200+K276*K200+L276*L200+M276*M200+N276*N200+O276*O200+P276*P200+Q276*Q200+R276*R200+S276*S200+T276*T200+U276*U200+V276*V200+W276*W200+X276*X200+Y276*Y200+Z276*Z200+AA276*AA200+AB276*AB200+AC276*AC200+AD276*AD200+AE276*AE200+AF276*AF200+AG276*AG200+AH276*AH200+AI276*AI200+AJ276*AJ200+AK276*AK200+AL276*AL200+AM276*AM200+AN276*AN200+AO276*AO200+AP276*AP200+AQ276*AQ200+AR276*AR200+AS276*AS200+AT276*AT200+AU276*AU200+AV276*AV200+AW276*AW200+AX276*AX200+AY276*AY200+AZ276*AZ200+BA276*BA200+BB276*BB200+BC276*BC200+BD276*BD200+BE276*BE200+BF276*BF200+BG276*BG200+BH276*BH200+BI276*BI200+BJ276*BJ200+BK276*BK200+BL276*BL200+BM276*BM200+BN276*BN200+BO276*BO200+BP276*BP200+BQ276*BQ200+BR276*BR200+BS276*BS200+BT276*BT200+BU276*BU200+BV276*BV200+BW276*BW200+BX276*BX200+BY276*BY200+BZ276*BZ200+CA276*CA200+CB276*CB200+CC276*CC200+CD276*CD200+CE276*CE200+CF276*CF200+CG276*CG200+CH276*CH200+CI276*CI200+CJ276*CJ200+CK276*CK200+CL276*CL200+CM276*CM200+CN276*CN200+CO276*CO200+CP276*CP200+CQ276*CQ200+CR276*CR200+CS276*CS200</f>
        <v>0</v>
      </c>
    </row>
    <row r="201" spans="2:110" x14ac:dyDescent="0.25">
      <c r="B201" s="1579">
        <v>59</v>
      </c>
      <c r="C201" s="541" t="s">
        <v>2175</v>
      </c>
      <c r="D201" s="542" t="s">
        <v>2956</v>
      </c>
      <c r="E201" s="504">
        <f>0</f>
        <v>0</v>
      </c>
      <c r="F201" s="504">
        <f>0</f>
        <v>0</v>
      </c>
      <c r="G201" s="504">
        <f>0</f>
        <v>0</v>
      </c>
      <c r="H201" s="504">
        <f>0</f>
        <v>0</v>
      </c>
      <c r="I201" s="504">
        <f>0</f>
        <v>0</v>
      </c>
      <c r="J201" s="504">
        <f>1-f_E</f>
        <v>0.92</v>
      </c>
      <c r="K201" s="504">
        <f>0</f>
        <v>0</v>
      </c>
      <c r="L201" s="504">
        <f>0</f>
        <v>0</v>
      </c>
      <c r="M201" s="504">
        <f>0</f>
        <v>0</v>
      </c>
      <c r="N201" s="504">
        <f>0</f>
        <v>0</v>
      </c>
      <c r="O201" s="504">
        <f>0</f>
        <v>0</v>
      </c>
      <c r="P201" s="504">
        <f>0</f>
        <v>0</v>
      </c>
      <c r="Q201" s="504">
        <f>f_E</f>
        <v>0.08</v>
      </c>
      <c r="R201" s="504">
        <f>0</f>
        <v>0</v>
      </c>
      <c r="S201" s="504">
        <f>0</f>
        <v>0</v>
      </c>
      <c r="T201" s="504">
        <f>0</f>
        <v>0</v>
      </c>
      <c r="U201" s="504">
        <f>0</f>
        <v>0</v>
      </c>
      <c r="V201" s="504">
        <f>0</f>
        <v>0</v>
      </c>
      <c r="W201" s="504">
        <f>0</f>
        <v>0</v>
      </c>
      <c r="X201" s="504">
        <f>-1</f>
        <v>-1</v>
      </c>
      <c r="Y201" s="504">
        <f>0</f>
        <v>0</v>
      </c>
      <c r="Z201" s="504">
        <f>0</f>
        <v>0</v>
      </c>
      <c r="AA201" s="504">
        <f>-f_E*(i_N_XE-i_N_BIO)</f>
        <v>8.0000000000000069E-4</v>
      </c>
      <c r="AB201" s="504">
        <f>0</f>
        <v>0</v>
      </c>
      <c r="AC201" s="504">
        <f>0</f>
        <v>0</v>
      </c>
      <c r="AD201" s="504">
        <f>0</f>
        <v>0</v>
      </c>
      <c r="AE201" s="504">
        <f>0</f>
        <v>0</v>
      </c>
      <c r="AF201" s="504">
        <f>0</f>
        <v>0</v>
      </c>
      <c r="AG201" s="504">
        <f>0</f>
        <v>0</v>
      </c>
      <c r="AH201" s="504">
        <f>0</f>
        <v>0</v>
      </c>
      <c r="AI201" s="504">
        <f>0</f>
        <v>0</v>
      </c>
      <c r="AJ201" s="504">
        <f>0</f>
        <v>0</v>
      </c>
      <c r="AK201" s="504">
        <f>(1-f_E)*i_N_BIO</f>
        <v>6.4400000000000013E-2</v>
      </c>
      <c r="AL201" s="504">
        <f>0</f>
        <v>0</v>
      </c>
      <c r="AM201" s="543">
        <f>0</f>
        <v>0</v>
      </c>
      <c r="AN201" s="504">
        <f>0</f>
        <v>0</v>
      </c>
      <c r="AO201" s="504">
        <f>0</f>
        <v>0</v>
      </c>
      <c r="AP201" s="504">
        <f>0</f>
        <v>0</v>
      </c>
      <c r="AQ201" s="504">
        <f>(1-f_E)*i_P_BIO</f>
        <v>1.84E-2</v>
      </c>
      <c r="AR201" s="504">
        <f>0</f>
        <v>0</v>
      </c>
      <c r="AS201" s="504">
        <f>0</f>
        <v>0</v>
      </c>
      <c r="AT201" s="504">
        <f>0</f>
        <v>0</v>
      </c>
      <c r="AU201" s="504">
        <f>0</f>
        <v>0</v>
      </c>
      <c r="AV201" s="504">
        <f>(1-f_E)*(i_CIT_BIO-i_CIT_XBe)</f>
        <v>6.0720000000000003E-2</v>
      </c>
      <c r="AW201" s="504">
        <f>0</f>
        <v>0</v>
      </c>
      <c r="AX201" s="504">
        <f>0</f>
        <v>0</v>
      </c>
      <c r="AY201" s="504">
        <f>0</f>
        <v>0</v>
      </c>
      <c r="AZ201" s="504">
        <f>0</f>
        <v>0</v>
      </c>
      <c r="BA201" s="504">
        <f>0</f>
        <v>0</v>
      </c>
      <c r="BB201" s="504">
        <f>0</f>
        <v>0</v>
      </c>
      <c r="BC201" s="504">
        <f>0</f>
        <v>0</v>
      </c>
      <c r="BD201" s="504">
        <f>0</f>
        <v>0</v>
      </c>
      <c r="BE201" s="504">
        <f>0</f>
        <v>0</v>
      </c>
      <c r="BF201" s="504">
        <f>0</f>
        <v>0</v>
      </c>
      <c r="BG201" s="504">
        <f>0</f>
        <v>0</v>
      </c>
      <c r="BH201" s="504">
        <f>0</f>
        <v>0</v>
      </c>
      <c r="BI201" s="504">
        <f>0</f>
        <v>0</v>
      </c>
      <c r="BJ201" s="504">
        <f>0</f>
        <v>0</v>
      </c>
      <c r="BK201" s="504">
        <f>0</f>
        <v>0</v>
      </c>
      <c r="BL201" s="504">
        <f>0</f>
        <v>0</v>
      </c>
      <c r="BM201" s="504">
        <f>0</f>
        <v>0</v>
      </c>
      <c r="BN201" s="504">
        <f>0</f>
        <v>0</v>
      </c>
      <c r="BO201" s="504">
        <f>0</f>
        <v>0</v>
      </c>
      <c r="BP201" s="504">
        <f>0</f>
        <v>0</v>
      </c>
      <c r="BQ201" s="504">
        <f>0</f>
        <v>0</v>
      </c>
      <c r="BR201" s="504">
        <f>0</f>
        <v>0</v>
      </c>
      <c r="BS201" s="504">
        <f>0</f>
        <v>0</v>
      </c>
      <c r="BT201" s="504">
        <f>0</f>
        <v>0</v>
      </c>
      <c r="BU201" s="504">
        <f>0</f>
        <v>0</v>
      </c>
      <c r="BV201" s="504">
        <f>0</f>
        <v>0</v>
      </c>
      <c r="BW201" s="2363">
        <f>0</f>
        <v>0</v>
      </c>
      <c r="BX201" s="2363">
        <f>0</f>
        <v>0</v>
      </c>
      <c r="BY201" s="2363">
        <f>0</f>
        <v>0</v>
      </c>
      <c r="BZ201" s="2363">
        <f>0</f>
        <v>0</v>
      </c>
      <c r="CA201" s="504">
        <f>0</f>
        <v>0</v>
      </c>
      <c r="CB201" s="504">
        <f>0</f>
        <v>0</v>
      </c>
      <c r="CC201" s="504">
        <f>0</f>
        <v>0</v>
      </c>
      <c r="CD201" s="504">
        <f>0</f>
        <v>0</v>
      </c>
      <c r="CE201" s="504">
        <f>0</f>
        <v>0</v>
      </c>
      <c r="CF201" s="504">
        <f>0</f>
        <v>0</v>
      </c>
      <c r="CG201" s="504">
        <f>0</f>
        <v>0</v>
      </c>
      <c r="CH201" s="504">
        <f>0</f>
        <v>0</v>
      </c>
      <c r="CI201" s="504">
        <f>0</f>
        <v>0</v>
      </c>
      <c r="CJ201" s="504">
        <f>0</f>
        <v>0</v>
      </c>
      <c r="CK201" s="504">
        <f>0</f>
        <v>0</v>
      </c>
      <c r="CL201" s="504">
        <f>0</f>
        <v>0</v>
      </c>
      <c r="CM201" s="504">
        <f>0</f>
        <v>0</v>
      </c>
      <c r="CN201" s="504">
        <f>0</f>
        <v>0</v>
      </c>
      <c r="CO201" s="504">
        <f>0</f>
        <v>0</v>
      </c>
      <c r="CP201" s="504">
        <f>0</f>
        <v>0</v>
      </c>
      <c r="CQ201" s="504">
        <f>0</f>
        <v>0</v>
      </c>
      <c r="CR201" s="504">
        <f>0</f>
        <v>0</v>
      </c>
      <c r="CS201" s="504">
        <f>0</f>
        <v>0</v>
      </c>
      <c r="CT201" s="2486">
        <f>b_AMETO_T*X_AMETO*M_inhSNOx_KNO3_AMETO*M_inhSO2_KiO2_AMETO</f>
        <v>2.1311863604072938E-6</v>
      </c>
      <c r="CV201" s="2502">
        <f>E266*E201+F266*F201+G266*G201+H266*H201+I266*I201+J266*J201+K266*K201+L266*L201+M266*M201+N266*N201+O266*O201+P266*P201+Q266*Q201+R266*R201+S266*S201+T266*T201+U266*U201+V266*V201+W266*W201+X266*X201+Y266*Y201+Z266*Z201+AA266*AA201+AB266*AB201+AC266*AC201+AD266*AD201+AE266*AE201+AF266*AF201+AG266*AG201+AH266*AH201+AI266*AI201+AJ266*AJ201+AK266*AK201+AL266*AL201+AM266*AM201+AN266*AN201+AO266*AO201+AP266*AP201+AQ266*AQ201+AR266*AR201+AS266*AS201+AT266*AT201+AU266*AU201+AV266*AV201+AW266*AW201+AX266*AX201+AY266*AY201+AZ266*AZ201+BA266*BA201+BB266*BB201+BC266*BC201+BD266*BD201+BE266*BE201+BF266*BF201+BG266*BG201+BH266*BH201+BI266*BI201+BJ266*BJ201+BK266*BK201+BL266*BL201+BM266*BM201+BN266*BN201+BO266*BO201+BP266*BP201+BQ266*BQ201+BR266*BR201+BS266*BS201+BT266*BT201+BU266*BU201+BV266*BV201+BW266*BW201+BX266*BX201+BY266*BY201+BZ266*BZ201+CA266*CA201+CB266*CB201+CC266*CC201+CD266*CD201+CE266*CE201+CF266*CF201+CG266*CG201+CH266*CH201+CI266*CI201+CJ266*CJ201+CK266*CK201+CL266*CL201+CM266*CM201+CN266*CN201+CO266*CO201+CP266*CP201+CQ266*CQ201+CR266*CR201+CS266*CS201</f>
        <v>0</v>
      </c>
      <c r="CW201" s="2502">
        <f>E267*E201+F267*F201+G267*G201+H267*H201+I267*I201+J267*J201+K267*K201+L267*L201+M267*M201+N267*N201+O267*O201+P267*P201+Q267*Q201+R267*R201+S267*S201+T267*T201+U267*U201+V267*V201+W267*W201+X267*X201+Y267*Y201+Z267*Z201+AA267*AA201+AB267*AB201+AC267*AC201+AD267*AD201+AE267*AE201+AF267*AF201+AG267*AG201+AH267*AH201+AI267*AI201+AJ267*AJ201+AK267*AK201+AL267*AL201+AM267*AM201+AN267*AN201+AO267*AO201+AP267*AP201+AQ267*AQ201+AR267*AR201+AS267*AS201+AT267*AT201+AU267*AU201+AV267*AV201+AW267*AW201+AX267*AX201+AY267*AY201+AZ267*AZ201+BA267*BA201+BB267*BB201+BC267*BC201+BD267*BD201+BE267*BE201+BF267*BF201+BG267*BG201+BH267*BH201+BI267*BI201+BJ267*BJ201+BK267*BK201+BL267*BL201+BM267*BM201+BN267*BN201+BO267*BO201+BP267*BP201+BQ267*BQ201+BR267*BR201+BS267*BS201+BT267*BT201+BU267*BU201+BV267*BV201+BW267*BW201+BX267*BX201+BY267*BY201+BZ267*BZ201+CA267*CA201+CB267*CB201+CC267*CC201+CD267*CD201+CE267*CE201+CF267*CF201+CG267*CG201+CH267*CH201+CI267*CI201+CJ267*CJ201+CK267*CK201+CL267*CL201+CM267*CM201+CN267*CN201+CO267*CO201+CP267*CP201+CQ267*CQ201+CR267*CR201+CS267*CS201</f>
        <v>6.9388939039072284E-18</v>
      </c>
      <c r="CX201" s="2503">
        <f>E268*E201+F268*F201+G268*G201+H268*H201+I268*I201+J268*J201+K268*K201+L268*L201+M268*M201+N268*N201+O268*O201+P268*P201+Q268*Q201+R268*R201+S268*S201+T268*T201+U268*U201+V268*V201+W268*W201+X268*X201+Y268*Y201+Z268*Z201+AA268*AA201+AB268*AB201+AC268*AC201+AD268*AD201+AE268*AE201+AF268*AF201+AG268*AG201+AH268*AH201+AI268*AI201+AJ268*AJ201+AK268*AK201+AL268*AL201+AM268*AM201+AN268*AN201+AO268*AO201+AP268*AP201+AQ268*AQ201+AR268*AR201+AS268*AS201+AT268*AT201+AU268*AU201+AV268*AV201+AW268*AW201+AX268*AX201+AY268*AY201+AZ268*AZ201+BA268*BA201+BB268*BB201+BC268*BC201+BD268*BD201+BE268*BE201+BF268*BF201+BG268*BG201+BH268*BH201+BI268*BI201+BJ268*BJ201+BK268*BK201+BL268*BL201+BM268*BM201+BN268*BN201+BO268*BO201+BP268*BP201+BQ268*BQ201+BR268*BR201+BS268*BS201+BT268*BT201+BU268*BU201+BV268*BV201+BW268*BW201+BX268*BX201+BY268*BY201+BZ268*BZ201+CA268*CA201+CB268*CB201+CC268*CC201+CD268*CD201+CE268*CE201+CF268*CF201+CG268*CG201+CH268*CH201+CI268*CI201+CJ268*CJ201+CK268*CK201+CL268*CL201+CM268*CM201+CN268*CN201+CO268*CO201+CP268*CP201+CQ268*CQ201+CR268*CR201+CS268*CS201</f>
        <v>0</v>
      </c>
      <c r="CY201" s="2504">
        <f>E269*E201+F269*F201+G269*G201+H269*H201+I269*I201+J269*J201+K269*K201+L269*L201+M269*M201+N269*N201+O269*O201+P269*P201+Q269*Q201+R269*R201+S269*S201+T269*T201+U269*U201+V269*V201+W269*W201+X269*X201+Y269*Y201+Z269*Z201+AA269*AA201+AB269*AB201+AC269*AC201+AD269*AD201+AE269*AE201+AF269*AF201+AG269*AG201+AH269*AH201+AI269*AI201+AJ269*AJ201+AK269*AK201+AL269*AL201+AM269*AM201+AN269*AN201+AO269*AO201+AP269*AP201+AQ269*AQ201+AR269*AR201+AS269*AS201+AT269*AT201+AU269*AU201+AV269*AV201+AW269*AW201+AX269*AX201+AY269*AY201+AZ269*AZ201+BA269*BA201+BB269*BB201+BC269*BC201+BD269*BD201+BE269*BE201+BF269*BF201+BG269*BG201+BH269*BH201+BI269*BI201+BJ269*BJ201+BK269*BK201+BL269*BL201+BM269*BM201+BN269*BN201+BO269*BO201+BP269*BP201+BQ269*BQ201+BR269*BR201+BS269*BS201+BT269*BT201+BU269*BU201+BV269*BV201+BW269*BW201+BX269*BX201+BY269*BY201+BZ269*BZ201+CA269*CA201+CB269*CB201+CC269*CC201+CD269*CD201+CE269*CE201+CF269*CF201+CG269*CG201+CH269*CH201+CI269*CI201+CJ269*CJ201+CK269*CK201+CL269*CL201+CM269*CM201+CN269*CN201+CO269*CO201+CP269*CP201+CQ269*CQ201+CR269*CR201+CS269*CS201</f>
        <v>0</v>
      </c>
      <c r="CZ201" s="2504">
        <f>E270*E201+F270*F201+G270*G201+H270*H201+I270*I201+J270*J201+K270*K201+L270*L201+M270*M201+N270*N201+O270*O201+P270*P201+Q270*Q201+R270*R201+S270*S201+T270*T201+U270*U201+V270*V201+W270*W201+X270*X201+Y270*Y201+Z270*Z201+AA270*AA201+AB270*AB201+AC270*AC201+AD270*AD201+AE270*AE201+AF270*AF201+AG270*AG201+AH270*AH201+AI270*AI201+AJ270*AJ201+AK270*AK201+AL270*AL201+AM270*AM201+AN270*AN201+AO270*AO201+AP270*AP201+AQ270*AQ201+AR270*AR201+AS270*AS201+AT270*AT201+AU270*AU201+AV270*AV201+AW270*AW201+AX270*AX201+AY270*AY201+AZ270*AZ201+BA270*BA201+BB270*BB201+BC270*BC201+BD270*BD201+BE270*BE201+BF270*BF201+BG270*BG201+BH270*BH201+BI270*BI201+BJ270*BJ201+BK270*BK201+BL270*BL201+BM270*BM201+BN270*BN201+BO270*BO201+BP270*BP201+BQ270*BQ201+BR270*BR201+BS270*BS201+BT270*BT201+BU270*BU201+BV270*BV201+BW270*BW201+BX270*BX201+BY270*BY201+BZ270*BZ201+CA270*CA201+CB270*CB201+CC270*CC201+CD270*CD201+CE270*CE201+CF270*CF201+CG270*CG201+CH270*CH201+CI270*CI201+CJ270*CJ201+CK270*CK201+CL270*CL201+CM270*CM201+CN270*CN201+CO270*CO201+CP270*CP201+CQ270*CQ201+CR270*CR201+CS270*CS201</f>
        <v>0</v>
      </c>
      <c r="DA201" s="2504">
        <f>E271*E201+F271*F201+G271*G201+H271*H201+I271*I201+J271*J201+K271*K201+L271*L201+M271*M201+N271*N201+O271*O201+P271*P201+Q271*Q201+R271*R201+S271*S201+T271*T201+U271*U201+V271*V201+W271*W201+X271*X201+Y271*Y201+Z271*Z201+AA271*AA201+AB271*AB201+AC271*AC201+AD271*AD201+AE271*AE201+AF271*AF201+AG271*AG201+AH271*AH201+AI271*AI201+AJ271*AJ201+AK271*AK201+AL271*AL201+AM271*AM201+AN271*AN201+AO271*AO201+AP271*AP201+AQ271*AQ201+AR271*AR201+AS271*AS201+AT271*AT201+AU271*AU201+AV271*AV201+AW271*AW201+AX271*AX201+AY271*AY201+AZ271*AZ201+BA271*BA201+BB271*BB201+BC271*BC201+BD271*BD201+BE271*BE201+BF271*BF201+BG271*BG201+BH271*BH201+BI271*BI201+BJ271*BJ201+BK271*BK201+BL271*BL201+BM271*BM201+BN271*BN201+BO271*BO201+BP271*BP201+BQ271*BQ201+BR271*BR201+BS271*BS201+BT271*BT201+BU271*BU201+BV271*BV201+BW271*BW201+BX271*BX201+BY271*BY201+BZ271*BZ201+CA271*CA201+CB271*CB201+CC271*CC201+CD271*CD201+CE271*CE201+CF271*CF201+CG271*CG201+CH271*CH201+CI271*CI201+CJ271*CJ201+CK271*CK201+CL271*CL201+CM271*CM201+CN271*CN201+CO271*CO201+CP271*CP201+CQ271*CQ201+CR271*CR201+CS271*CS201</f>
        <v>0</v>
      </c>
      <c r="DB201" s="2504">
        <f>E272*E201+F272*F201+G272*G201+H272*H201+I272*I201+J272*J201+K272*K201+L272*L201+M272*M201+N272*N201+O272*O201+P272*P201+Q272*Q201+R272*R201+S272*S201+T272*T201+U272*U201+V272*V201+W272*W201+X272*X201+Y272*Y201+Z272*Z201+AA272*AA201+AB272*AB201+AC272*AC201+AD272*AD201+AE272*AE201+AF272*AF201+AG272*AG201+AH272*AH201+AI272*AI201+AJ272*AJ201+AK272*AK201+AL272*AL201+AM272*AM201+AN272*AN201+AO272*AO201+AP272*AP201+AQ272*AQ201+AR272*AR201+AS272*AS201+AT272*AT201+AU272*AU201+AV272*AV201+AW272*AW201+AX272*AX201+AY272*AY201+AZ272*AZ201+BA272*BA201+BB272*BB201+BC272*BC201+BD272*BD201+BE272*BE201+BF272*BF201+BG272*BG201+BH272*BH201+BI272*BI201+BJ272*BJ201+BK272*BK201+BL272*BL201+BM272*BM201+BN272*BN201+BO272*BO201+BP272*BP201+BQ272*BQ201+BR272*BR201+BS272*BS201+BT272*BT201+BU272*BU201+BV272*BV201+BW272*BW201+BX272*BX201+BY272*BY201+BZ272*BZ201+CA272*CA201+CB272*CB201+CC272*CC201+CD272*CD201+CE272*CE201+CF272*CF201+CG272*CG201+CH272*CH201+CI272*CI201+CJ272*CJ201+CK272*CK201+CL272*CL201+CM272*CM201+CN272*CN201+CO272*CO201+CP272*CP201+CQ272*CQ201+CR272*CR201+CS272*CS201</f>
        <v>0</v>
      </c>
      <c r="DC201" s="2504">
        <f>E273*E201+F273*F201+G273*G201+H273*H201+I273*I201+J273*J201+K273*K201+L273*L201+M273*M201+N273*N201+O273*O201+P273*P201+Q273*Q201+R273*R201+S273*S201+T273*T201+U273*U201+V273*V201+W273*W201+X273*X201+Y273*Y201+Z273*Z201+AA273*AA201+AB273*AB201+AC273*AC201+AD273*AD201+AE273*AE201+AF273*AF201+AG273*AG201+AH273*AH201+AI273*AI201+AJ273*AJ201+AK273*AK201+AL273*AL201+AM273*AM201+AN273*AN201+AO273*AO201+AP273*AP201+AQ273*AQ201+AR273*AR201+AS273*AS201+AT273*AT201+AU273*AU201+AV273*AV201+AW273*AW201+AX273*AX201+AY273*AY201+AZ273*AZ201+BA273*BA201+BB273*BB201+BC273*BC201+BD273*BD201+BE273*BE201+BF273*BF201+BG273*BG201+BH273*BH201+BI273*BI201+BJ273*BJ201+BK273*BK201+BL273*BL201+BM273*BM201+BN273*BN201+BO273*BO201+BP273*BP201+BQ273*BQ201+BR273*BR201+BS273*BS201+BT273*BT201+BU273*BU201+BV273*BV201+BW273*BW201+BX273*BX201+BY273*BY201+BZ273*BZ201+CA273*CA201+CB273*CB201+CC273*CC201+CD273*CD201+CE273*CE201+CF273*CF201+CG273*CG201+CH273*CH201+CI273*CI201+CJ273*CJ201+CK273*CK201+CL273*CL201+CM273*CM201+CN273*CN201+CO273*CO201+CP273*CP201+CQ273*CQ201+CR273*CR201+CS273*CS201</f>
        <v>0</v>
      </c>
      <c r="DD201" s="2504">
        <f>E274*E201+F274*F201+G274*G201+H274*H201+I274*I201+J274*J201+K274*K201+L274*L201+M274*M201+N274*N201+O274*O201+P274*P201+Q274*Q201+R274*R201+S274*S201+T274*T201+U274*U201+V274*V201+W274*W201+X274*X201+Y274*Y201+Z274*Z201+AA274*AA201+AB274*AB201+AC274*AC201+AD274*AD201+AE274*AE201+AF274*AF201+AG274*AG201+AH274*AH201+AI274*AI201+AJ274*AJ201+AK274*AK201+AL274*AL201+AM274*AM201+AN274*AN201+AO274*AO201+AP274*AP201+AQ274*AQ201+AR274*AR201+AS274*AS201+AT274*AT201+AU274*AU201+AV274*AV201+AW274*AW201+AX274*AX201+AY274*AY201+AZ274*AZ201+BA274*BA201+BB274*BB201+BC274*BC201+BD274*BD201+BE274*BE201+BF274*BF201+BG274*BG201+BH274*BH201+BI274*BI201+BJ274*BJ201+BK274*BK201+BL274*BL201+BM274*BM201+BN274*BN201+BO274*BO201+BP274*BP201+BQ274*BQ201+BR274*BR201+BS274*BS201+BT274*BT201+BU274*BU201+BV274*BV201+BW274*BW201+BX274*BX201+BY274*BY201+BZ274*BZ201+CA274*CA201+CB274*CB201+CC274*CC201+CD274*CD201+CE274*CE201+CF274*CF201+CG274*CG201+CH274*CH201+CI274*CI201+CJ274*CJ201+CK274*CK201+CL274*CL201+CM274*CM201+CN274*CN201+CO274*CO201+CP274*CP201+CQ274*CQ201+CR274*CR201+CS274*CS201</f>
        <v>0</v>
      </c>
      <c r="DE201" s="2504">
        <f>E275*E201+F275*F201+G275*G201+H275*H201+I275*I201+J275*J201+K275*K201+L275*L201+M275*M201+N275*N201+O275*O201+P275*P201+Q275*Q201+R275*R201+S275*S201+T275*T201+U275*U201+V275*V201+W275*W201+X275*X201+Y275*Y201+Z275*Z201+AA275*AA201+AB275*AB201+AC275*AC201+AD275*AD201+AE275*AE201+AF275*AF201+AG275*AG201+AH275*AH201+AI275*AI201+AJ275*AJ201+AK275*AK201+AL275*AL201+AM275*AM201+AN275*AN201+AO275*AO201+AP275*AP201+AQ275*AQ201+AR275*AR201+AS275*AS201+AT275*AT201+AU275*AU201+AV275*AV201+AW275*AW201+AX275*AX201+AY275*AY201+AZ275*AZ201+BA275*BA201+BB275*BB201+BC275*BC201+BD275*BD201+BE275*BE201+BF275*BF201+BG275*BG201+BH275*BH201+BI275*BI201+BJ275*BJ201+BK275*BK201+BL275*BL201+BM275*BM201+BN275*BN201+BO275*BO201+BP275*BP201+BQ275*BQ201+BR275*BR201+BS275*BS201+BT275*BT201+BU275*BU201+BV275*BV201+BW275*BW201+BX275*BX201+BY275*BY201+BZ275*BZ201+CA275*CA201+CB275*CB201+CC275*CC201+CD275*CD201+CE275*CE201+CF275*CF201+CG275*CG201+CH275*CH201+CI275*CI201+CJ275*CJ201+CK275*CK201+CL275*CL201+CM275*CM201+CN275*CN201+CO275*CO201+CP275*CP201+CQ275*CQ201+CR275*CR201+CS275*CS201</f>
        <v>0</v>
      </c>
      <c r="DF201" s="2504">
        <f>E276*E201+F276*F201+G276*G201+H276*H201+I276*I201+J276*J201+K276*K201+L276*L201+M276*M201+N276*N201+O276*O201+P276*P201+Q276*Q201+R276*R201+S276*S201+T276*T201+U276*U201+V276*V201+W276*W201+X276*X201+Y276*Y201+Z276*Z201+AA276*AA201+AB276*AB201+AC276*AC201+AD276*AD201+AE276*AE201+AF276*AF201+AG276*AG201+AH276*AH201+AI276*AI201+AJ276*AJ201+AK276*AK201+AL276*AL201+AM276*AM201+AN276*AN201+AO276*AO201+AP276*AP201+AQ276*AQ201+AR276*AR201+AS276*AS201+AT276*AT201+AU276*AU201+AV276*AV201+AW276*AW201+AX276*AX201+AY276*AY201+AZ276*AZ201+BA276*BA201+BB276*BB201+BC276*BC201+BD276*BD201+BE276*BE201+BF276*BF201+BG276*BG201+BH276*BH201+BI276*BI201+BJ276*BJ201+BK276*BK201+BL276*BL201+BM276*BM201+BN276*BN201+BO276*BO201+BP276*BP201+BQ276*BQ201+BR276*BR201+BS276*BS201+BT276*BT201+BU276*BU201+BV276*BV201+BW276*BW201+BX276*BX201+BY276*BY201+BZ276*BZ201+CA276*CA201+CB276*CB201+CC276*CC201+CD276*CD201+CE276*CE201+CF276*CF201+CG276*CG201+CH276*CH201+CI276*CI201+CJ276*CJ201+CK276*CK201+CL276*CL201+CM276*CM201+CN276*CN201+CO276*CO201+CP276*CP201+CQ276*CQ201+CR276*CR201+CS276*CS201</f>
        <v>0</v>
      </c>
    </row>
    <row r="202" spans="2:110" x14ac:dyDescent="0.25">
      <c r="B202" s="1581">
        <v>60</v>
      </c>
      <c r="C202" s="546" t="s">
        <v>2383</v>
      </c>
      <c r="D202" s="547" t="s">
        <v>305</v>
      </c>
      <c r="E202" s="505">
        <f>0</f>
        <v>0</v>
      </c>
      <c r="F202" s="505">
        <f>0</f>
        <v>0</v>
      </c>
      <c r="G202" s="505">
        <f>0</f>
        <v>0</v>
      </c>
      <c r="H202" s="505">
        <f>0</f>
        <v>0</v>
      </c>
      <c r="I202" s="505">
        <f>0</f>
        <v>0</v>
      </c>
      <c r="J202" s="505">
        <f>0</f>
        <v>0</v>
      </c>
      <c r="K202" s="505">
        <f>0</f>
        <v>0</v>
      </c>
      <c r="L202" s="505">
        <f>0</f>
        <v>0</v>
      </c>
      <c r="M202" s="505">
        <f>0</f>
        <v>0</v>
      </c>
      <c r="N202" s="505">
        <f>0</f>
        <v>0</v>
      </c>
      <c r="O202" s="505">
        <f>0</f>
        <v>0</v>
      </c>
      <c r="P202" s="505">
        <f>0</f>
        <v>0</v>
      </c>
      <c r="Q202" s="505">
        <f>0</f>
        <v>0</v>
      </c>
      <c r="R202" s="505">
        <f>0</f>
        <v>0</v>
      </c>
      <c r="S202" s="505">
        <f>0</f>
        <v>0</v>
      </c>
      <c r="T202" s="505">
        <f>0</f>
        <v>0</v>
      </c>
      <c r="U202" s="505">
        <f>0</f>
        <v>0</v>
      </c>
      <c r="V202" s="505">
        <f>0</f>
        <v>0</v>
      </c>
      <c r="W202" s="505">
        <f>0</f>
        <v>0</v>
      </c>
      <c r="X202" s="505">
        <f>0</f>
        <v>0</v>
      </c>
      <c r="Y202" s="505">
        <f>1</f>
        <v>1</v>
      </c>
      <c r="Z202" s="505">
        <f>0</f>
        <v>0</v>
      </c>
      <c r="AA202" s="505">
        <f>-i_N_BIO</f>
        <v>-7.0000000000000007E-2</v>
      </c>
      <c r="AB202" s="505">
        <f>0</f>
        <v>0</v>
      </c>
      <c r="AC202" s="505">
        <f>0</f>
        <v>0</v>
      </c>
      <c r="AD202" s="505">
        <f>0</f>
        <v>0</v>
      </c>
      <c r="AE202" s="505">
        <f>0</f>
        <v>0</v>
      </c>
      <c r="AF202" s="505">
        <f>0</f>
        <v>0</v>
      </c>
      <c r="AG202" s="505">
        <f>0</f>
        <v>0</v>
      </c>
      <c r="AH202" s="505">
        <f>0</f>
        <v>0</v>
      </c>
      <c r="AI202" s="505">
        <f>0</f>
        <v>0</v>
      </c>
      <c r="AJ202" s="505">
        <f>0</f>
        <v>0</v>
      </c>
      <c r="AK202" s="505">
        <f>0</f>
        <v>0</v>
      </c>
      <c r="AL202" s="505">
        <f>0</f>
        <v>0</v>
      </c>
      <c r="AM202" s="548">
        <f>-i_P_BIO</f>
        <v>-0.02</v>
      </c>
      <c r="AN202" s="505">
        <f>0</f>
        <v>0</v>
      </c>
      <c r="AO202" s="505">
        <f>0</f>
        <v>0</v>
      </c>
      <c r="AP202" s="505">
        <f>0</f>
        <v>0</v>
      </c>
      <c r="AQ202" s="505">
        <f>0</f>
        <v>0</v>
      </c>
      <c r="AR202" s="505">
        <f>0</f>
        <v>0</v>
      </c>
      <c r="AS202" s="505">
        <f>0</f>
        <v>0</v>
      </c>
      <c r="AT202" s="505">
        <f>(1-Y_HMETO)/Y_HMETO</f>
        <v>9</v>
      </c>
      <c r="AU202" s="548">
        <f>-1/Y_HMETO</f>
        <v>-10</v>
      </c>
      <c r="AV202" s="548">
        <f>-i_CIT_BIO-i_CIT_CH4*(1-Y_HMETO)/Y_HMETO</f>
        <v>-2.044</v>
      </c>
      <c r="AW202" s="548">
        <f>i_INORG</f>
        <v>0.11</v>
      </c>
      <c r="AX202" s="548">
        <f>-i_INORG*(1-i_Ca_INORG*(A_MCa+2*A_MCl)/A_MCa-i_Mg_INORG*(A_MMg+2*A_MCl)/A_MMg)*f_Na</f>
        <v>-2.8804303582798466E-2</v>
      </c>
      <c r="AY202" s="548">
        <f>-i_INORG*(i_Ca_INORG*(2*A_MCl)/A_MCa+i_Mg_INORG*(2*A_MCl)/A_MMg)-i_INORG*(1-i_Ca_INORG*(A_MCa+2*A_MCl)/A_MCa-i_Mg_INORG*(A_MMg+2*A_MCl)/A_MMg)*(1-f_Na)</f>
        <v>-7.0195696417201539E-2</v>
      </c>
      <c r="AZ202" s="548">
        <f>-i_INORG*i_Ca_INORG</f>
        <v>-5.5000000000000005E-3</v>
      </c>
      <c r="BA202" s="548">
        <f>-i_INORG*i_Mg_INORG</f>
        <v>-5.5000000000000005E-3</v>
      </c>
      <c r="BB202" s="548">
        <f>0</f>
        <v>0</v>
      </c>
      <c r="BC202" s="548">
        <f>0</f>
        <v>0</v>
      </c>
      <c r="BD202" s="548">
        <f>0</f>
        <v>0</v>
      </c>
      <c r="BE202" s="548">
        <f>0</f>
        <v>0</v>
      </c>
      <c r="BF202" s="548">
        <f>0</f>
        <v>0</v>
      </c>
      <c r="BG202" s="548">
        <f>0</f>
        <v>0</v>
      </c>
      <c r="BH202" s="548">
        <f>0</f>
        <v>0</v>
      </c>
      <c r="BI202" s="548">
        <f>0</f>
        <v>0</v>
      </c>
      <c r="BJ202" s="548">
        <f>0</f>
        <v>0</v>
      </c>
      <c r="BK202" s="548">
        <f>0</f>
        <v>0</v>
      </c>
      <c r="BL202" s="548">
        <f>0</f>
        <v>0</v>
      </c>
      <c r="BM202" s="548">
        <f>0</f>
        <v>0</v>
      </c>
      <c r="BN202" s="548">
        <f>0</f>
        <v>0</v>
      </c>
      <c r="BO202" s="548">
        <f>0</f>
        <v>0</v>
      </c>
      <c r="BP202" s="548">
        <f>0</f>
        <v>0</v>
      </c>
      <c r="BQ202" s="548">
        <f>0</f>
        <v>0</v>
      </c>
      <c r="BR202" s="548">
        <f>0</f>
        <v>0</v>
      </c>
      <c r="BS202" s="548">
        <f>0</f>
        <v>0</v>
      </c>
      <c r="BT202" s="548">
        <f>0</f>
        <v>0</v>
      </c>
      <c r="BU202" s="548">
        <f>0</f>
        <v>0</v>
      </c>
      <c r="BV202" s="548">
        <f>0</f>
        <v>0</v>
      </c>
      <c r="BW202" s="2364">
        <f>0</f>
        <v>0</v>
      </c>
      <c r="BX202" s="2364">
        <f>0</f>
        <v>0</v>
      </c>
      <c r="BY202" s="2364">
        <f>0</f>
        <v>0</v>
      </c>
      <c r="BZ202" s="2364">
        <f>0</f>
        <v>0</v>
      </c>
      <c r="CA202" s="548">
        <f>0</f>
        <v>0</v>
      </c>
      <c r="CB202" s="548">
        <f>0</f>
        <v>0</v>
      </c>
      <c r="CC202" s="548">
        <f>0</f>
        <v>0</v>
      </c>
      <c r="CD202" s="548">
        <f>0</f>
        <v>0</v>
      </c>
      <c r="CE202" s="548">
        <f>0</f>
        <v>0</v>
      </c>
      <c r="CF202" s="548">
        <f>0</f>
        <v>0</v>
      </c>
      <c r="CG202" s="548">
        <f>0</f>
        <v>0</v>
      </c>
      <c r="CH202" s="548">
        <f>0</f>
        <v>0</v>
      </c>
      <c r="CI202" s="548">
        <f>0</f>
        <v>0</v>
      </c>
      <c r="CJ202" s="548">
        <f>0</f>
        <v>0</v>
      </c>
      <c r="CK202" s="548">
        <f>0</f>
        <v>0</v>
      </c>
      <c r="CL202" s="548">
        <f>0</f>
        <v>0</v>
      </c>
      <c r="CM202" s="548">
        <f>0</f>
        <v>0</v>
      </c>
      <c r="CN202" s="548">
        <f>0</f>
        <v>0</v>
      </c>
      <c r="CO202" s="548">
        <f>0</f>
        <v>0</v>
      </c>
      <c r="CP202" s="548">
        <f>0</f>
        <v>0</v>
      </c>
      <c r="CQ202" s="548">
        <f>0</f>
        <v>0</v>
      </c>
      <c r="CR202" s="548">
        <f>0</f>
        <v>0</v>
      </c>
      <c r="CS202" s="548">
        <f>0</f>
        <v>0</v>
      </c>
      <c r="CT202" s="2487">
        <f>µ_HMETO_T*X_HMETO*M_satSCO2_KCO2_BIO*M_satSH2_KH2_HMETO*M_inhSO2_KiO2_HMETO*M_inhSNOx_KNO3_HMETO*M_satSNHx_KNHx_BIO*M_satSPO4_KPO4_BIO*M_satSCAT_KCAT*M_satSAN_KAN*M_satSCa_KCa*M_satSMg_KMg*B_ellinhpH_HMETO</f>
        <v>5.4356003550265865E-6</v>
      </c>
      <c r="CV202" s="2502">
        <f>E266*E202+F266*F202+G266*G202+H266*H202+I266*I202+J266*J202+K266*K202+L266*L202+M266*M202+N266*N202+O266*O202+P266*P202+Q266*Q202+R266*R202+S266*S202+T266*T202+U266*U202+V266*V202+W266*W202+X266*X202+Y266*Y202+Z266*Z202+AA266*AA202+AB266*AB202+AC266*AC202+AD266*AD202+AE266*AE202+AF266*AF202+AG266*AG202+AH266*AH202+AI266*AI202+AJ266*AJ202+AK266*AK202+AL266*AL202+AM266*AM202+AN266*AN202+AO266*AO202+AP266*AP202+AQ266*AQ202+AR266*AR202+AS266*AS202+AT266*AT202+AU266*AU202+AV266*AV202+AW266*AW202+AX266*AX202+AY266*AY202+AZ266*AZ202+BA266*BA202+BB266*BB202+BC266*BC202+BD266*BD202+BE266*BE202+BF266*BF202+BG266*BG202+BH266*BH202+BI266*BI202+BJ266*BJ202+BK266*BK202+BL266*BL202+BM266*BM202+BN266*BN202+BO266*BO202+BP266*BP202+BQ266*BQ202+BR266*BR202+BS266*BS202+BT266*BT202+BU266*BU202+BV266*BV202+BW266*BW202+BX266*BX202+BY266*BY202+BZ266*BZ202+CA266*CA202+CB266*CB202+CC266*CC202+CD266*CD202+CE266*CE202+CF266*CF202+CG266*CG202+CH266*CH202+CI266*CI202+CJ266*CJ202+CK266*CK202+CL266*CL202+CM266*CM202+CN266*CN202+CO266*CO202+CP266*CP202+CQ266*CQ202+CR266*CR202+CS266*CS202</f>
        <v>0</v>
      </c>
      <c r="CW202" s="2502">
        <f>E267*E202+F267*F202+G267*G202+H267*H202+I267*I202+J267*J202+K267*K202+L267*L202+M267*M202+N267*N202+O267*O202+P267*P202+Q267*Q202+R267*R202+S267*S202+T267*T202+U267*U202+V267*V202+W267*W202+X267*X202+Y267*Y202+Z267*Z202+AA267*AA202+AB267*AB202+AC267*AC202+AD267*AD202+AE267*AE202+AF267*AF202+AG267*AG202+AH267*AH202+AI267*AI202+AJ267*AJ202+AK267*AK202+AL267*AL202+AM267*AM202+AN267*AN202+AO267*AO202+AP267*AP202+AQ267*AQ202+AR267*AR202+AS267*AS202+AT267*AT202+AU267*AU202+AV267*AV202+AW267*AW202+AX267*AX202+AY267*AY202+AZ267*AZ202+BA267*BA202+BB267*BB202+BC267*BC202+BD267*BD202+BE267*BE202+BF267*BF202+BG267*BG202+BH267*BH202+BI267*BI202+BJ267*BJ202+BK267*BK202+BL267*BL202+BM267*BM202+BN267*BN202+BO267*BO202+BP267*BP202+BQ267*BQ202+BR267*BR202+BS267*BS202+BT267*BT202+BU267*BU202+BV267*BV202+BW267*BW202+BX267*BX202+BY267*BY202+BZ267*BZ202+CA267*CA202+CB267*CB202+CC267*CC202+CD267*CD202+CE267*CE202+CF267*CF202+CG267*CG202+CH267*CH202+CI267*CI202+CJ267*CJ202+CK267*CK202+CL267*CL202+CM267*CM202+CN267*CN202+CO267*CO202+CP267*CP202+CQ267*CQ202+CR267*CR202+CS267*CS202</f>
        <v>0</v>
      </c>
      <c r="CX202" s="2503">
        <f>E268*E202+F268*F202+G268*G202+H268*H202+I268*I202+J268*J202+K268*K202+L268*L202+M268*M202+N268*N202+O268*O202+P268*P202+Q268*Q202+R268*R202+S268*S202+T268*T202+U268*U202+V268*V202+W268*W202+X268*X202+Y268*Y202+Z268*Z202+AA268*AA202+AB268*AB202+AC268*AC202+AD268*AD202+AE268*AE202+AF268*AF202+AG268*AG202+AH268*AH202+AI268*AI202+AJ268*AJ202+AK268*AK202+AL268*AL202+AM268*AM202+AN268*AN202+AO268*AO202+AP268*AP202+AQ268*AQ202+AR268*AR202+AS268*AS202+AT268*AT202+AU268*AU202+AV268*AV202+AW268*AW202+AX268*AX202+AY268*AY202+AZ268*AZ202+BA268*BA202+BB268*BB202+BC268*BC202+BD268*BD202+BE268*BE202+BF268*BF202+BG268*BG202+BH268*BH202+BI268*BI202+BJ268*BJ202+BK268*BK202+BL268*BL202+BM268*BM202+BN268*BN202+BO268*BO202+BP268*BP202+BQ268*BQ202+BR268*BR202+BS268*BS202+BT268*BT202+BU268*BU202+BV268*BV202+BW268*BW202+BX268*BX202+BY268*BY202+BZ268*BZ202+CA268*CA202+CB268*CB202+CC268*CC202+CD268*CD202+CE268*CE202+CF268*CF202+CG268*CG202+CH268*CH202+CI268*CI202+CJ268*CJ202+CK268*CK202+CL268*CL202+CM268*CM202+CN268*CN202+CO268*CO202+CP268*CP202+CQ268*CQ202+CR268*CR202+CS268*CS202</f>
        <v>0</v>
      </c>
      <c r="CY202" s="2504">
        <f>E269*E202+F269*F202+G269*G202+H269*H202+I269*I202+J269*J202+K269*K202+L269*L202+M269*M202+N269*N202+O269*O202+P269*P202+Q269*Q202+R269*R202+S269*S202+T269*T202+U269*U202+V269*V202+W269*W202+X269*X202+Y269*Y202+Z269*Z202+AA269*AA202+AB269*AB202+AC269*AC202+AD269*AD202+AE269*AE202+AF269*AF202+AG269*AG202+AH269*AH202+AI269*AI202+AJ269*AJ202+AK269*AK202+AL269*AL202+AM269*AM202+AN269*AN202+AO269*AO202+AP269*AP202+AQ269*AQ202+AR269*AR202+AS269*AS202+AT269*AT202+AU269*AU202+AV269*AV202+AW269*AW202+AX269*AX202+AY269*AY202+AZ269*AZ202+BA269*BA202+BB269*BB202+BC269*BC202+BD269*BD202+BE269*BE202+BF269*BF202+BG269*BG202+BH269*BH202+BI269*BI202+BJ269*BJ202+BK269*BK202+BL269*BL202+BM269*BM202+BN269*BN202+BO269*BO202+BP269*BP202+BQ269*BQ202+BR269*BR202+BS269*BS202+BT269*BT202+BU269*BU202+BV269*BV202+BW269*BW202+BX269*BX202+BY269*BY202+BZ269*BZ202+CA269*CA202+CB269*CB202+CC269*CC202+CD269*CD202+CE269*CE202+CF269*CF202+CG269*CG202+CH269*CH202+CI269*CI202+CJ269*CJ202+CK269*CK202+CL269*CL202+CM269*CM202+CN269*CN202+CO269*CO202+CP269*CP202+CQ269*CQ202+CR269*CR202+CS269*CS202</f>
        <v>0</v>
      </c>
      <c r="CZ202" s="2504">
        <f>E270*E202+F270*F202+G270*G202+H270*H202+I270*I202+J270*J202+K270*K202+L270*L202+M270*M202+N270*N202+O270*O202+P270*P202+Q270*Q202+R270*R202+S270*S202+T270*T202+U270*U202+V270*V202+W270*W202+X270*X202+Y270*Y202+Z270*Z202+AA270*AA202+AB270*AB202+AC270*AC202+AD270*AD202+AE270*AE202+AF270*AF202+AG270*AG202+AH270*AH202+AI270*AI202+AJ270*AJ202+AK270*AK202+AL270*AL202+AM270*AM202+AN270*AN202+AO270*AO202+AP270*AP202+AQ270*AQ202+AR270*AR202+AS270*AS202+AT270*AT202+AU270*AU202+AV270*AV202+AW270*AW202+AX270*AX202+AY270*AY202+AZ270*AZ202+BA270*BA202+BB270*BB202+BC270*BC202+BD270*BD202+BE270*BE202+BF270*BF202+BG270*BG202+BH270*BH202+BI270*BI202+BJ270*BJ202+BK270*BK202+BL270*BL202+BM270*BM202+BN270*BN202+BO270*BO202+BP270*BP202+BQ270*BQ202+BR270*BR202+BS270*BS202+BT270*BT202+BU270*BU202+BV270*BV202+BW270*BW202+BX270*BX202+BY270*BY202+BZ270*BZ202+CA270*CA202+CB270*CB202+CC270*CC202+CD270*CD202+CE270*CE202+CF270*CF202+CG270*CG202+CH270*CH202+CI270*CI202+CJ270*CJ202+CK270*CK202+CL270*CL202+CM270*CM202+CN270*CN202+CO270*CO202+CP270*CP202+CQ270*CQ202+CR270*CR202+CS270*CS202</f>
        <v>0</v>
      </c>
      <c r="DA202" s="2504">
        <f>E271*E202+F271*F202+G271*G202+H271*H202+I271*I202+J271*J202+K271*K202+L271*L202+M271*M202+N271*N202+O271*O202+P271*P202+Q271*Q202+R271*R202+S271*S202+T271*T202+U271*U202+V271*V202+W271*W202+X271*X202+Y271*Y202+Z271*Z202+AA271*AA202+AB271*AB202+AC271*AC202+AD271*AD202+AE271*AE202+AF271*AF202+AG271*AG202+AH271*AH202+AI271*AI202+AJ271*AJ202+AK271*AK202+AL271*AL202+AM271*AM202+AN271*AN202+AO271*AO202+AP271*AP202+AQ271*AQ202+AR271*AR202+AS271*AS202+AT271*AT202+AU271*AU202+AV271*AV202+AW271*AW202+AX271*AX202+AY271*AY202+AZ271*AZ202+BA271*BA202+BB271*BB202+BC271*BC202+BD271*BD202+BE271*BE202+BF271*BF202+BG271*BG202+BH271*BH202+BI271*BI202+BJ271*BJ202+BK271*BK202+BL271*BL202+BM271*BM202+BN271*BN202+BO271*BO202+BP271*BP202+BQ271*BQ202+BR271*BR202+BS271*BS202+BT271*BT202+BU271*BU202+BV271*BV202+BW271*BW202+BX271*BX202+BY271*BY202+BZ271*BZ202+CA271*CA202+CB271*CB202+CC271*CC202+CD271*CD202+CE271*CE202+CF271*CF202+CG271*CG202+CH271*CH202+CI271*CI202+CJ271*CJ202+CK271*CK202+CL271*CL202+CM271*CM202+CN271*CN202+CO271*CO202+CP271*CP202+CQ271*CQ202+CR271*CR202+CS271*CS202</f>
        <v>0</v>
      </c>
      <c r="DB202" s="2504">
        <f>E272*E202+F272*F202+G272*G202+H272*H202+I272*I202+J272*J202+K272*K202+L272*L202+M272*M202+N272*N202+O272*O202+P272*P202+Q272*Q202+R272*R202+S272*S202+T272*T202+U272*U202+V272*V202+W272*W202+X272*X202+Y272*Y202+Z272*Z202+AA272*AA202+AB272*AB202+AC272*AC202+AD272*AD202+AE272*AE202+AF272*AF202+AG272*AG202+AH272*AH202+AI272*AI202+AJ272*AJ202+AK272*AK202+AL272*AL202+AM272*AM202+AN272*AN202+AO272*AO202+AP272*AP202+AQ272*AQ202+AR272*AR202+AS272*AS202+AT272*AT202+AU272*AU202+AV272*AV202+AW272*AW202+AX272*AX202+AY272*AY202+AZ272*AZ202+BA272*BA202+BB272*BB202+BC272*BC202+BD272*BD202+BE272*BE202+BF272*BF202+BG272*BG202+BH272*BH202+BI272*BI202+BJ272*BJ202+BK272*BK202+BL272*BL202+BM272*BM202+BN272*BN202+BO272*BO202+BP272*BP202+BQ272*BQ202+BR272*BR202+BS272*BS202+BT272*BT202+BU272*BU202+BV272*BV202+BW272*BW202+BX272*BX202+BY272*BY202+BZ272*BZ202+CA272*CA202+CB272*CB202+CC272*CC202+CD272*CD202+CE272*CE202+CF272*CF202+CG272*CG202+CH272*CH202+CI272*CI202+CJ272*CJ202+CK272*CK202+CL272*CL202+CM272*CM202+CN272*CN202+CO272*CO202+CP272*CP202+CQ272*CQ202+CR272*CR202+CS272*CS202</f>
        <v>0</v>
      </c>
      <c r="DC202" s="2504">
        <f>E273*E202+F273*F202+G273*G202+H273*H202+I273*I202+J273*J202+K273*K202+L273*L202+M273*M202+N273*N202+O273*O202+P273*P202+Q273*Q202+R273*R202+S273*S202+T273*T202+U273*U202+V273*V202+W273*W202+X273*X202+Y273*Y202+Z273*Z202+AA273*AA202+AB273*AB202+AC273*AC202+AD273*AD202+AE273*AE202+AF273*AF202+AG273*AG202+AH273*AH202+AI273*AI202+AJ273*AJ202+AK273*AK202+AL273*AL202+AM273*AM202+AN273*AN202+AO273*AO202+AP273*AP202+AQ273*AQ202+AR273*AR202+AS273*AS202+AT273*AT202+AU273*AU202+AV273*AV202+AW273*AW202+AX273*AX202+AY273*AY202+AZ273*AZ202+BA273*BA202+BB273*BB202+BC273*BC202+BD273*BD202+BE273*BE202+BF273*BF202+BG273*BG202+BH273*BH202+BI273*BI202+BJ273*BJ202+BK273*BK202+BL273*BL202+BM273*BM202+BN273*BN202+BO273*BO202+BP273*BP202+BQ273*BQ202+BR273*BR202+BS273*BS202+BT273*BT202+BU273*BU202+BV273*BV202+BW273*BW202+BX273*BX202+BY273*BY202+BZ273*BZ202+CA273*CA202+CB273*CB202+CC273*CC202+CD273*CD202+CE273*CE202+CF273*CF202+CG273*CG202+CH273*CH202+CI273*CI202+CJ273*CJ202+CK273*CK202+CL273*CL202+CM273*CM202+CN273*CN202+CO273*CO202+CP273*CP202+CQ273*CQ202+CR273*CR202+CS273*CS202</f>
        <v>0</v>
      </c>
      <c r="DD202" s="2504">
        <f>E274*E202+F274*F202+G274*G202+H274*H202+I274*I202+J274*J202+K274*K202+L274*L202+M274*M202+N274*N202+O274*O202+P274*P202+Q274*Q202+R274*R202+S274*S202+T274*T202+U274*U202+V274*V202+W274*W202+X274*X202+Y274*Y202+Z274*Z202+AA274*AA202+AB274*AB202+AC274*AC202+AD274*AD202+AE274*AE202+AF274*AF202+AG274*AG202+AH274*AH202+AI274*AI202+AJ274*AJ202+AK274*AK202+AL274*AL202+AM274*AM202+AN274*AN202+AO274*AO202+AP274*AP202+AQ274*AQ202+AR274*AR202+AS274*AS202+AT274*AT202+AU274*AU202+AV274*AV202+AW274*AW202+AX274*AX202+AY274*AY202+AZ274*AZ202+BA274*BA202+BB274*BB202+BC274*BC202+BD274*BD202+BE274*BE202+BF274*BF202+BG274*BG202+BH274*BH202+BI274*BI202+BJ274*BJ202+BK274*BK202+BL274*BL202+BM274*BM202+BN274*BN202+BO274*BO202+BP274*BP202+BQ274*BQ202+BR274*BR202+BS274*BS202+BT274*BT202+BU274*BU202+BV274*BV202+BW274*BW202+BX274*BX202+BY274*BY202+BZ274*BZ202+CA274*CA202+CB274*CB202+CC274*CC202+CD274*CD202+CE274*CE202+CF274*CF202+CG274*CG202+CH274*CH202+CI274*CI202+CJ274*CJ202+CK274*CK202+CL274*CL202+CM274*CM202+CN274*CN202+CO274*CO202+CP274*CP202+CQ274*CQ202+CR274*CR202+CS274*CS202</f>
        <v>0</v>
      </c>
      <c r="DE202" s="2504">
        <f>E275*E202+F275*F202+G275*G202+H275*H202+I275*I202+J275*J202+K275*K202+L275*L202+M275*M202+N275*N202+O275*O202+P275*P202+Q275*Q202+R275*R202+S275*S202+T275*T202+U275*U202+V275*V202+W275*W202+X275*X202+Y275*Y202+Z275*Z202+AA275*AA202+AB275*AB202+AC275*AC202+AD275*AD202+AE275*AE202+AF275*AF202+AG275*AG202+AH275*AH202+AI275*AI202+AJ275*AJ202+AK275*AK202+AL275*AL202+AM275*AM202+AN275*AN202+AO275*AO202+AP275*AP202+AQ275*AQ202+AR275*AR202+AS275*AS202+AT275*AT202+AU275*AU202+AV275*AV202+AW275*AW202+AX275*AX202+AY275*AY202+AZ275*AZ202+BA275*BA202+BB275*BB202+BC275*BC202+BD275*BD202+BE275*BE202+BF275*BF202+BG275*BG202+BH275*BH202+BI275*BI202+BJ275*BJ202+BK275*BK202+BL275*BL202+BM275*BM202+BN275*BN202+BO275*BO202+BP275*BP202+BQ275*BQ202+BR275*BR202+BS275*BS202+BT275*BT202+BU275*BU202+BV275*BV202+BW275*BW202+BX275*BX202+BY275*BY202+BZ275*BZ202+CA275*CA202+CB275*CB202+CC275*CC202+CD275*CD202+CE275*CE202+CF275*CF202+CG275*CG202+CH275*CH202+CI275*CI202+CJ275*CJ202+CK275*CK202+CL275*CL202+CM275*CM202+CN275*CN202+CO275*CO202+CP275*CP202+CQ275*CQ202+CR275*CR202+CS275*CS202</f>
        <v>0</v>
      </c>
      <c r="DF202" s="2504">
        <f>E276*E202+F276*F202+G276*G202+H276*H202+I276*I202+J276*J202+K276*K202+L276*L202+M276*M202+N276*N202+O276*O202+P276*P202+Q276*Q202+R276*R202+S276*S202+T276*T202+U276*U202+V276*V202+W276*W202+X276*X202+Y276*Y202+Z276*Z202+AA276*AA202+AB276*AB202+AC276*AC202+AD276*AD202+AE276*AE202+AF276*AF202+AG276*AG202+AH276*AH202+AI276*AI202+AJ276*AJ202+AK276*AK202+AL276*AL202+AM276*AM202+AN276*AN202+AO276*AO202+AP276*AP202+AQ276*AQ202+AR276*AR202+AS276*AS202+AT276*AT202+AU276*AU202+AV276*AV202+AW276*AW202+AX276*AX202+AY276*AY202+AZ276*AZ202+BA276*BA202+BB276*BB202+BC276*BC202+BD276*BD202+BE276*BE202+BF276*BF202+BG276*BG202+BH276*BH202+BI276*BI202+BJ276*BJ202+BK276*BK202+BL276*BL202+BM276*BM202+BN276*BN202+BO276*BO202+BP276*BP202+BQ276*BQ202+BR276*BR202+BS276*BS202+BT276*BT202+BU276*BU202+BV276*BV202+BW276*BW202+BX276*BX202+BY276*BY202+BZ276*BZ202+CA276*CA202+CB276*CB202+CC276*CC202+CD276*CD202+CE276*CE202+CF276*CF202+CG276*CG202+CH276*CH202+CI276*CI202+CJ276*CJ202+CK276*CK202+CL276*CL202+CM276*CM202+CN276*CN202+CO276*CO202+CP276*CP202+CQ276*CQ202+CR276*CR202+CS276*CS202</f>
        <v>0</v>
      </c>
    </row>
    <row r="203" spans="2:110" x14ac:dyDescent="0.25">
      <c r="B203" s="1581">
        <v>61</v>
      </c>
      <c r="C203" s="546" t="s">
        <v>2384</v>
      </c>
      <c r="D203" s="547" t="s">
        <v>295</v>
      </c>
      <c r="E203" s="505">
        <f>0</f>
        <v>0</v>
      </c>
      <c r="F203" s="505">
        <f>0</f>
        <v>0</v>
      </c>
      <c r="G203" s="505">
        <f>0</f>
        <v>0</v>
      </c>
      <c r="H203" s="505">
        <f>0</f>
        <v>0</v>
      </c>
      <c r="I203" s="505">
        <f>0</f>
        <v>0</v>
      </c>
      <c r="J203" s="505">
        <f>1-f_E</f>
        <v>0.92</v>
      </c>
      <c r="K203" s="505">
        <f>0</f>
        <v>0</v>
      </c>
      <c r="L203" s="505">
        <f>0</f>
        <v>0</v>
      </c>
      <c r="M203" s="505">
        <f>0</f>
        <v>0</v>
      </c>
      <c r="N203" s="505">
        <f>0</f>
        <v>0</v>
      </c>
      <c r="O203" s="505">
        <f>0</f>
        <v>0</v>
      </c>
      <c r="P203" s="505">
        <f>f_E</f>
        <v>0.08</v>
      </c>
      <c r="Q203" s="505">
        <f>0</f>
        <v>0</v>
      </c>
      <c r="R203" s="505">
        <f>0</f>
        <v>0</v>
      </c>
      <c r="S203" s="505">
        <f>0</f>
        <v>0</v>
      </c>
      <c r="T203" s="505">
        <f>0</f>
        <v>0</v>
      </c>
      <c r="U203" s="505">
        <f>0</f>
        <v>0</v>
      </c>
      <c r="V203" s="505">
        <f>0</f>
        <v>0</v>
      </c>
      <c r="W203" s="505">
        <f>0</f>
        <v>0</v>
      </c>
      <c r="X203" s="505">
        <f>0</f>
        <v>0</v>
      </c>
      <c r="Y203" s="505">
        <f>-1</f>
        <v>-1</v>
      </c>
      <c r="Z203" s="505">
        <f>0</f>
        <v>0</v>
      </c>
      <c r="AA203" s="505">
        <f>-f_E*(i_N_XE-i_N_BIO)</f>
        <v>8.0000000000000069E-4</v>
      </c>
      <c r="AB203" s="505">
        <f>0</f>
        <v>0</v>
      </c>
      <c r="AC203" s="505">
        <f>0</f>
        <v>0</v>
      </c>
      <c r="AD203" s="505">
        <f>0</f>
        <v>0</v>
      </c>
      <c r="AE203" s="505">
        <f>0</f>
        <v>0</v>
      </c>
      <c r="AF203" s="505">
        <f>0</f>
        <v>0</v>
      </c>
      <c r="AG203" s="505">
        <f>0</f>
        <v>0</v>
      </c>
      <c r="AH203" s="505">
        <f>0</f>
        <v>0</v>
      </c>
      <c r="AI203" s="505">
        <f>0</f>
        <v>0</v>
      </c>
      <c r="AJ203" s="505">
        <f>0</f>
        <v>0</v>
      </c>
      <c r="AK203" s="505">
        <f>(1-f_E)*i_N_BIO</f>
        <v>6.4400000000000013E-2</v>
      </c>
      <c r="AL203" s="505">
        <f>0</f>
        <v>0</v>
      </c>
      <c r="AM203" s="505">
        <f>0</f>
        <v>0</v>
      </c>
      <c r="AN203" s="505">
        <f>0</f>
        <v>0</v>
      </c>
      <c r="AO203" s="505">
        <f>0</f>
        <v>0</v>
      </c>
      <c r="AP203" s="505">
        <f>0</f>
        <v>0</v>
      </c>
      <c r="AQ203" s="505">
        <f>(1-f_E)*i_P_BIO</f>
        <v>1.84E-2</v>
      </c>
      <c r="AR203" s="505">
        <f>0</f>
        <v>0</v>
      </c>
      <c r="AS203" s="505">
        <f>0</f>
        <v>0</v>
      </c>
      <c r="AT203" s="505">
        <f>0</f>
        <v>0</v>
      </c>
      <c r="AU203" s="505">
        <f>0</f>
        <v>0</v>
      </c>
      <c r="AV203" s="505">
        <f>(1-f_E)*(i_CIT_BIO-i_CIT_XBe)</f>
        <v>6.0720000000000003E-2</v>
      </c>
      <c r="AW203" s="505">
        <f>0</f>
        <v>0</v>
      </c>
      <c r="AX203" s="505">
        <f>0</f>
        <v>0</v>
      </c>
      <c r="AY203" s="505">
        <f>0</f>
        <v>0</v>
      </c>
      <c r="AZ203" s="505">
        <f>0</f>
        <v>0</v>
      </c>
      <c r="BA203" s="505">
        <f>0</f>
        <v>0</v>
      </c>
      <c r="BB203" s="505">
        <f>0</f>
        <v>0</v>
      </c>
      <c r="BC203" s="505">
        <f>0</f>
        <v>0</v>
      </c>
      <c r="BD203" s="505">
        <f>0</f>
        <v>0</v>
      </c>
      <c r="BE203" s="505">
        <f>0</f>
        <v>0</v>
      </c>
      <c r="BF203" s="505">
        <f>0</f>
        <v>0</v>
      </c>
      <c r="BG203" s="505">
        <f>0</f>
        <v>0</v>
      </c>
      <c r="BH203" s="505">
        <f>0</f>
        <v>0</v>
      </c>
      <c r="BI203" s="505">
        <f>0</f>
        <v>0</v>
      </c>
      <c r="BJ203" s="505">
        <f>0</f>
        <v>0</v>
      </c>
      <c r="BK203" s="505">
        <f>0</f>
        <v>0</v>
      </c>
      <c r="BL203" s="505">
        <f>0</f>
        <v>0</v>
      </c>
      <c r="BM203" s="505">
        <f>0</f>
        <v>0</v>
      </c>
      <c r="BN203" s="505">
        <f>0</f>
        <v>0</v>
      </c>
      <c r="BO203" s="505">
        <f>0</f>
        <v>0</v>
      </c>
      <c r="BP203" s="505">
        <f>0</f>
        <v>0</v>
      </c>
      <c r="BQ203" s="505">
        <f>0</f>
        <v>0</v>
      </c>
      <c r="BR203" s="505">
        <f>0</f>
        <v>0</v>
      </c>
      <c r="BS203" s="505">
        <f>0</f>
        <v>0</v>
      </c>
      <c r="BT203" s="505">
        <f>0</f>
        <v>0</v>
      </c>
      <c r="BU203" s="505">
        <f>0</f>
        <v>0</v>
      </c>
      <c r="BV203" s="505">
        <f>0</f>
        <v>0</v>
      </c>
      <c r="BW203" s="2365">
        <f>0</f>
        <v>0</v>
      </c>
      <c r="BX203" s="2365">
        <f>0</f>
        <v>0</v>
      </c>
      <c r="BY203" s="2365">
        <f>0</f>
        <v>0</v>
      </c>
      <c r="BZ203" s="2365">
        <f>0</f>
        <v>0</v>
      </c>
      <c r="CA203" s="505">
        <f>0</f>
        <v>0</v>
      </c>
      <c r="CB203" s="505">
        <f>0</f>
        <v>0</v>
      </c>
      <c r="CC203" s="505">
        <f>0</f>
        <v>0</v>
      </c>
      <c r="CD203" s="505">
        <f>0</f>
        <v>0</v>
      </c>
      <c r="CE203" s="505">
        <f>0</f>
        <v>0</v>
      </c>
      <c r="CF203" s="505">
        <f>0</f>
        <v>0</v>
      </c>
      <c r="CG203" s="505">
        <f>0</f>
        <v>0</v>
      </c>
      <c r="CH203" s="505">
        <f>0</f>
        <v>0</v>
      </c>
      <c r="CI203" s="505">
        <f>0</f>
        <v>0</v>
      </c>
      <c r="CJ203" s="505">
        <f>0</f>
        <v>0</v>
      </c>
      <c r="CK203" s="505">
        <f>0</f>
        <v>0</v>
      </c>
      <c r="CL203" s="505">
        <f>0</f>
        <v>0</v>
      </c>
      <c r="CM203" s="505">
        <f>0</f>
        <v>0</v>
      </c>
      <c r="CN203" s="505">
        <f>0</f>
        <v>0</v>
      </c>
      <c r="CO203" s="505">
        <f>0</f>
        <v>0</v>
      </c>
      <c r="CP203" s="505">
        <f>0</f>
        <v>0</v>
      </c>
      <c r="CQ203" s="505">
        <f>0</f>
        <v>0</v>
      </c>
      <c r="CR203" s="505">
        <f>0</f>
        <v>0</v>
      </c>
      <c r="CS203" s="505">
        <f>0</f>
        <v>0</v>
      </c>
      <c r="CT203" s="2487">
        <f>b_HMETO_T*X_HMETO*(m_tox_aer*M_satSO2_KiO2_HMETO+m_tox_anox*M_satSNOx_KNO3_HMETO*M_inhSO2_KiO2_HMETO)</f>
        <v>0.25679848448969933</v>
      </c>
      <c r="CV203" s="2502">
        <f>E266*E203+F266*F203+G266*G203+H266*H203+I266*I203+J266*J203+K266*K203+L266*L203+M266*M203+N266*N203+O266*O203+P266*P203+Q266*Q203+R266*R203+S266*S203+T266*T203+U266*U203+V266*V203+W266*W203+X266*X203+Y266*Y203+Z266*Z203+AA266*AA203+AB266*AB203+AC266*AC203+AD266*AD203+AE266*AE203+AF266*AF203+AG266*AG203+AH266*AH203+AI266*AI203+AJ266*AJ203+AK266*AK203+AL266*AL203+AM266*AM203+AN266*AN203+AO266*AO203+AP266*AP203+AQ266*AQ203+AR266*AR203+AS266*AS203+AT266*AT203+AU266*AU203+AV266*AV203+AW266*AW203+AX266*AX203+AY266*AY203+AZ266*AZ203+BA266*BA203+BB266*BB203+BC266*BC203+BD266*BD203+BE266*BE203+BF266*BF203+BG266*BG203+BH266*BH203+BI266*BI203+BJ266*BJ203+BK266*BK203+BL266*BL203+BM266*BM203+BN266*BN203+BO266*BO203+BP266*BP203+BQ266*BQ203+BR266*BR203+BS266*BS203+BT266*BT203+BU266*BU203+BV266*BV203+BW266*BW203+BX266*BX203+BY266*BY203+BZ266*BZ203+CA266*CA203+CB266*CB203+CC266*CC203+CD266*CD203+CE266*CE203+CF266*CF203+CG266*CG203+CH266*CH203+CI266*CI203+CJ266*CJ203+CK266*CK203+CL266*CL203+CM266*CM203+CN266*CN203+CO266*CO203+CP266*CP203+CQ266*CQ203+CR266*CR203+CS266*CS203</f>
        <v>0</v>
      </c>
      <c r="CW203" s="2502">
        <f>E267*E203+F267*F203+G267*G203+H267*H203+I267*I203+J267*J203+K267*K203+L267*L203+M267*M203+N267*N203+O267*O203+P267*P203+Q267*Q203+R267*R203+S267*S203+T267*T203+U267*U203+V267*V203+W267*W203+X267*X203+Y267*Y203+Z267*Z203+AA267*AA203+AB267*AB203+AC267*AC203+AD267*AD203+AE267*AE203+AF267*AF203+AG267*AG203+AH267*AH203+AI267*AI203+AJ267*AJ203+AK267*AK203+AL267*AL203+AM267*AM203+AN267*AN203+AO267*AO203+AP267*AP203+AQ267*AQ203+AR267*AR203+AS267*AS203+AT267*AT203+AU267*AU203+AV267*AV203+AW267*AW203+AX267*AX203+AY267*AY203+AZ267*AZ203+BA267*BA203+BB267*BB203+BC267*BC203+BD267*BD203+BE267*BE203+BF267*BF203+BG267*BG203+BH267*BH203+BI267*BI203+BJ267*BJ203+BK267*BK203+BL267*BL203+BM267*BM203+BN267*BN203+BO267*BO203+BP267*BP203+BQ267*BQ203+BR267*BR203+BS267*BS203+BT267*BT203+BU267*BU203+BV267*BV203+BW267*BW203+BX267*BX203+BY267*BY203+BZ267*BZ203+CA267*CA203+CB267*CB203+CC267*CC203+CD267*CD203+CE267*CE203+CF267*CF203+CG267*CG203+CH267*CH203+CI267*CI203+CJ267*CJ203+CK267*CK203+CL267*CL203+CM267*CM203+CN267*CN203+CO267*CO203+CP267*CP203+CQ267*CQ203+CR267*CR203+CS267*CS203</f>
        <v>6.9388939039072284E-18</v>
      </c>
      <c r="CX203" s="2503">
        <f>E268*E203+F268*F203+G268*G203+H268*H203+I268*I203+J268*J203+K268*K203+L268*L203+M268*M203+N268*N203+O268*O203+P268*P203+Q268*Q203+R268*R203+S268*S203+T268*T203+U268*U203+V268*V203+W268*W203+X268*X203+Y268*Y203+Z268*Z203+AA268*AA203+AB268*AB203+AC268*AC203+AD268*AD203+AE268*AE203+AF268*AF203+AG268*AG203+AH268*AH203+AI268*AI203+AJ268*AJ203+AK268*AK203+AL268*AL203+AM268*AM203+AN268*AN203+AO268*AO203+AP268*AP203+AQ268*AQ203+AR268*AR203+AS268*AS203+AT268*AT203+AU268*AU203+AV268*AV203+AW268*AW203+AX268*AX203+AY268*AY203+AZ268*AZ203+BA268*BA203+BB268*BB203+BC268*BC203+BD268*BD203+BE268*BE203+BF268*BF203+BG268*BG203+BH268*BH203+BI268*BI203+BJ268*BJ203+BK268*BK203+BL268*BL203+BM268*BM203+BN268*BN203+BO268*BO203+BP268*BP203+BQ268*BQ203+BR268*BR203+BS268*BS203+BT268*BT203+BU268*BU203+BV268*BV203+BW268*BW203+BX268*BX203+BY268*BY203+BZ268*BZ203+CA268*CA203+CB268*CB203+CC268*CC203+CD268*CD203+CE268*CE203+CF268*CF203+CG268*CG203+CH268*CH203+CI268*CI203+CJ268*CJ203+CK268*CK203+CL268*CL203+CM268*CM203+CN268*CN203+CO268*CO203+CP268*CP203+CQ268*CQ203+CR268*CR203+CS268*CS203</f>
        <v>0</v>
      </c>
      <c r="CY203" s="2504">
        <f>E269*E203+F269*F203+G269*G203+H269*H203+I269*I203+J269*J203+K269*K203+L269*L203+M269*M203+N269*N203+O269*O203+P269*P203+Q269*Q203+R269*R203+S269*S203+T269*T203+U269*U203+V269*V203+W269*W203+X269*X203+Y269*Y203+Z269*Z203+AA269*AA203+AB269*AB203+AC269*AC203+AD269*AD203+AE269*AE203+AF269*AF203+AG269*AG203+AH269*AH203+AI269*AI203+AJ269*AJ203+AK269*AK203+AL269*AL203+AM269*AM203+AN269*AN203+AO269*AO203+AP269*AP203+AQ269*AQ203+AR269*AR203+AS269*AS203+AT269*AT203+AU269*AU203+AV269*AV203+AW269*AW203+AX269*AX203+AY269*AY203+AZ269*AZ203+BA269*BA203+BB269*BB203+BC269*BC203+BD269*BD203+BE269*BE203+BF269*BF203+BG269*BG203+BH269*BH203+BI269*BI203+BJ269*BJ203+BK269*BK203+BL269*BL203+BM269*BM203+BN269*BN203+BO269*BO203+BP269*BP203+BQ269*BQ203+BR269*BR203+BS269*BS203+BT269*BT203+BU269*BU203+BV269*BV203+BW269*BW203+BX269*BX203+BY269*BY203+BZ269*BZ203+CA269*CA203+CB269*CB203+CC269*CC203+CD269*CD203+CE269*CE203+CF269*CF203+CG269*CG203+CH269*CH203+CI269*CI203+CJ269*CJ203+CK269*CK203+CL269*CL203+CM269*CM203+CN269*CN203+CO269*CO203+CP269*CP203+CQ269*CQ203+CR269*CR203+CS269*CS203</f>
        <v>0</v>
      </c>
      <c r="CZ203" s="2504">
        <f>E270*E203+F270*F203+G270*G203+H270*H203+I270*I203+J270*J203+K270*K203+L270*L203+M270*M203+N270*N203+O270*O203+P270*P203+Q270*Q203+R270*R203+S270*S203+T270*T203+U270*U203+V270*V203+W270*W203+X270*X203+Y270*Y203+Z270*Z203+AA270*AA203+AB270*AB203+AC270*AC203+AD270*AD203+AE270*AE203+AF270*AF203+AG270*AG203+AH270*AH203+AI270*AI203+AJ270*AJ203+AK270*AK203+AL270*AL203+AM270*AM203+AN270*AN203+AO270*AO203+AP270*AP203+AQ270*AQ203+AR270*AR203+AS270*AS203+AT270*AT203+AU270*AU203+AV270*AV203+AW270*AW203+AX270*AX203+AY270*AY203+AZ270*AZ203+BA270*BA203+BB270*BB203+BC270*BC203+BD270*BD203+BE270*BE203+BF270*BF203+BG270*BG203+BH270*BH203+BI270*BI203+BJ270*BJ203+BK270*BK203+BL270*BL203+BM270*BM203+BN270*BN203+BO270*BO203+BP270*BP203+BQ270*BQ203+BR270*BR203+BS270*BS203+BT270*BT203+BU270*BU203+BV270*BV203+BW270*BW203+BX270*BX203+BY270*BY203+BZ270*BZ203+CA270*CA203+CB270*CB203+CC270*CC203+CD270*CD203+CE270*CE203+CF270*CF203+CG270*CG203+CH270*CH203+CI270*CI203+CJ270*CJ203+CK270*CK203+CL270*CL203+CM270*CM203+CN270*CN203+CO270*CO203+CP270*CP203+CQ270*CQ203+CR270*CR203+CS270*CS203</f>
        <v>0</v>
      </c>
      <c r="DA203" s="2504">
        <f>E271*E203+F271*F203+G271*G203+H271*H203+I271*I203+J271*J203+K271*K203+L271*L203+M271*M203+N271*N203+O271*O203+P271*P203+Q271*Q203+R271*R203+S271*S203+T271*T203+U271*U203+V271*V203+W271*W203+X271*X203+Y271*Y203+Z271*Z203+AA271*AA203+AB271*AB203+AC271*AC203+AD271*AD203+AE271*AE203+AF271*AF203+AG271*AG203+AH271*AH203+AI271*AI203+AJ271*AJ203+AK271*AK203+AL271*AL203+AM271*AM203+AN271*AN203+AO271*AO203+AP271*AP203+AQ271*AQ203+AR271*AR203+AS271*AS203+AT271*AT203+AU271*AU203+AV271*AV203+AW271*AW203+AX271*AX203+AY271*AY203+AZ271*AZ203+BA271*BA203+BB271*BB203+BC271*BC203+BD271*BD203+BE271*BE203+BF271*BF203+BG271*BG203+BH271*BH203+BI271*BI203+BJ271*BJ203+BK271*BK203+BL271*BL203+BM271*BM203+BN271*BN203+BO271*BO203+BP271*BP203+BQ271*BQ203+BR271*BR203+BS271*BS203+BT271*BT203+BU271*BU203+BV271*BV203+BW271*BW203+BX271*BX203+BY271*BY203+BZ271*BZ203+CA271*CA203+CB271*CB203+CC271*CC203+CD271*CD203+CE271*CE203+CF271*CF203+CG271*CG203+CH271*CH203+CI271*CI203+CJ271*CJ203+CK271*CK203+CL271*CL203+CM271*CM203+CN271*CN203+CO271*CO203+CP271*CP203+CQ271*CQ203+CR271*CR203+CS271*CS203</f>
        <v>0</v>
      </c>
      <c r="DB203" s="2504">
        <f>E272*E203+F272*F203+G272*G203+H272*H203+I272*I203+J272*J203+K272*K203+L272*L203+M272*M203+N272*N203+O272*O203+P272*P203+Q272*Q203+R272*R203+S272*S203+T272*T203+U272*U203+V272*V203+W272*W203+X272*X203+Y272*Y203+Z272*Z203+AA272*AA203+AB272*AB203+AC272*AC203+AD272*AD203+AE272*AE203+AF272*AF203+AG272*AG203+AH272*AH203+AI272*AI203+AJ272*AJ203+AK272*AK203+AL272*AL203+AM272*AM203+AN272*AN203+AO272*AO203+AP272*AP203+AQ272*AQ203+AR272*AR203+AS272*AS203+AT272*AT203+AU272*AU203+AV272*AV203+AW272*AW203+AX272*AX203+AY272*AY203+AZ272*AZ203+BA272*BA203+BB272*BB203+BC272*BC203+BD272*BD203+BE272*BE203+BF272*BF203+BG272*BG203+BH272*BH203+BI272*BI203+BJ272*BJ203+BK272*BK203+BL272*BL203+BM272*BM203+BN272*BN203+BO272*BO203+BP272*BP203+BQ272*BQ203+BR272*BR203+BS272*BS203+BT272*BT203+BU272*BU203+BV272*BV203+BW272*BW203+BX272*BX203+BY272*BY203+BZ272*BZ203+CA272*CA203+CB272*CB203+CC272*CC203+CD272*CD203+CE272*CE203+CF272*CF203+CG272*CG203+CH272*CH203+CI272*CI203+CJ272*CJ203+CK272*CK203+CL272*CL203+CM272*CM203+CN272*CN203+CO272*CO203+CP272*CP203+CQ272*CQ203+CR272*CR203+CS272*CS203</f>
        <v>0</v>
      </c>
      <c r="DC203" s="2504">
        <f>E273*E203+F273*F203+G273*G203+H273*H203+I273*I203+J273*J203+K273*K203+L273*L203+M273*M203+N273*N203+O273*O203+P273*P203+Q273*Q203+R273*R203+S273*S203+T273*T203+U273*U203+V273*V203+W273*W203+X273*X203+Y273*Y203+Z273*Z203+AA273*AA203+AB273*AB203+AC273*AC203+AD273*AD203+AE273*AE203+AF273*AF203+AG273*AG203+AH273*AH203+AI273*AI203+AJ273*AJ203+AK273*AK203+AL273*AL203+AM273*AM203+AN273*AN203+AO273*AO203+AP273*AP203+AQ273*AQ203+AR273*AR203+AS273*AS203+AT273*AT203+AU273*AU203+AV273*AV203+AW273*AW203+AX273*AX203+AY273*AY203+AZ273*AZ203+BA273*BA203+BB273*BB203+BC273*BC203+BD273*BD203+BE273*BE203+BF273*BF203+BG273*BG203+BH273*BH203+BI273*BI203+BJ273*BJ203+BK273*BK203+BL273*BL203+BM273*BM203+BN273*BN203+BO273*BO203+BP273*BP203+BQ273*BQ203+BR273*BR203+BS273*BS203+BT273*BT203+BU273*BU203+BV273*BV203+BW273*BW203+BX273*BX203+BY273*BY203+BZ273*BZ203+CA273*CA203+CB273*CB203+CC273*CC203+CD273*CD203+CE273*CE203+CF273*CF203+CG273*CG203+CH273*CH203+CI273*CI203+CJ273*CJ203+CK273*CK203+CL273*CL203+CM273*CM203+CN273*CN203+CO273*CO203+CP273*CP203+CQ273*CQ203+CR273*CR203+CS273*CS203</f>
        <v>0</v>
      </c>
      <c r="DD203" s="2504">
        <f>E274*E203+F274*F203+G274*G203+H274*H203+I274*I203+J274*J203+K274*K203+L274*L203+M274*M203+N274*N203+O274*O203+P274*P203+Q274*Q203+R274*R203+S274*S203+T274*T203+U274*U203+V274*V203+W274*W203+X274*X203+Y274*Y203+Z274*Z203+AA274*AA203+AB274*AB203+AC274*AC203+AD274*AD203+AE274*AE203+AF274*AF203+AG274*AG203+AH274*AH203+AI274*AI203+AJ274*AJ203+AK274*AK203+AL274*AL203+AM274*AM203+AN274*AN203+AO274*AO203+AP274*AP203+AQ274*AQ203+AR274*AR203+AS274*AS203+AT274*AT203+AU274*AU203+AV274*AV203+AW274*AW203+AX274*AX203+AY274*AY203+AZ274*AZ203+BA274*BA203+BB274*BB203+BC274*BC203+BD274*BD203+BE274*BE203+BF274*BF203+BG274*BG203+BH274*BH203+BI274*BI203+BJ274*BJ203+BK274*BK203+BL274*BL203+BM274*BM203+BN274*BN203+BO274*BO203+BP274*BP203+BQ274*BQ203+BR274*BR203+BS274*BS203+BT274*BT203+BU274*BU203+BV274*BV203+BW274*BW203+BX274*BX203+BY274*BY203+BZ274*BZ203+CA274*CA203+CB274*CB203+CC274*CC203+CD274*CD203+CE274*CE203+CF274*CF203+CG274*CG203+CH274*CH203+CI274*CI203+CJ274*CJ203+CK274*CK203+CL274*CL203+CM274*CM203+CN274*CN203+CO274*CO203+CP274*CP203+CQ274*CQ203+CR274*CR203+CS274*CS203</f>
        <v>0</v>
      </c>
      <c r="DE203" s="2504">
        <f>E275*E203+F275*F203+G275*G203+H275*H203+I275*I203+J275*J203+K275*K203+L275*L203+M275*M203+N275*N203+O275*O203+P275*P203+Q275*Q203+R275*R203+S275*S203+T275*T203+U275*U203+V275*V203+W275*W203+X275*X203+Y275*Y203+Z275*Z203+AA275*AA203+AB275*AB203+AC275*AC203+AD275*AD203+AE275*AE203+AF275*AF203+AG275*AG203+AH275*AH203+AI275*AI203+AJ275*AJ203+AK275*AK203+AL275*AL203+AM275*AM203+AN275*AN203+AO275*AO203+AP275*AP203+AQ275*AQ203+AR275*AR203+AS275*AS203+AT275*AT203+AU275*AU203+AV275*AV203+AW275*AW203+AX275*AX203+AY275*AY203+AZ275*AZ203+BA275*BA203+BB275*BB203+BC275*BC203+BD275*BD203+BE275*BE203+BF275*BF203+BG275*BG203+BH275*BH203+BI275*BI203+BJ275*BJ203+BK275*BK203+BL275*BL203+BM275*BM203+BN275*BN203+BO275*BO203+BP275*BP203+BQ275*BQ203+BR275*BR203+BS275*BS203+BT275*BT203+BU275*BU203+BV275*BV203+BW275*BW203+BX275*BX203+BY275*BY203+BZ275*BZ203+CA275*CA203+CB275*CB203+CC275*CC203+CD275*CD203+CE275*CE203+CF275*CF203+CG275*CG203+CH275*CH203+CI275*CI203+CJ275*CJ203+CK275*CK203+CL275*CL203+CM275*CM203+CN275*CN203+CO275*CO203+CP275*CP203+CQ275*CQ203+CR275*CR203+CS275*CS203</f>
        <v>0</v>
      </c>
      <c r="DF203" s="2504">
        <f>E276*E203+F276*F203+G276*G203+H276*H203+I276*I203+J276*J203+K276*K203+L276*L203+M276*M203+N276*N203+O276*O203+P276*P203+Q276*Q203+R276*R203+S276*S203+T276*T203+U276*U203+V276*V203+W276*W203+X276*X203+Y276*Y203+Z276*Z203+AA276*AA203+AB276*AB203+AC276*AC203+AD276*AD203+AE276*AE203+AF276*AF203+AG276*AG203+AH276*AH203+AI276*AI203+AJ276*AJ203+AK276*AK203+AL276*AL203+AM276*AM203+AN276*AN203+AO276*AO203+AP276*AP203+AQ276*AQ203+AR276*AR203+AS276*AS203+AT276*AT203+AU276*AU203+AV276*AV203+AW276*AW203+AX276*AX203+AY276*AY203+AZ276*AZ203+BA276*BA203+BB276*BB203+BC276*BC203+BD276*BD203+BE276*BE203+BF276*BF203+BG276*BG203+BH276*BH203+BI276*BI203+BJ276*BJ203+BK276*BK203+BL276*BL203+BM276*BM203+BN276*BN203+BO276*BO203+BP276*BP203+BQ276*BQ203+BR276*BR203+BS276*BS203+BT276*BT203+BU276*BU203+BV276*BV203+BW276*BW203+BX276*BX203+BY276*BY203+BZ276*BZ203+CA276*CA203+CB276*CB203+CC276*CC203+CD276*CD203+CE276*CE203+CF276*CF203+CG276*CG203+CH276*CH203+CI276*CI203+CJ276*CJ203+CK276*CK203+CL276*CL203+CM276*CM203+CN276*CN203+CO276*CO203+CP276*CP203+CQ276*CQ203+CR276*CR203+CS276*CS203</f>
        <v>0</v>
      </c>
    </row>
    <row r="204" spans="2:110" x14ac:dyDescent="0.25">
      <c r="B204" s="1581">
        <v>62</v>
      </c>
      <c r="C204" s="546" t="s">
        <v>2385</v>
      </c>
      <c r="D204" s="547" t="s">
        <v>2957</v>
      </c>
      <c r="E204" s="505">
        <f>0</f>
        <v>0</v>
      </c>
      <c r="F204" s="505">
        <f>0</f>
        <v>0</v>
      </c>
      <c r="G204" s="505">
        <f>0</f>
        <v>0</v>
      </c>
      <c r="H204" s="505">
        <f>0</f>
        <v>0</v>
      </c>
      <c r="I204" s="505">
        <f>0</f>
        <v>0</v>
      </c>
      <c r="J204" s="505">
        <f>1-f_E</f>
        <v>0.92</v>
      </c>
      <c r="K204" s="505">
        <f>0</f>
        <v>0</v>
      </c>
      <c r="L204" s="505">
        <f>0</f>
        <v>0</v>
      </c>
      <c r="M204" s="505">
        <f>0</f>
        <v>0</v>
      </c>
      <c r="N204" s="505">
        <f>0</f>
        <v>0</v>
      </c>
      <c r="O204" s="505">
        <f>0</f>
        <v>0</v>
      </c>
      <c r="P204" s="505">
        <f>0</f>
        <v>0</v>
      </c>
      <c r="Q204" s="505">
        <f>f_E</f>
        <v>0.08</v>
      </c>
      <c r="R204" s="505">
        <f>0</f>
        <v>0</v>
      </c>
      <c r="S204" s="505">
        <f>0</f>
        <v>0</v>
      </c>
      <c r="T204" s="505">
        <f>0</f>
        <v>0</v>
      </c>
      <c r="U204" s="505">
        <f>0</f>
        <v>0</v>
      </c>
      <c r="V204" s="505">
        <f>0</f>
        <v>0</v>
      </c>
      <c r="W204" s="505">
        <f>0</f>
        <v>0</v>
      </c>
      <c r="X204" s="505">
        <f>0</f>
        <v>0</v>
      </c>
      <c r="Y204" s="505">
        <f>-1</f>
        <v>-1</v>
      </c>
      <c r="Z204" s="505">
        <f>0</f>
        <v>0</v>
      </c>
      <c r="AA204" s="505">
        <f>-f_E*(i_N_XE-i_N_BIO)</f>
        <v>8.0000000000000069E-4</v>
      </c>
      <c r="AB204" s="505">
        <f>0</f>
        <v>0</v>
      </c>
      <c r="AC204" s="505">
        <f>0</f>
        <v>0</v>
      </c>
      <c r="AD204" s="505">
        <f>0</f>
        <v>0</v>
      </c>
      <c r="AE204" s="505">
        <f>0</f>
        <v>0</v>
      </c>
      <c r="AF204" s="505">
        <f>0</f>
        <v>0</v>
      </c>
      <c r="AG204" s="505">
        <f>0</f>
        <v>0</v>
      </c>
      <c r="AH204" s="505">
        <f>0</f>
        <v>0</v>
      </c>
      <c r="AI204" s="505">
        <f>0</f>
        <v>0</v>
      </c>
      <c r="AJ204" s="505">
        <f>0</f>
        <v>0</v>
      </c>
      <c r="AK204" s="505">
        <f>(1-f_E)*i_N_BIO</f>
        <v>6.4400000000000013E-2</v>
      </c>
      <c r="AL204" s="505">
        <f>0</f>
        <v>0</v>
      </c>
      <c r="AM204" s="505">
        <f>0</f>
        <v>0</v>
      </c>
      <c r="AN204" s="505">
        <f>0</f>
        <v>0</v>
      </c>
      <c r="AO204" s="505">
        <f>0</f>
        <v>0</v>
      </c>
      <c r="AP204" s="505">
        <f>0</f>
        <v>0</v>
      </c>
      <c r="AQ204" s="505">
        <f>(1-f_E)*i_P_BIO</f>
        <v>1.84E-2</v>
      </c>
      <c r="AR204" s="505">
        <f>0</f>
        <v>0</v>
      </c>
      <c r="AS204" s="505">
        <f>0</f>
        <v>0</v>
      </c>
      <c r="AT204" s="505">
        <f>0</f>
        <v>0</v>
      </c>
      <c r="AU204" s="505">
        <f>0</f>
        <v>0</v>
      </c>
      <c r="AV204" s="505">
        <f>(1-f_E)*(i_CIT_BIO-i_CIT_XBe)</f>
        <v>6.0720000000000003E-2</v>
      </c>
      <c r="AW204" s="505">
        <f>0</f>
        <v>0</v>
      </c>
      <c r="AX204" s="505">
        <f>0</f>
        <v>0</v>
      </c>
      <c r="AY204" s="505">
        <f>0</f>
        <v>0</v>
      </c>
      <c r="AZ204" s="505">
        <f>0</f>
        <v>0</v>
      </c>
      <c r="BA204" s="505">
        <f>0</f>
        <v>0</v>
      </c>
      <c r="BB204" s="505">
        <f>0</f>
        <v>0</v>
      </c>
      <c r="BC204" s="505">
        <f>0</f>
        <v>0</v>
      </c>
      <c r="BD204" s="505">
        <f>0</f>
        <v>0</v>
      </c>
      <c r="BE204" s="505">
        <f>0</f>
        <v>0</v>
      </c>
      <c r="BF204" s="505">
        <f>0</f>
        <v>0</v>
      </c>
      <c r="BG204" s="505">
        <f>0</f>
        <v>0</v>
      </c>
      <c r="BH204" s="505">
        <f>0</f>
        <v>0</v>
      </c>
      <c r="BI204" s="505">
        <f>0</f>
        <v>0</v>
      </c>
      <c r="BJ204" s="505">
        <f>0</f>
        <v>0</v>
      </c>
      <c r="BK204" s="505">
        <f>0</f>
        <v>0</v>
      </c>
      <c r="BL204" s="505">
        <f>0</f>
        <v>0</v>
      </c>
      <c r="BM204" s="505">
        <f>0</f>
        <v>0</v>
      </c>
      <c r="BN204" s="505">
        <f>0</f>
        <v>0</v>
      </c>
      <c r="BO204" s="505">
        <f>0</f>
        <v>0</v>
      </c>
      <c r="BP204" s="505">
        <f>0</f>
        <v>0</v>
      </c>
      <c r="BQ204" s="505">
        <f>0</f>
        <v>0</v>
      </c>
      <c r="BR204" s="505">
        <f>0</f>
        <v>0</v>
      </c>
      <c r="BS204" s="505">
        <f>0</f>
        <v>0</v>
      </c>
      <c r="BT204" s="505">
        <f>0</f>
        <v>0</v>
      </c>
      <c r="BU204" s="505">
        <f>0</f>
        <v>0</v>
      </c>
      <c r="BV204" s="505">
        <f>0</f>
        <v>0</v>
      </c>
      <c r="BW204" s="2365">
        <f>0</f>
        <v>0</v>
      </c>
      <c r="BX204" s="2365">
        <f>0</f>
        <v>0</v>
      </c>
      <c r="BY204" s="2365">
        <f>0</f>
        <v>0</v>
      </c>
      <c r="BZ204" s="2365">
        <f>0</f>
        <v>0</v>
      </c>
      <c r="CA204" s="505">
        <f>0</f>
        <v>0</v>
      </c>
      <c r="CB204" s="505">
        <f>0</f>
        <v>0</v>
      </c>
      <c r="CC204" s="505">
        <f>0</f>
        <v>0</v>
      </c>
      <c r="CD204" s="505">
        <f>0</f>
        <v>0</v>
      </c>
      <c r="CE204" s="505">
        <f>0</f>
        <v>0</v>
      </c>
      <c r="CF204" s="505">
        <f>0</f>
        <v>0</v>
      </c>
      <c r="CG204" s="505">
        <f>0</f>
        <v>0</v>
      </c>
      <c r="CH204" s="505">
        <f>0</f>
        <v>0</v>
      </c>
      <c r="CI204" s="505">
        <f>0</f>
        <v>0</v>
      </c>
      <c r="CJ204" s="505">
        <f>0</f>
        <v>0</v>
      </c>
      <c r="CK204" s="505">
        <f>0</f>
        <v>0</v>
      </c>
      <c r="CL204" s="505">
        <f>0</f>
        <v>0</v>
      </c>
      <c r="CM204" s="505">
        <f>0</f>
        <v>0</v>
      </c>
      <c r="CN204" s="505">
        <f>0</f>
        <v>0</v>
      </c>
      <c r="CO204" s="505">
        <f>0</f>
        <v>0</v>
      </c>
      <c r="CP204" s="505">
        <f>0</f>
        <v>0</v>
      </c>
      <c r="CQ204" s="505">
        <f>0</f>
        <v>0</v>
      </c>
      <c r="CR204" s="505">
        <f>0</f>
        <v>0</v>
      </c>
      <c r="CS204" s="505">
        <f>0</f>
        <v>0</v>
      </c>
      <c r="CT204" s="2487">
        <f>b_HMETO_T*X_HMETO*(M_inhSNOx_KNO3_HMETO*M_inhSO2_KiO2_HMETO)</f>
        <v>6.1567605967321836E-6</v>
      </c>
      <c r="CV204" s="2502">
        <f>E266*E204+F266*F204+G266*G204+H266*H204+I266*I204+J266*J204+K266*K204+L266*L204+M266*M204+N266*N204+O266*O204+P266*P204+Q266*Q204+R266*R204+S266*S204+T266*T204+U266*U204+V266*V204+W266*W204+X266*X204+Y266*Y204+Z266*Z204+AA266*AA204+AB266*AB204+AC266*AC204+AD266*AD204+AE266*AE204+AF266*AF204+AG266*AG204+AH266*AH204+AI266*AI204+AJ266*AJ204+AK266*AK204+AL266*AL204+AM266*AM204+AN266*AN204+AO266*AO204+AP266*AP204+AQ266*AQ204+AR266*AR204+AS266*AS204+AT266*AT204+AU266*AU204+AV266*AV204+AW266*AW204+AX266*AX204+AY266*AY204+AZ266*AZ204+BA266*BA204+BB266*BB204+BC266*BC204+BD266*BD204+BE266*BE204+BF266*BF204+BG266*BG204+BH266*BH204+BI266*BI204+BJ266*BJ204+BK266*BK204+BL266*BL204+BM266*BM204+BN266*BN204+BO266*BO204+BP266*BP204+BQ266*BQ204+BR266*BR204+BS266*BS204+BT266*BT204+BU266*BU204+BV266*BV204+BW266*BW204+BX266*BX204+BY266*BY204+BZ266*BZ204+CA266*CA204+CB266*CB204+CC266*CC204+CD266*CD204+CE266*CE204+CF266*CF204+CG266*CG204+CH266*CH204+CI266*CI204+CJ266*CJ204+CK266*CK204+CL266*CL204+CM266*CM204+CN266*CN204+CO266*CO204+CP266*CP204+CQ266*CQ204+CR266*CR204+CS266*CS204</f>
        <v>0</v>
      </c>
      <c r="CW204" s="2502">
        <f>E267*E204+F267*F204+G267*G204+H267*H204+I267*I204+J267*J204+K267*K204+L267*L204+M267*M204+N267*N204+O267*O204+P267*P204+Q267*Q204+R267*R204+S267*S204+T267*T204+U267*U204+V267*V204+W267*W204+X267*X204+Y267*Y204+Z267*Z204+AA267*AA204+AB267*AB204+AC267*AC204+AD267*AD204+AE267*AE204+AF267*AF204+AG267*AG204+AH267*AH204+AI267*AI204+AJ267*AJ204+AK267*AK204+AL267*AL204+AM267*AM204+AN267*AN204+AO267*AO204+AP267*AP204+AQ267*AQ204+AR267*AR204+AS267*AS204+AT267*AT204+AU267*AU204+AV267*AV204+AW267*AW204+AX267*AX204+AY267*AY204+AZ267*AZ204+BA267*BA204+BB267*BB204+BC267*BC204+BD267*BD204+BE267*BE204+BF267*BF204+BG267*BG204+BH267*BH204+BI267*BI204+BJ267*BJ204+BK267*BK204+BL267*BL204+BM267*BM204+BN267*BN204+BO267*BO204+BP267*BP204+BQ267*BQ204+BR267*BR204+BS267*BS204+BT267*BT204+BU267*BU204+BV267*BV204+BW267*BW204+BX267*BX204+BY267*BY204+BZ267*BZ204+CA267*CA204+CB267*CB204+CC267*CC204+CD267*CD204+CE267*CE204+CF267*CF204+CG267*CG204+CH267*CH204+CI267*CI204+CJ267*CJ204+CK267*CK204+CL267*CL204+CM267*CM204+CN267*CN204+CO267*CO204+CP267*CP204+CQ267*CQ204+CR267*CR204+CS267*CS204</f>
        <v>6.9388939039072284E-18</v>
      </c>
      <c r="CX204" s="2503">
        <f>E268*E204+F268*F204+G268*G204+H268*H204+I268*I204+J268*J204+K268*K204+L268*L204+M268*M204+N268*N204+O268*O204+P268*P204+Q268*Q204+R268*R204+S268*S204+T268*T204+U268*U204+V268*V204+W268*W204+X268*X204+Y268*Y204+Z268*Z204+AA268*AA204+AB268*AB204+AC268*AC204+AD268*AD204+AE268*AE204+AF268*AF204+AG268*AG204+AH268*AH204+AI268*AI204+AJ268*AJ204+AK268*AK204+AL268*AL204+AM268*AM204+AN268*AN204+AO268*AO204+AP268*AP204+AQ268*AQ204+AR268*AR204+AS268*AS204+AT268*AT204+AU268*AU204+AV268*AV204+AW268*AW204+AX268*AX204+AY268*AY204+AZ268*AZ204+BA268*BA204+BB268*BB204+BC268*BC204+BD268*BD204+BE268*BE204+BF268*BF204+BG268*BG204+BH268*BH204+BI268*BI204+BJ268*BJ204+BK268*BK204+BL268*BL204+BM268*BM204+BN268*BN204+BO268*BO204+BP268*BP204+BQ268*BQ204+BR268*BR204+BS268*BS204+BT268*BT204+BU268*BU204+BV268*BV204+BW268*BW204+BX268*BX204+BY268*BY204+BZ268*BZ204+CA268*CA204+CB268*CB204+CC268*CC204+CD268*CD204+CE268*CE204+CF268*CF204+CG268*CG204+CH268*CH204+CI268*CI204+CJ268*CJ204+CK268*CK204+CL268*CL204+CM268*CM204+CN268*CN204+CO268*CO204+CP268*CP204+CQ268*CQ204+CR268*CR204+CS268*CS204</f>
        <v>0</v>
      </c>
      <c r="CY204" s="2504">
        <f>E269*E204+F269*F204+G269*G204+H269*H204+I269*I204+J269*J204+K269*K204+L269*L204+M269*M204+N269*N204+O269*O204+P269*P204+Q269*Q204+R269*R204+S269*S204+T269*T204+U269*U204+V269*V204+W269*W204+X269*X204+Y269*Y204+Z269*Z204+AA269*AA204+AB269*AB204+AC269*AC204+AD269*AD204+AE269*AE204+AF269*AF204+AG269*AG204+AH269*AH204+AI269*AI204+AJ269*AJ204+AK269*AK204+AL269*AL204+AM269*AM204+AN269*AN204+AO269*AO204+AP269*AP204+AQ269*AQ204+AR269*AR204+AS269*AS204+AT269*AT204+AU269*AU204+AV269*AV204+AW269*AW204+AX269*AX204+AY269*AY204+AZ269*AZ204+BA269*BA204+BB269*BB204+BC269*BC204+BD269*BD204+BE269*BE204+BF269*BF204+BG269*BG204+BH269*BH204+BI269*BI204+BJ269*BJ204+BK269*BK204+BL269*BL204+BM269*BM204+BN269*BN204+BO269*BO204+BP269*BP204+BQ269*BQ204+BR269*BR204+BS269*BS204+BT269*BT204+BU269*BU204+BV269*BV204+BW269*BW204+BX269*BX204+BY269*BY204+BZ269*BZ204+CA269*CA204+CB269*CB204+CC269*CC204+CD269*CD204+CE269*CE204+CF269*CF204+CG269*CG204+CH269*CH204+CI269*CI204+CJ269*CJ204+CK269*CK204+CL269*CL204+CM269*CM204+CN269*CN204+CO269*CO204+CP269*CP204+CQ269*CQ204+CR269*CR204+CS269*CS204</f>
        <v>0</v>
      </c>
      <c r="CZ204" s="2504">
        <f>E270*E204+F270*F204+G270*G204+H270*H204+I270*I204+J270*J204+K270*K204+L270*L204+M270*M204+N270*N204+O270*O204+P270*P204+Q270*Q204+R270*R204+S270*S204+T270*T204+U270*U204+V270*V204+W270*W204+X270*X204+Y270*Y204+Z270*Z204+AA270*AA204+AB270*AB204+AC270*AC204+AD270*AD204+AE270*AE204+AF270*AF204+AG270*AG204+AH270*AH204+AI270*AI204+AJ270*AJ204+AK270*AK204+AL270*AL204+AM270*AM204+AN270*AN204+AO270*AO204+AP270*AP204+AQ270*AQ204+AR270*AR204+AS270*AS204+AT270*AT204+AU270*AU204+AV270*AV204+AW270*AW204+AX270*AX204+AY270*AY204+AZ270*AZ204+BA270*BA204+BB270*BB204+BC270*BC204+BD270*BD204+BE270*BE204+BF270*BF204+BG270*BG204+BH270*BH204+BI270*BI204+BJ270*BJ204+BK270*BK204+BL270*BL204+BM270*BM204+BN270*BN204+BO270*BO204+BP270*BP204+BQ270*BQ204+BR270*BR204+BS270*BS204+BT270*BT204+BU270*BU204+BV270*BV204+BW270*BW204+BX270*BX204+BY270*BY204+BZ270*BZ204+CA270*CA204+CB270*CB204+CC270*CC204+CD270*CD204+CE270*CE204+CF270*CF204+CG270*CG204+CH270*CH204+CI270*CI204+CJ270*CJ204+CK270*CK204+CL270*CL204+CM270*CM204+CN270*CN204+CO270*CO204+CP270*CP204+CQ270*CQ204+CR270*CR204+CS270*CS204</f>
        <v>0</v>
      </c>
      <c r="DA204" s="2504">
        <f>E271*E204+F271*F204+G271*G204+H271*H204+I271*I204+J271*J204+K271*K204+L271*L204+M271*M204+N271*N204+O271*O204+P271*P204+Q271*Q204+R271*R204+S271*S204+T271*T204+U271*U204+V271*V204+W271*W204+X271*X204+Y271*Y204+Z271*Z204+AA271*AA204+AB271*AB204+AC271*AC204+AD271*AD204+AE271*AE204+AF271*AF204+AG271*AG204+AH271*AH204+AI271*AI204+AJ271*AJ204+AK271*AK204+AL271*AL204+AM271*AM204+AN271*AN204+AO271*AO204+AP271*AP204+AQ271*AQ204+AR271*AR204+AS271*AS204+AT271*AT204+AU271*AU204+AV271*AV204+AW271*AW204+AX271*AX204+AY271*AY204+AZ271*AZ204+BA271*BA204+BB271*BB204+BC271*BC204+BD271*BD204+BE271*BE204+BF271*BF204+BG271*BG204+BH271*BH204+BI271*BI204+BJ271*BJ204+BK271*BK204+BL271*BL204+BM271*BM204+BN271*BN204+BO271*BO204+BP271*BP204+BQ271*BQ204+BR271*BR204+BS271*BS204+BT271*BT204+BU271*BU204+BV271*BV204+BW271*BW204+BX271*BX204+BY271*BY204+BZ271*BZ204+CA271*CA204+CB271*CB204+CC271*CC204+CD271*CD204+CE271*CE204+CF271*CF204+CG271*CG204+CH271*CH204+CI271*CI204+CJ271*CJ204+CK271*CK204+CL271*CL204+CM271*CM204+CN271*CN204+CO271*CO204+CP271*CP204+CQ271*CQ204+CR271*CR204+CS271*CS204</f>
        <v>0</v>
      </c>
      <c r="DB204" s="2504">
        <f>E272*E204+F272*F204+G272*G204+H272*H204+I272*I204+J272*J204+K272*K204+L272*L204+M272*M204+N272*N204+O272*O204+P272*P204+Q272*Q204+R272*R204+S272*S204+T272*T204+U272*U204+V272*V204+W272*W204+X272*X204+Y272*Y204+Z272*Z204+AA272*AA204+AB272*AB204+AC272*AC204+AD272*AD204+AE272*AE204+AF272*AF204+AG272*AG204+AH272*AH204+AI272*AI204+AJ272*AJ204+AK272*AK204+AL272*AL204+AM272*AM204+AN272*AN204+AO272*AO204+AP272*AP204+AQ272*AQ204+AR272*AR204+AS272*AS204+AT272*AT204+AU272*AU204+AV272*AV204+AW272*AW204+AX272*AX204+AY272*AY204+AZ272*AZ204+BA272*BA204+BB272*BB204+BC272*BC204+BD272*BD204+BE272*BE204+BF272*BF204+BG272*BG204+BH272*BH204+BI272*BI204+BJ272*BJ204+BK272*BK204+BL272*BL204+BM272*BM204+BN272*BN204+BO272*BO204+BP272*BP204+BQ272*BQ204+BR272*BR204+BS272*BS204+BT272*BT204+BU272*BU204+BV272*BV204+BW272*BW204+BX272*BX204+BY272*BY204+BZ272*BZ204+CA272*CA204+CB272*CB204+CC272*CC204+CD272*CD204+CE272*CE204+CF272*CF204+CG272*CG204+CH272*CH204+CI272*CI204+CJ272*CJ204+CK272*CK204+CL272*CL204+CM272*CM204+CN272*CN204+CO272*CO204+CP272*CP204+CQ272*CQ204+CR272*CR204+CS272*CS204</f>
        <v>0</v>
      </c>
      <c r="DC204" s="2504">
        <f>E273*E204+F273*F204+G273*G204+H273*H204+I273*I204+J273*J204+K273*K204+L273*L204+M273*M204+N273*N204+O273*O204+P273*P204+Q273*Q204+R273*R204+S273*S204+T273*T204+U273*U204+V273*V204+W273*W204+X273*X204+Y273*Y204+Z273*Z204+AA273*AA204+AB273*AB204+AC273*AC204+AD273*AD204+AE273*AE204+AF273*AF204+AG273*AG204+AH273*AH204+AI273*AI204+AJ273*AJ204+AK273*AK204+AL273*AL204+AM273*AM204+AN273*AN204+AO273*AO204+AP273*AP204+AQ273*AQ204+AR273*AR204+AS273*AS204+AT273*AT204+AU273*AU204+AV273*AV204+AW273*AW204+AX273*AX204+AY273*AY204+AZ273*AZ204+BA273*BA204+BB273*BB204+BC273*BC204+BD273*BD204+BE273*BE204+BF273*BF204+BG273*BG204+BH273*BH204+BI273*BI204+BJ273*BJ204+BK273*BK204+BL273*BL204+BM273*BM204+BN273*BN204+BO273*BO204+BP273*BP204+BQ273*BQ204+BR273*BR204+BS273*BS204+BT273*BT204+BU273*BU204+BV273*BV204+BW273*BW204+BX273*BX204+BY273*BY204+BZ273*BZ204+CA273*CA204+CB273*CB204+CC273*CC204+CD273*CD204+CE273*CE204+CF273*CF204+CG273*CG204+CH273*CH204+CI273*CI204+CJ273*CJ204+CK273*CK204+CL273*CL204+CM273*CM204+CN273*CN204+CO273*CO204+CP273*CP204+CQ273*CQ204+CR273*CR204+CS273*CS204</f>
        <v>0</v>
      </c>
      <c r="DD204" s="2504">
        <f>E274*E204+F274*F204+G274*G204+H274*H204+I274*I204+J274*J204+K274*K204+L274*L204+M274*M204+N274*N204+O274*O204+P274*P204+Q274*Q204+R274*R204+S274*S204+T274*T204+U274*U204+V274*V204+W274*W204+X274*X204+Y274*Y204+Z274*Z204+AA274*AA204+AB274*AB204+AC274*AC204+AD274*AD204+AE274*AE204+AF274*AF204+AG274*AG204+AH274*AH204+AI274*AI204+AJ274*AJ204+AK274*AK204+AL274*AL204+AM274*AM204+AN274*AN204+AO274*AO204+AP274*AP204+AQ274*AQ204+AR274*AR204+AS274*AS204+AT274*AT204+AU274*AU204+AV274*AV204+AW274*AW204+AX274*AX204+AY274*AY204+AZ274*AZ204+BA274*BA204+BB274*BB204+BC274*BC204+BD274*BD204+BE274*BE204+BF274*BF204+BG274*BG204+BH274*BH204+BI274*BI204+BJ274*BJ204+BK274*BK204+BL274*BL204+BM274*BM204+BN274*BN204+BO274*BO204+BP274*BP204+BQ274*BQ204+BR274*BR204+BS274*BS204+BT274*BT204+BU274*BU204+BV274*BV204+BW274*BW204+BX274*BX204+BY274*BY204+BZ274*BZ204+CA274*CA204+CB274*CB204+CC274*CC204+CD274*CD204+CE274*CE204+CF274*CF204+CG274*CG204+CH274*CH204+CI274*CI204+CJ274*CJ204+CK274*CK204+CL274*CL204+CM274*CM204+CN274*CN204+CO274*CO204+CP274*CP204+CQ274*CQ204+CR274*CR204+CS274*CS204</f>
        <v>0</v>
      </c>
      <c r="DE204" s="2504">
        <f>E275*E204+F275*F204+G275*G204+H275*H204+I275*I204+J275*J204+K275*K204+L275*L204+M275*M204+N275*N204+O275*O204+P275*P204+Q275*Q204+R275*R204+S275*S204+T275*T204+U275*U204+V275*V204+W275*W204+X275*X204+Y275*Y204+Z275*Z204+AA275*AA204+AB275*AB204+AC275*AC204+AD275*AD204+AE275*AE204+AF275*AF204+AG275*AG204+AH275*AH204+AI275*AI204+AJ275*AJ204+AK275*AK204+AL275*AL204+AM275*AM204+AN275*AN204+AO275*AO204+AP275*AP204+AQ275*AQ204+AR275*AR204+AS275*AS204+AT275*AT204+AU275*AU204+AV275*AV204+AW275*AW204+AX275*AX204+AY275*AY204+AZ275*AZ204+BA275*BA204+BB275*BB204+BC275*BC204+BD275*BD204+BE275*BE204+BF275*BF204+BG275*BG204+BH275*BH204+BI275*BI204+BJ275*BJ204+BK275*BK204+BL275*BL204+BM275*BM204+BN275*BN204+BO275*BO204+BP275*BP204+BQ275*BQ204+BR275*BR204+BS275*BS204+BT275*BT204+BU275*BU204+BV275*BV204+BW275*BW204+BX275*BX204+BY275*BY204+BZ275*BZ204+CA275*CA204+CB275*CB204+CC275*CC204+CD275*CD204+CE275*CE204+CF275*CF204+CG275*CG204+CH275*CH204+CI275*CI204+CJ275*CJ204+CK275*CK204+CL275*CL204+CM275*CM204+CN275*CN204+CO275*CO204+CP275*CP204+CQ275*CQ204+CR275*CR204+CS275*CS204</f>
        <v>0</v>
      </c>
      <c r="DF204" s="2504">
        <f>E276*E204+F276*F204+G276*G204+H276*H204+I276*I204+J276*J204+K276*K204+L276*L204+M276*M204+N276*N204+O276*O204+P276*P204+Q276*Q204+R276*R204+S276*S204+T276*T204+U276*U204+V276*V204+W276*W204+X276*X204+Y276*Y204+Z276*Z204+AA276*AA204+AB276*AB204+AC276*AC204+AD276*AD204+AE276*AE204+AF276*AF204+AG276*AG204+AH276*AH204+AI276*AI204+AJ276*AJ204+AK276*AK204+AL276*AL204+AM276*AM204+AN276*AN204+AO276*AO204+AP276*AP204+AQ276*AQ204+AR276*AR204+AS276*AS204+AT276*AT204+AU276*AU204+AV276*AV204+AW276*AW204+AX276*AX204+AY276*AY204+AZ276*AZ204+BA276*BA204+BB276*BB204+BC276*BC204+BD276*BD204+BE276*BE204+BF276*BF204+BG276*BG204+BH276*BH204+BI276*BI204+BJ276*BJ204+BK276*BK204+BL276*BL204+BM276*BM204+BN276*BN204+BO276*BO204+BP276*BP204+BQ276*BQ204+BR276*BR204+BS276*BS204+BT276*BT204+BU276*BU204+BV276*BV204+BW276*BW204+BX276*BX204+BY276*BY204+BZ276*BZ204+CA276*CA204+CB276*CB204+CC276*CC204+CD276*CD204+CE276*CE204+CF276*CF204+CG276*CG204+CH276*CH204+CI276*CI204+CJ276*CJ204+CK276*CK204+CL276*CL204+CM276*CM204+CN276*CN204+CO276*CO204+CP276*CP204+CQ276*CQ204+CR276*CR204+CS276*CS204</f>
        <v>0</v>
      </c>
    </row>
    <row r="205" spans="2:110" x14ac:dyDescent="0.25">
      <c r="B205" s="1642">
        <v>63</v>
      </c>
      <c r="C205" s="1643" t="s">
        <v>2386</v>
      </c>
      <c r="D205" s="1644" t="s">
        <v>4956</v>
      </c>
      <c r="E205" s="1645">
        <f>0</f>
        <v>0</v>
      </c>
      <c r="F205" s="1645">
        <f>0</f>
        <v>0</v>
      </c>
      <c r="G205" s="1645">
        <f>0</f>
        <v>0</v>
      </c>
      <c r="H205" s="1645">
        <f>0</f>
        <v>0</v>
      </c>
      <c r="I205" s="1645">
        <f>0</f>
        <v>0</v>
      </c>
      <c r="J205" s="1645">
        <f>0</f>
        <v>0</v>
      </c>
      <c r="K205" s="1645">
        <f>0</f>
        <v>0</v>
      </c>
      <c r="L205" s="1645">
        <f>0</f>
        <v>0</v>
      </c>
      <c r="M205" s="1645">
        <f>0</f>
        <v>0</v>
      </c>
      <c r="N205" s="1645">
        <f>0</f>
        <v>0</v>
      </c>
      <c r="O205" s="1645">
        <f>0</f>
        <v>0</v>
      </c>
      <c r="P205" s="1645">
        <f>0</f>
        <v>0</v>
      </c>
      <c r="Q205" s="1645">
        <f>0</f>
        <v>0</v>
      </c>
      <c r="R205" s="1645">
        <f>0</f>
        <v>0</v>
      </c>
      <c r="S205" s="1645">
        <f>0</f>
        <v>0</v>
      </c>
      <c r="T205" s="1645">
        <f>0</f>
        <v>0</v>
      </c>
      <c r="U205" s="1645">
        <f>0</f>
        <v>0</v>
      </c>
      <c r="V205" s="1645">
        <f>0</f>
        <v>0</v>
      </c>
      <c r="W205" s="1645">
        <f>0</f>
        <v>0</v>
      </c>
      <c r="X205" s="1645">
        <f>0</f>
        <v>0</v>
      </c>
      <c r="Y205" s="1645">
        <f>0</f>
        <v>0</v>
      </c>
      <c r="Z205" s="1645">
        <f>1</f>
        <v>1</v>
      </c>
      <c r="AA205" s="1645">
        <f>0</f>
        <v>0</v>
      </c>
      <c r="AB205" s="1646">
        <f>0</f>
        <v>0</v>
      </c>
      <c r="AC205" s="1646">
        <f>-i_N_ALGAE*S_NO3/S_NOx</f>
        <v>-6.8627450980392163E-2</v>
      </c>
      <c r="AD205" s="1646">
        <f>-i_N_ALGAE*S_NO2/S_NOx</f>
        <v>-1.3725490196078434E-3</v>
      </c>
      <c r="AE205" s="1646">
        <f>0</f>
        <v>0</v>
      </c>
      <c r="AF205" s="1646">
        <f>0</f>
        <v>0</v>
      </c>
      <c r="AG205" s="1646">
        <f>0</f>
        <v>0</v>
      </c>
      <c r="AH205" s="1646">
        <f>0</f>
        <v>0</v>
      </c>
      <c r="AI205" s="1645">
        <f>0</f>
        <v>0</v>
      </c>
      <c r="AJ205" s="1645">
        <f>0</f>
        <v>0</v>
      </c>
      <c r="AK205" s="1645">
        <f>0</f>
        <v>0</v>
      </c>
      <c r="AL205" s="1645">
        <f>0</f>
        <v>0</v>
      </c>
      <c r="AM205" s="1646">
        <f>-i_P_ALGAE</f>
        <v>-0.02</v>
      </c>
      <c r="AN205" s="1645">
        <f>0</f>
        <v>0</v>
      </c>
      <c r="AO205" s="1645">
        <f>0</f>
        <v>0</v>
      </c>
      <c r="AP205" s="1645">
        <f>0</f>
        <v>0</v>
      </c>
      <c r="AQ205" s="1645">
        <f>0</f>
        <v>0</v>
      </c>
      <c r="AR205" s="1645">
        <f>0</f>
        <v>0</v>
      </c>
      <c r="AS205" s="1646">
        <f>1+i_N_ALGAE*(E_EQNO3*S_NO3/S_NOx+E_EQNO2*S_NO2/S_NOx)</f>
        <v>1.318267117823305</v>
      </c>
      <c r="AT205" s="1645">
        <f>0</f>
        <v>0</v>
      </c>
      <c r="AU205" s="1645">
        <f>0</f>
        <v>0</v>
      </c>
      <c r="AV205" s="1647">
        <f>-i_CIT_ALGAE</f>
        <v>-0.375</v>
      </c>
      <c r="AW205" s="1645">
        <f>i_INORG</f>
        <v>0.11</v>
      </c>
      <c r="AX205" s="1648">
        <f>-i_INORG*(1-i_Ca_INORG*(A_MCa+2*A_MCl)/A_MCa-i_Mg_INORG*(A_MMg+2*A_MCl)/A_MMg)*f_Na</f>
        <v>-2.8804303582798466E-2</v>
      </c>
      <c r="AY205" s="1648">
        <f>-i_INORG*(i_Ca_INORG*(2*A_MCl)/A_MCa+i_Mg_INORG*(2*A_MCl)/A_MMg)-i_INORG*(1-i_Ca_INORG*(A_MCa+2*A_MCl)/A_MCa-i_Mg_INORG*(A_MMg+2*A_MCl)/A_MMg)*(1-f_Na)</f>
        <v>-7.0195696417201539E-2</v>
      </c>
      <c r="AZ205" s="1648">
        <f>-i_INORG*i_Ca_INORG</f>
        <v>-5.5000000000000005E-3</v>
      </c>
      <c r="BA205" s="1648">
        <f>-i_INORG*i_Mg_INORG</f>
        <v>-5.5000000000000005E-3</v>
      </c>
      <c r="BB205" s="1645">
        <f>0</f>
        <v>0</v>
      </c>
      <c r="BC205" s="1645">
        <f>0</f>
        <v>0</v>
      </c>
      <c r="BD205" s="1645">
        <f>0</f>
        <v>0</v>
      </c>
      <c r="BE205" s="1645">
        <f>0</f>
        <v>0</v>
      </c>
      <c r="BF205" s="1645">
        <f>0</f>
        <v>0</v>
      </c>
      <c r="BG205" s="1645">
        <f>0</f>
        <v>0</v>
      </c>
      <c r="BH205" s="1645">
        <f>0</f>
        <v>0</v>
      </c>
      <c r="BI205" s="1645">
        <f>0</f>
        <v>0</v>
      </c>
      <c r="BJ205" s="1645">
        <f>0</f>
        <v>0</v>
      </c>
      <c r="BK205" s="1645">
        <f>0</f>
        <v>0</v>
      </c>
      <c r="BL205" s="1645">
        <f>0</f>
        <v>0</v>
      </c>
      <c r="BM205" s="1645">
        <f>0</f>
        <v>0</v>
      </c>
      <c r="BN205" s="1645">
        <f>0</f>
        <v>0</v>
      </c>
      <c r="BO205" s="1645">
        <f>0</f>
        <v>0</v>
      </c>
      <c r="BP205" s="1645">
        <f>0</f>
        <v>0</v>
      </c>
      <c r="BQ205" s="1645">
        <f>0</f>
        <v>0</v>
      </c>
      <c r="BR205" s="1645">
        <f>0</f>
        <v>0</v>
      </c>
      <c r="BS205" s="1645">
        <f>0</f>
        <v>0</v>
      </c>
      <c r="BT205" s="1645">
        <f>0</f>
        <v>0</v>
      </c>
      <c r="BU205" s="1645">
        <f>0</f>
        <v>0</v>
      </c>
      <c r="BV205" s="1645">
        <f>0</f>
        <v>0</v>
      </c>
      <c r="BW205" s="2366">
        <f>0</f>
        <v>0</v>
      </c>
      <c r="BX205" s="2366">
        <f>0</f>
        <v>0</v>
      </c>
      <c r="BY205" s="2366">
        <f>0</f>
        <v>0</v>
      </c>
      <c r="BZ205" s="2366">
        <f>0</f>
        <v>0</v>
      </c>
      <c r="CA205" s="1645">
        <f>0</f>
        <v>0</v>
      </c>
      <c r="CB205" s="1645">
        <f>0</f>
        <v>0</v>
      </c>
      <c r="CC205" s="1645">
        <f>0</f>
        <v>0</v>
      </c>
      <c r="CD205" s="1645">
        <f>0</f>
        <v>0</v>
      </c>
      <c r="CE205" s="1645">
        <f>0</f>
        <v>0</v>
      </c>
      <c r="CF205" s="1645">
        <f>0</f>
        <v>0</v>
      </c>
      <c r="CG205" s="1645">
        <f>0</f>
        <v>0</v>
      </c>
      <c r="CH205" s="1645">
        <f>0</f>
        <v>0</v>
      </c>
      <c r="CI205" s="1645">
        <f>0</f>
        <v>0</v>
      </c>
      <c r="CJ205" s="1645">
        <f>0</f>
        <v>0</v>
      </c>
      <c r="CK205" s="1645">
        <f>0</f>
        <v>0</v>
      </c>
      <c r="CL205" s="1645">
        <f>0</f>
        <v>0</v>
      </c>
      <c r="CM205" s="1645">
        <f>0</f>
        <v>0</v>
      </c>
      <c r="CN205" s="1645">
        <f>0</f>
        <v>0</v>
      </c>
      <c r="CO205" s="1645">
        <f>0</f>
        <v>0</v>
      </c>
      <c r="CP205" s="1645">
        <f>0</f>
        <v>0</v>
      </c>
      <c r="CQ205" s="1645">
        <f>0</f>
        <v>0</v>
      </c>
      <c r="CR205" s="1645">
        <f>0</f>
        <v>0</v>
      </c>
      <c r="CS205" s="1645">
        <f>0</f>
        <v>0</v>
      </c>
      <c r="CT205" s="2488">
        <f>µ_ALGAE_T*X_ALGAE*M_satSPO4_KPO4_BIO*M_satSCO2_KCO2_ALGAE*L_ightSwitch*M_satSNOx_KNOx_ALGAE*M_inhSNHx_KiNHx_ALGAE</f>
        <v>0</v>
      </c>
      <c r="CV205" s="2502">
        <f>E266*E205+F266*F205+G266*G205+H266*H205+I266*I205+J266*J205+K266*K205+L266*L205+M266*M205+N266*N205+O266*O205+P266*P205+Q266*Q205+R266*R205+S266*S205+T266*T205+U266*U205+V266*V205+W266*W205+X266*X205+Y266*Y205+Z266*Z205+AA266*AA205+AB266*AB205+AC266*AC205+AD266*AD205+AE266*AE205+AF266*AF205+AG266*AG205+AH266*AH205+AI266*AI205+AJ266*AJ205+AK266*AK205+AL266*AL205+AM266*AM205+AN266*AN205+AO266*AO205+AP266*AP205+AQ266*AQ205+AR266*AR205+AS266*AS205+AT266*AT205+AU266*AU205+AV266*AV205+AW266*AW205+AX266*AX205+AY266*AY205+AZ266*AZ205+BA266*BA205+BB266*BB205+BC266*BC205+BD266*BD205+BE266*BE205+BF266*BF205+BG266*BG205+BH266*BH205+BI266*BI205+BJ266*BJ205+BK266*BK205+BL266*BL205+BM266*BM205+BN266*BN205+BO266*BO205+BP266*BP205+BQ266*BQ205+BR266*BR205+BS266*BS205+BT266*BT205+BU266*BU205+BV266*BV205+BW266*BW205+BX266*BX205+BY266*BY205+BZ266*BZ205+CA266*CA205+CB266*CB205+CC266*CC205+CD266*CD205+CE266*CE205+CF266*CF205+CG266*CG205+CH266*CH205+CI266*CI205+CJ266*CJ205+CK266*CK205+CL266*CL205+CM266*CM205+CN266*CN205+CO266*CO205+CP266*CP205+CQ266*CQ205+CR266*CR205+CS266*CS205</f>
        <v>0</v>
      </c>
      <c r="CW205" s="2502">
        <f>E267*E205+F267*F205+G267*G205+H267*H205+I267*I205+J267*J205+K267*K205+L267*L205+M267*M205+N267*N205+O267*O205+P267*P205+Q267*Q205+R267*R205+S267*S205+T267*T205+U267*U205+V267*V205+W267*W205+X267*X205+Y267*Y205+Z267*Z205+AA267*AA205+AB267*AB205+AC267*AC205+AD267*AD205+AE267*AE205+AF267*AF205+AG267*AG205+AH267*AH205+AI267*AI205+AJ267*AJ205+AK267*AK205+AL267*AL205+AM267*AM205+AN267*AN205+AO267*AO205+AP267*AP205+AQ267*AQ205+AR267*AR205+AS267*AS205+AT267*AT205+AU267*AU205+AV267*AV205+AW267*AW205+AX267*AX205+AY267*AY205+AZ267*AZ205+BA267*BA205+BB267*BB205+BC267*BC205+BD267*BD205+BE267*BE205+BF267*BF205+BG267*BG205+BH267*BH205+BI267*BI205+BJ267*BJ205+BK267*BK205+BL267*BL205+BM267*BM205+BN267*BN205+BO267*BO205+BP267*BP205+BQ267*BQ205+BR267*BR205+BS267*BS205+BT267*BT205+BU267*BU205+BV267*BV205+BW267*BW205+BX267*BX205+BY267*BY205+BZ267*BZ205+CA267*CA205+CB267*CB205+CC267*CC205+CD267*CD205+CE267*CE205+CF267*CF205+CG267*CG205+CH267*CH205+CI267*CI205+CJ267*CJ205+CK267*CK205+CL267*CL205+CM267*CM205+CN267*CN205+CO267*CO205+CP267*CP205+CQ267*CQ205+CR267*CR205+CS267*CS205</f>
        <v>0</v>
      </c>
      <c r="CX205" s="2503">
        <f>E268*E205+F268*F205+G268*G205+H268*H205+I268*I205+J268*J205+K268*K205+L268*L205+M268*M205+N268*N205+O268*O205+P268*P205+Q268*Q205+R268*R205+S268*S205+T268*T205+U268*U205+V268*V205+W268*W205+X268*X205+Y268*Y205+Z268*Z205+AA268*AA205+AB268*AB205+AC268*AC205+AD268*AD205+AE268*AE205+AF268*AF205+AG268*AG205+AH268*AH205+AI268*AI205+AJ268*AJ205+AK268*AK205+AL268*AL205+AM268*AM205+AN268*AN205+AO268*AO205+AP268*AP205+AQ268*AQ205+AR268*AR205+AS268*AS205+AT268*AT205+AU268*AU205+AV268*AV205+AW268*AW205+AX268*AX205+AY268*AY205+AZ268*AZ205+BA268*BA205+BB268*BB205+BC268*BC205+BD268*BD205+BE268*BE205+BF268*BF205+BG268*BG205+BH268*BH205+BI268*BI205+BJ268*BJ205+BK268*BK205+BL268*BL205+BM268*BM205+BN268*BN205+BO268*BO205+BP268*BP205+BQ268*BQ205+BR268*BR205+BS268*BS205+BT268*BT205+BU268*BU205+BV268*BV205+BW268*BW205+BX268*BX205+BY268*BY205+BZ268*BZ205+CA268*CA205+CB268*CB205+CC268*CC205+CD268*CD205+CE268*CE205+CF268*CF205+CG268*CG205+CH268*CH205+CI268*CI205+CJ268*CJ205+CK268*CK205+CL268*CL205+CM268*CM205+CN268*CN205+CO268*CO205+CP268*CP205+CQ268*CQ205+CR268*CR205+CS268*CS205</f>
        <v>4.3368086899420177E-19</v>
      </c>
      <c r="CY205" s="2504">
        <f>E269*E205+F269*F205+G269*G205+H269*H205+I269*I205+J269*J205+K269*K205+L269*L205+M269*M205+N269*N205+O269*O205+P269*P205+Q269*Q205+R269*R205+S269*S205+T269*T205+U269*U205+V269*V205+W269*W205+X269*X205+Y269*Y205+Z269*Z205+AA269*AA205+AB269*AB205+AC269*AC205+AD269*AD205+AE269*AE205+AF269*AF205+AG269*AG205+AH269*AH205+AI269*AI205+AJ269*AJ205+AK269*AK205+AL269*AL205+AM269*AM205+AN269*AN205+AO269*AO205+AP269*AP205+AQ269*AQ205+AR269*AR205+AS269*AS205+AT269*AT205+AU269*AU205+AV269*AV205+AW269*AW205+AX269*AX205+AY269*AY205+AZ269*AZ205+BA269*BA205+BB269*BB205+BC269*BC205+BD269*BD205+BE269*BE205+BF269*BF205+BG269*BG205+BH269*BH205+BI269*BI205+BJ269*BJ205+BK269*BK205+BL269*BL205+BM269*BM205+BN269*BN205+BO269*BO205+BP269*BP205+BQ269*BQ205+BR269*BR205+BS269*BS205+BT269*BT205+BU269*BU205+BV269*BV205+BW269*BW205+BX269*BX205+BY269*BY205+BZ269*BZ205+CA269*CA205+CB269*CB205+CC269*CC205+CD269*CD205+CE269*CE205+CF269*CF205+CG269*CG205+CH269*CH205+CI269*CI205+CJ269*CJ205+CK269*CK205+CL269*CL205+CM269*CM205+CN269*CN205+CO269*CO205+CP269*CP205+CQ269*CQ205+CR269*CR205+CS269*CS205</f>
        <v>0</v>
      </c>
      <c r="CZ205" s="2504">
        <f>E270*E205+F270*F205+G270*G205+H270*H205+I270*I205+J270*J205+K270*K205+L270*L205+M270*M205+N270*N205+O270*O205+P270*P205+Q270*Q205+R270*R205+S270*S205+T270*T205+U270*U205+V270*V205+W270*W205+X270*X205+Y270*Y205+Z270*Z205+AA270*AA205+AB270*AB205+AC270*AC205+AD270*AD205+AE270*AE205+AF270*AF205+AG270*AG205+AH270*AH205+AI270*AI205+AJ270*AJ205+AK270*AK205+AL270*AL205+AM270*AM205+AN270*AN205+AO270*AO205+AP270*AP205+AQ270*AQ205+AR270*AR205+AS270*AS205+AT270*AT205+AU270*AU205+AV270*AV205+AW270*AW205+AX270*AX205+AY270*AY205+AZ270*AZ205+BA270*BA205+BB270*BB205+BC270*BC205+BD270*BD205+BE270*BE205+BF270*BF205+BG270*BG205+BH270*BH205+BI270*BI205+BJ270*BJ205+BK270*BK205+BL270*BL205+BM270*BM205+BN270*BN205+BO270*BO205+BP270*BP205+BQ270*BQ205+BR270*BR205+BS270*BS205+BT270*BT205+BU270*BU205+BV270*BV205+BW270*BW205+BX270*BX205+BY270*BY205+BZ270*BZ205+CA270*CA205+CB270*CB205+CC270*CC205+CD270*CD205+CE270*CE205+CF270*CF205+CG270*CG205+CH270*CH205+CI270*CI205+CJ270*CJ205+CK270*CK205+CL270*CL205+CM270*CM205+CN270*CN205+CO270*CO205+CP270*CP205+CQ270*CQ205+CR270*CR205+CS270*CS205</f>
        <v>0</v>
      </c>
      <c r="DA205" s="2504">
        <f>E271*E205+F271*F205+G271*G205+H271*H205+I271*I205+J271*J205+K271*K205+L271*L205+M271*M205+N271*N205+O271*O205+P271*P205+Q271*Q205+R271*R205+S271*S205+T271*T205+U271*U205+V271*V205+W271*W205+X271*X205+Y271*Y205+Z271*Z205+AA271*AA205+AB271*AB205+AC271*AC205+AD271*AD205+AE271*AE205+AF271*AF205+AG271*AG205+AH271*AH205+AI271*AI205+AJ271*AJ205+AK271*AK205+AL271*AL205+AM271*AM205+AN271*AN205+AO271*AO205+AP271*AP205+AQ271*AQ205+AR271*AR205+AS271*AS205+AT271*AT205+AU271*AU205+AV271*AV205+AW271*AW205+AX271*AX205+AY271*AY205+AZ271*AZ205+BA271*BA205+BB271*BB205+BC271*BC205+BD271*BD205+BE271*BE205+BF271*BF205+BG271*BG205+BH271*BH205+BI271*BI205+BJ271*BJ205+BK271*BK205+BL271*BL205+BM271*BM205+BN271*BN205+BO271*BO205+BP271*BP205+BQ271*BQ205+BR271*BR205+BS271*BS205+BT271*BT205+BU271*BU205+BV271*BV205+BW271*BW205+BX271*BX205+BY271*BY205+BZ271*BZ205+CA271*CA205+CB271*CB205+CC271*CC205+CD271*CD205+CE271*CE205+CF271*CF205+CG271*CG205+CH271*CH205+CI271*CI205+CJ271*CJ205+CK271*CK205+CL271*CL205+CM271*CM205+CN271*CN205+CO271*CO205+CP271*CP205+CQ271*CQ205+CR271*CR205+CS271*CS205</f>
        <v>0</v>
      </c>
      <c r="DB205" s="2504">
        <f>E272*E205+F272*F205+G272*G205+H272*H205+I272*I205+J272*J205+K272*K205+L272*L205+M272*M205+N272*N205+O272*O205+P272*P205+Q272*Q205+R272*R205+S272*S205+T272*T205+U272*U205+V272*V205+W272*W205+X272*X205+Y272*Y205+Z272*Z205+AA272*AA205+AB272*AB205+AC272*AC205+AD272*AD205+AE272*AE205+AF272*AF205+AG272*AG205+AH272*AH205+AI272*AI205+AJ272*AJ205+AK272*AK205+AL272*AL205+AM272*AM205+AN272*AN205+AO272*AO205+AP272*AP205+AQ272*AQ205+AR272*AR205+AS272*AS205+AT272*AT205+AU272*AU205+AV272*AV205+AW272*AW205+AX272*AX205+AY272*AY205+AZ272*AZ205+BA272*BA205+BB272*BB205+BC272*BC205+BD272*BD205+BE272*BE205+BF272*BF205+BG272*BG205+BH272*BH205+BI272*BI205+BJ272*BJ205+BK272*BK205+BL272*BL205+BM272*BM205+BN272*BN205+BO272*BO205+BP272*BP205+BQ272*BQ205+BR272*BR205+BS272*BS205+BT272*BT205+BU272*BU205+BV272*BV205+BW272*BW205+BX272*BX205+BY272*BY205+BZ272*BZ205+CA272*CA205+CB272*CB205+CC272*CC205+CD272*CD205+CE272*CE205+CF272*CF205+CG272*CG205+CH272*CH205+CI272*CI205+CJ272*CJ205+CK272*CK205+CL272*CL205+CM272*CM205+CN272*CN205+CO272*CO205+CP272*CP205+CQ272*CQ205+CR272*CR205+CS272*CS205</f>
        <v>0</v>
      </c>
      <c r="DC205" s="2504">
        <f>E273*E205+F273*F205+G273*G205+H273*H205+I273*I205+J273*J205+K273*K205+L273*L205+M273*M205+N273*N205+O273*O205+P273*P205+Q273*Q205+R273*R205+S273*S205+T273*T205+U273*U205+V273*V205+W273*W205+X273*X205+Y273*Y205+Z273*Z205+AA273*AA205+AB273*AB205+AC273*AC205+AD273*AD205+AE273*AE205+AF273*AF205+AG273*AG205+AH273*AH205+AI273*AI205+AJ273*AJ205+AK273*AK205+AL273*AL205+AM273*AM205+AN273*AN205+AO273*AO205+AP273*AP205+AQ273*AQ205+AR273*AR205+AS273*AS205+AT273*AT205+AU273*AU205+AV273*AV205+AW273*AW205+AX273*AX205+AY273*AY205+AZ273*AZ205+BA273*BA205+BB273*BB205+BC273*BC205+BD273*BD205+BE273*BE205+BF273*BF205+BG273*BG205+BH273*BH205+BI273*BI205+BJ273*BJ205+BK273*BK205+BL273*BL205+BM273*BM205+BN273*BN205+BO273*BO205+BP273*BP205+BQ273*BQ205+BR273*BR205+BS273*BS205+BT273*BT205+BU273*BU205+BV273*BV205+BW273*BW205+BX273*BX205+BY273*BY205+BZ273*BZ205+CA273*CA205+CB273*CB205+CC273*CC205+CD273*CD205+CE273*CE205+CF273*CF205+CG273*CG205+CH273*CH205+CI273*CI205+CJ273*CJ205+CK273*CK205+CL273*CL205+CM273*CM205+CN273*CN205+CO273*CO205+CP273*CP205+CQ273*CQ205+CR273*CR205+CS273*CS205</f>
        <v>0</v>
      </c>
      <c r="DD205" s="2504">
        <f>E274*E205+F274*F205+G274*G205+H274*H205+I274*I205+J274*J205+K274*K205+L274*L205+M274*M205+N274*N205+O274*O205+P274*P205+Q274*Q205+R274*R205+S274*S205+T274*T205+U274*U205+V274*V205+W274*W205+X274*X205+Y274*Y205+Z274*Z205+AA274*AA205+AB274*AB205+AC274*AC205+AD274*AD205+AE274*AE205+AF274*AF205+AG274*AG205+AH274*AH205+AI274*AI205+AJ274*AJ205+AK274*AK205+AL274*AL205+AM274*AM205+AN274*AN205+AO274*AO205+AP274*AP205+AQ274*AQ205+AR274*AR205+AS274*AS205+AT274*AT205+AU274*AU205+AV274*AV205+AW274*AW205+AX274*AX205+AY274*AY205+AZ274*AZ205+BA274*BA205+BB274*BB205+BC274*BC205+BD274*BD205+BE274*BE205+BF274*BF205+BG274*BG205+BH274*BH205+BI274*BI205+BJ274*BJ205+BK274*BK205+BL274*BL205+BM274*BM205+BN274*BN205+BO274*BO205+BP274*BP205+BQ274*BQ205+BR274*BR205+BS274*BS205+BT274*BT205+BU274*BU205+BV274*BV205+BW274*BW205+BX274*BX205+BY274*BY205+BZ274*BZ205+CA274*CA205+CB274*CB205+CC274*CC205+CD274*CD205+CE274*CE205+CF274*CF205+CG274*CG205+CH274*CH205+CI274*CI205+CJ274*CJ205+CK274*CK205+CL274*CL205+CM274*CM205+CN274*CN205+CO274*CO205+CP274*CP205+CQ274*CQ205+CR274*CR205+CS274*CS205</f>
        <v>0</v>
      </c>
      <c r="DE205" s="2504">
        <f>E275*E205+F275*F205+G275*G205+H275*H205+I275*I205+J275*J205+K275*K205+L275*L205+M275*M205+N275*N205+O275*O205+P275*P205+Q275*Q205+R275*R205+S275*S205+T275*T205+U275*U205+V275*V205+W275*W205+X275*X205+Y275*Y205+Z275*Z205+AA275*AA205+AB275*AB205+AC275*AC205+AD275*AD205+AE275*AE205+AF275*AF205+AG275*AG205+AH275*AH205+AI275*AI205+AJ275*AJ205+AK275*AK205+AL275*AL205+AM275*AM205+AN275*AN205+AO275*AO205+AP275*AP205+AQ275*AQ205+AR275*AR205+AS275*AS205+AT275*AT205+AU275*AU205+AV275*AV205+AW275*AW205+AX275*AX205+AY275*AY205+AZ275*AZ205+BA275*BA205+BB275*BB205+BC275*BC205+BD275*BD205+BE275*BE205+BF275*BF205+BG275*BG205+BH275*BH205+BI275*BI205+BJ275*BJ205+BK275*BK205+BL275*BL205+BM275*BM205+BN275*BN205+BO275*BO205+BP275*BP205+BQ275*BQ205+BR275*BR205+BS275*BS205+BT275*BT205+BU275*BU205+BV275*BV205+BW275*BW205+BX275*BX205+BY275*BY205+BZ275*BZ205+CA275*CA205+CB275*CB205+CC275*CC205+CD275*CD205+CE275*CE205+CF275*CF205+CG275*CG205+CH275*CH205+CI275*CI205+CJ275*CJ205+CK275*CK205+CL275*CL205+CM275*CM205+CN275*CN205+CO275*CO205+CP275*CP205+CQ275*CQ205+CR275*CR205+CS275*CS205</f>
        <v>0</v>
      </c>
      <c r="DF205" s="2504">
        <f>E276*E205+F276*F205+G276*G205+H276*H205+I276*I205+J276*J205+K276*K205+L276*L205+M276*M205+N276*N205+O276*O205+P276*P205+Q276*Q205+R276*R205+S276*S205+T276*T205+U276*U205+V276*V205+W276*W205+X276*X205+Y276*Y205+Z276*Z205+AA276*AA205+AB276*AB205+AC276*AC205+AD276*AD205+AE276*AE205+AF276*AF205+AG276*AG205+AH276*AH205+AI276*AI205+AJ276*AJ205+AK276*AK205+AL276*AL205+AM276*AM205+AN276*AN205+AO276*AO205+AP276*AP205+AQ276*AQ205+AR276*AR205+AS276*AS205+AT276*AT205+AU276*AU205+AV276*AV205+AW276*AW205+AX276*AX205+AY276*AY205+AZ276*AZ205+BA276*BA205+BB276*BB205+BC276*BC205+BD276*BD205+BE276*BE205+BF276*BF205+BG276*BG205+BH276*BH205+BI276*BI205+BJ276*BJ205+BK276*BK205+BL276*BL205+BM276*BM205+BN276*BN205+BO276*BO205+BP276*BP205+BQ276*BQ205+BR276*BR205+BS276*BS205+BT276*BT205+BU276*BU205+BV276*BV205+BW276*BW205+BX276*BX205+BY276*BY205+BZ276*BZ205+CA276*CA205+CB276*CB205+CC276*CC205+CD276*CD205+CE276*CE205+CF276*CF205+CG276*CG205+CH276*CH205+CI276*CI205+CJ276*CJ205+CK276*CK205+CL276*CL205+CM276*CM205+CN276*CN205+CO276*CO205+CP276*CP205+CQ276*CQ205+CR276*CR205+CS276*CS205</f>
        <v>0</v>
      </c>
    </row>
    <row r="206" spans="2:110" x14ac:dyDescent="0.25">
      <c r="B206" s="1642">
        <v>64</v>
      </c>
      <c r="C206" s="1643" t="s">
        <v>2387</v>
      </c>
      <c r="D206" s="1644" t="s">
        <v>4964</v>
      </c>
      <c r="E206" s="1645">
        <f>0</f>
        <v>0</v>
      </c>
      <c r="F206" s="1645">
        <f>0</f>
        <v>0</v>
      </c>
      <c r="G206" s="1645">
        <f>0</f>
        <v>0</v>
      </c>
      <c r="H206" s="1645">
        <f>0</f>
        <v>0</v>
      </c>
      <c r="I206" s="1645">
        <f>0</f>
        <v>0</v>
      </c>
      <c r="J206" s="1645">
        <f>0</f>
        <v>0</v>
      </c>
      <c r="K206" s="1645">
        <f>0</f>
        <v>0</v>
      </c>
      <c r="L206" s="1645">
        <f>0</f>
        <v>0</v>
      </c>
      <c r="M206" s="1645">
        <f>0</f>
        <v>0</v>
      </c>
      <c r="N206" s="1645">
        <f>0</f>
        <v>0</v>
      </c>
      <c r="O206" s="1645">
        <f>0</f>
        <v>0</v>
      </c>
      <c r="P206" s="1645">
        <f>0</f>
        <v>0</v>
      </c>
      <c r="Q206" s="1645">
        <f>0</f>
        <v>0</v>
      </c>
      <c r="R206" s="1645">
        <f>0</f>
        <v>0</v>
      </c>
      <c r="S206" s="1645">
        <f>0</f>
        <v>0</v>
      </c>
      <c r="T206" s="1645">
        <f>0</f>
        <v>0</v>
      </c>
      <c r="U206" s="1645">
        <f>0</f>
        <v>0</v>
      </c>
      <c r="V206" s="1645">
        <f>0</f>
        <v>0</v>
      </c>
      <c r="W206" s="1645">
        <f>0</f>
        <v>0</v>
      </c>
      <c r="X206" s="1645">
        <f>0</f>
        <v>0</v>
      </c>
      <c r="Y206" s="1645">
        <f>0</f>
        <v>0</v>
      </c>
      <c r="Z206" s="1645">
        <f>1</f>
        <v>1</v>
      </c>
      <c r="AA206" s="1646">
        <f>-i_N_ALGAE</f>
        <v>-7.0000000000000007E-2</v>
      </c>
      <c r="AB206" s="1645">
        <f>0</f>
        <v>0</v>
      </c>
      <c r="AC206" s="1645">
        <f>0</f>
        <v>0</v>
      </c>
      <c r="AD206" s="1645">
        <f>0</f>
        <v>0</v>
      </c>
      <c r="AE206" s="1645">
        <f>0</f>
        <v>0</v>
      </c>
      <c r="AF206" s="1645">
        <f>0</f>
        <v>0</v>
      </c>
      <c r="AG206" s="1645">
        <f>0</f>
        <v>0</v>
      </c>
      <c r="AH206" s="1645">
        <f>0</f>
        <v>0</v>
      </c>
      <c r="AI206" s="1645">
        <f>0</f>
        <v>0</v>
      </c>
      <c r="AJ206" s="1645">
        <f>0</f>
        <v>0</v>
      </c>
      <c r="AK206" s="1645">
        <f>0</f>
        <v>0</v>
      </c>
      <c r="AL206" s="1645">
        <f>0</f>
        <v>0</v>
      </c>
      <c r="AM206" s="1646">
        <f>-i_P_ALGAE</f>
        <v>-0.02</v>
      </c>
      <c r="AN206" s="1645">
        <f>0</f>
        <v>0</v>
      </c>
      <c r="AO206" s="1645">
        <f>0</f>
        <v>0</v>
      </c>
      <c r="AP206" s="1645">
        <f>0</f>
        <v>0</v>
      </c>
      <c r="AQ206" s="1645">
        <f>0</f>
        <v>0</v>
      </c>
      <c r="AR206" s="1645">
        <f>0</f>
        <v>0</v>
      </c>
      <c r="AS206" s="1645">
        <f>1</f>
        <v>1</v>
      </c>
      <c r="AT206" s="1645">
        <f>0</f>
        <v>0</v>
      </c>
      <c r="AU206" s="1645">
        <f>0</f>
        <v>0</v>
      </c>
      <c r="AV206" s="1647">
        <f>-i_CIT_ALGAE</f>
        <v>-0.375</v>
      </c>
      <c r="AW206" s="1645">
        <f>i_INORG</f>
        <v>0.11</v>
      </c>
      <c r="AX206" s="1648">
        <f>-i_INORG*(1-i_Ca_INORG*(A_MCa+2*A_MCl)/A_MCa-i_Mg_INORG*(A_MMg+2*A_MCl)/A_MMg)*f_Na</f>
        <v>-2.8804303582798466E-2</v>
      </c>
      <c r="AY206" s="1648">
        <f>-i_INORG*(i_Ca_INORG*(2*A_MCl)/A_MCa+i_Mg_INORG*(2*A_MCl)/A_MMg)-i_INORG*(1-i_Ca_INORG*(A_MCa+2*A_MCl)/A_MCa-i_Mg_INORG*(A_MMg+2*A_MCl)/A_MMg)*(1-f_Na)</f>
        <v>-7.0195696417201539E-2</v>
      </c>
      <c r="AZ206" s="1648">
        <f>-i_INORG*i_Ca_INORG</f>
        <v>-5.5000000000000005E-3</v>
      </c>
      <c r="BA206" s="1648">
        <f>-i_INORG*i_Mg_INORG</f>
        <v>-5.5000000000000005E-3</v>
      </c>
      <c r="BB206" s="1645">
        <f>0</f>
        <v>0</v>
      </c>
      <c r="BC206" s="1645">
        <f>0</f>
        <v>0</v>
      </c>
      <c r="BD206" s="1645">
        <f>0</f>
        <v>0</v>
      </c>
      <c r="BE206" s="1645">
        <f>0</f>
        <v>0</v>
      </c>
      <c r="BF206" s="1645">
        <f>0</f>
        <v>0</v>
      </c>
      <c r="BG206" s="1645">
        <f>0</f>
        <v>0</v>
      </c>
      <c r="BH206" s="1645">
        <f>0</f>
        <v>0</v>
      </c>
      <c r="BI206" s="1645">
        <f>0</f>
        <v>0</v>
      </c>
      <c r="BJ206" s="1645">
        <f>0</f>
        <v>0</v>
      </c>
      <c r="BK206" s="1645">
        <f>0</f>
        <v>0</v>
      </c>
      <c r="BL206" s="1645">
        <f>0</f>
        <v>0</v>
      </c>
      <c r="BM206" s="1645">
        <f>0</f>
        <v>0</v>
      </c>
      <c r="BN206" s="1645">
        <f>0</f>
        <v>0</v>
      </c>
      <c r="BO206" s="1645">
        <f>0</f>
        <v>0</v>
      </c>
      <c r="BP206" s="1645">
        <f>0</f>
        <v>0</v>
      </c>
      <c r="BQ206" s="1645">
        <f>0</f>
        <v>0</v>
      </c>
      <c r="BR206" s="1645">
        <f>0</f>
        <v>0</v>
      </c>
      <c r="BS206" s="1645">
        <f>0</f>
        <v>0</v>
      </c>
      <c r="BT206" s="1645">
        <f>0</f>
        <v>0</v>
      </c>
      <c r="BU206" s="1645">
        <f>0</f>
        <v>0</v>
      </c>
      <c r="BV206" s="1645">
        <f>0</f>
        <v>0</v>
      </c>
      <c r="BW206" s="2366">
        <f>0</f>
        <v>0</v>
      </c>
      <c r="BX206" s="2366">
        <f>0</f>
        <v>0</v>
      </c>
      <c r="BY206" s="2366">
        <f>0</f>
        <v>0</v>
      </c>
      <c r="BZ206" s="2366">
        <f>0</f>
        <v>0</v>
      </c>
      <c r="CA206" s="1645">
        <f>0</f>
        <v>0</v>
      </c>
      <c r="CB206" s="1645">
        <f>0</f>
        <v>0</v>
      </c>
      <c r="CC206" s="1645">
        <f>0</f>
        <v>0</v>
      </c>
      <c r="CD206" s="1645">
        <f>0</f>
        <v>0</v>
      </c>
      <c r="CE206" s="1645">
        <f>0</f>
        <v>0</v>
      </c>
      <c r="CF206" s="1645">
        <f>0</f>
        <v>0</v>
      </c>
      <c r="CG206" s="1645">
        <f>0</f>
        <v>0</v>
      </c>
      <c r="CH206" s="1645">
        <f>0</f>
        <v>0</v>
      </c>
      <c r="CI206" s="1645">
        <f>0</f>
        <v>0</v>
      </c>
      <c r="CJ206" s="1645">
        <f>0</f>
        <v>0</v>
      </c>
      <c r="CK206" s="1645">
        <f>0</f>
        <v>0</v>
      </c>
      <c r="CL206" s="1645">
        <f>0</f>
        <v>0</v>
      </c>
      <c r="CM206" s="1645">
        <f>0</f>
        <v>0</v>
      </c>
      <c r="CN206" s="1645">
        <f>0</f>
        <v>0</v>
      </c>
      <c r="CO206" s="1645">
        <f>0</f>
        <v>0</v>
      </c>
      <c r="CP206" s="1645">
        <f>0</f>
        <v>0</v>
      </c>
      <c r="CQ206" s="1645">
        <f>0</f>
        <v>0</v>
      </c>
      <c r="CR206" s="1645">
        <f>0</f>
        <v>0</v>
      </c>
      <c r="CS206" s="1645">
        <f>0</f>
        <v>0</v>
      </c>
      <c r="CT206" s="2488">
        <f>µ_ALGAE_T*X_ALGAE*M_satSNHx_KNHx_ALGAE*M_satSPO4_KPO4_BIO*M_satSCO2_KCO2_ALGAE*L_ightSwitch</f>
        <v>0</v>
      </c>
      <c r="CV206" s="2502">
        <f>E266*E206+F266*F206+G266*G206+H266*H206+I266*I206+J266*J206+K266*K206+L266*L206+M266*M206+N266*N206+O266*O206+P266*P206+Q266*Q206+R266*R206+S266*S206+T266*T206+U266*U206+V266*V206+W266*W206+X266*X206+Y266*Y206+Z266*Z206+AA266*AA206+AB266*AB206+AC266*AC206+AD266*AD206+AE266*AE206+AF266*AF206+AG266*AG206+AH266*AH206+AI266*AI206+AJ266*AJ206+AK266*AK206+AL266*AL206+AM266*AM206+AN266*AN206+AO266*AO206+AP266*AP206+AQ266*AQ206+AR266*AR206+AS266*AS206+AT266*AT206+AU266*AU206+AV266*AV206+AW266*AW206+AX266*AX206+AY266*AY206+AZ266*AZ206+BA266*BA206+BB266*BB206+BC266*BC206+BD266*BD206+BE266*BE206+BF266*BF206+BG266*BG206+BH266*BH206+BI266*BI206+BJ266*BJ206+BK266*BK206+BL266*BL206+BM266*BM206+BN266*BN206+BO266*BO206+BP266*BP206+BQ266*BQ206+BR266*BR206+BS266*BS206+BT266*BT206+BU266*BU206+BV266*BV206+BW266*BW206+BX266*BX206+BY266*BY206+BZ266*BZ206+CA266*CA206+CB266*CB206+CC266*CC206+CD266*CD206+CE266*CE206+CF266*CF206+CG266*CG206+CH266*CH206+CI266*CI206+CJ266*CJ206+CK266*CK206+CL266*CL206+CM266*CM206+CN266*CN206+CO266*CO206+CP266*CP206+CQ266*CQ206+CR266*CR206+CS266*CS206</f>
        <v>0</v>
      </c>
      <c r="CW206" s="2502">
        <f>E267*E206+F267*F206+G267*G206+H267*H206+I267*I206+J267*J206+K267*K206+L267*L206+M267*M206+N267*N206+O267*O206+P267*P206+Q267*Q206+R267*R206+S267*S206+T267*T206+U267*U206+V267*V206+W267*W206+X267*X206+Y267*Y206+Z267*Z206+AA267*AA206+AB267*AB206+AC267*AC206+AD267*AD206+AE267*AE206+AF267*AF206+AG267*AG206+AH267*AH206+AI267*AI206+AJ267*AJ206+AK267*AK206+AL267*AL206+AM267*AM206+AN267*AN206+AO267*AO206+AP267*AP206+AQ267*AQ206+AR267*AR206+AS267*AS206+AT267*AT206+AU267*AU206+AV267*AV206+AW267*AW206+AX267*AX206+AY267*AY206+AZ267*AZ206+BA267*BA206+BB267*BB206+BC267*BC206+BD267*BD206+BE267*BE206+BF267*BF206+BG267*BG206+BH267*BH206+BI267*BI206+BJ267*BJ206+BK267*BK206+BL267*BL206+BM267*BM206+BN267*BN206+BO267*BO206+BP267*BP206+BQ267*BQ206+BR267*BR206+BS267*BS206+BT267*BT206+BU267*BU206+BV267*BV206+BW267*BW206+BX267*BX206+BY267*BY206+BZ267*BZ206+CA267*CA206+CB267*CB206+CC267*CC206+CD267*CD206+CE267*CE206+CF267*CF206+CG267*CG206+CH267*CH206+CI267*CI206+CJ267*CJ206+CK267*CK206+CL267*CL206+CM267*CM206+CN267*CN206+CO267*CO206+CP267*CP206+CQ267*CQ206+CR267*CR206+CS267*CS206</f>
        <v>0</v>
      </c>
      <c r="CX206" s="2503">
        <f>E268*E206+F268*F206+G268*G206+H268*H206+I268*I206+J268*J206+K268*K206+L268*L206+M268*M206+N268*N206+O268*O206+P268*P206+Q268*Q206+R268*R206+S268*S206+T268*T206+U268*U206+V268*V206+W268*W206+X268*X206+Y268*Y206+Z268*Z206+AA268*AA206+AB268*AB206+AC268*AC206+AD268*AD206+AE268*AE206+AF268*AF206+AG268*AG206+AH268*AH206+AI268*AI206+AJ268*AJ206+AK268*AK206+AL268*AL206+AM268*AM206+AN268*AN206+AO268*AO206+AP268*AP206+AQ268*AQ206+AR268*AR206+AS268*AS206+AT268*AT206+AU268*AU206+AV268*AV206+AW268*AW206+AX268*AX206+AY268*AY206+AZ268*AZ206+BA268*BA206+BB268*BB206+BC268*BC206+BD268*BD206+BE268*BE206+BF268*BF206+BG268*BG206+BH268*BH206+BI268*BI206+BJ268*BJ206+BK268*BK206+BL268*BL206+BM268*BM206+BN268*BN206+BO268*BO206+BP268*BP206+BQ268*BQ206+BR268*BR206+BS268*BS206+BT268*BT206+BU268*BU206+BV268*BV206+BW268*BW206+BX268*BX206+BY268*BY206+BZ268*BZ206+CA268*CA206+CB268*CB206+CC268*CC206+CD268*CD206+CE268*CE206+CF268*CF206+CG268*CG206+CH268*CH206+CI268*CI206+CJ268*CJ206+CK268*CK206+CL268*CL206+CM268*CM206+CN268*CN206+CO268*CO206+CP268*CP206+CQ268*CQ206+CR268*CR206+CS268*CS206</f>
        <v>0</v>
      </c>
      <c r="CY206" s="2504">
        <f>E269*E206+F269*F206+G269*G206+H269*H206+I269*I206+J269*J206+K269*K206+L269*L206+M269*M206+N269*N206+O269*O206+P269*P206+Q269*Q206+R269*R206+S269*S206+T269*T206+U269*U206+V269*V206+W269*W206+X269*X206+Y269*Y206+Z269*Z206+AA269*AA206+AB269*AB206+AC269*AC206+AD269*AD206+AE269*AE206+AF269*AF206+AG269*AG206+AH269*AH206+AI269*AI206+AJ269*AJ206+AK269*AK206+AL269*AL206+AM269*AM206+AN269*AN206+AO269*AO206+AP269*AP206+AQ269*AQ206+AR269*AR206+AS269*AS206+AT269*AT206+AU269*AU206+AV269*AV206+AW269*AW206+AX269*AX206+AY269*AY206+AZ269*AZ206+BA269*BA206+BB269*BB206+BC269*BC206+BD269*BD206+BE269*BE206+BF269*BF206+BG269*BG206+BH269*BH206+BI269*BI206+BJ269*BJ206+BK269*BK206+BL269*BL206+BM269*BM206+BN269*BN206+BO269*BO206+BP269*BP206+BQ269*BQ206+BR269*BR206+BS269*BS206+BT269*BT206+BU269*BU206+BV269*BV206+BW269*BW206+BX269*BX206+BY269*BY206+BZ269*BZ206+CA269*CA206+CB269*CB206+CC269*CC206+CD269*CD206+CE269*CE206+CF269*CF206+CG269*CG206+CH269*CH206+CI269*CI206+CJ269*CJ206+CK269*CK206+CL269*CL206+CM269*CM206+CN269*CN206+CO269*CO206+CP269*CP206+CQ269*CQ206+CR269*CR206+CS269*CS206</f>
        <v>0</v>
      </c>
      <c r="CZ206" s="2504">
        <f>E270*E206+F270*F206+G270*G206+H270*H206+I270*I206+J270*J206+K270*K206+L270*L206+M270*M206+N270*N206+O270*O206+P270*P206+Q270*Q206+R270*R206+S270*S206+T270*T206+U270*U206+V270*V206+W270*W206+X270*X206+Y270*Y206+Z270*Z206+AA270*AA206+AB270*AB206+AC270*AC206+AD270*AD206+AE270*AE206+AF270*AF206+AG270*AG206+AH270*AH206+AI270*AI206+AJ270*AJ206+AK270*AK206+AL270*AL206+AM270*AM206+AN270*AN206+AO270*AO206+AP270*AP206+AQ270*AQ206+AR270*AR206+AS270*AS206+AT270*AT206+AU270*AU206+AV270*AV206+AW270*AW206+AX270*AX206+AY270*AY206+AZ270*AZ206+BA270*BA206+BB270*BB206+BC270*BC206+BD270*BD206+BE270*BE206+BF270*BF206+BG270*BG206+BH270*BH206+BI270*BI206+BJ270*BJ206+BK270*BK206+BL270*BL206+BM270*BM206+BN270*BN206+BO270*BO206+BP270*BP206+BQ270*BQ206+BR270*BR206+BS270*BS206+BT270*BT206+BU270*BU206+BV270*BV206+BW270*BW206+BX270*BX206+BY270*BY206+BZ270*BZ206+CA270*CA206+CB270*CB206+CC270*CC206+CD270*CD206+CE270*CE206+CF270*CF206+CG270*CG206+CH270*CH206+CI270*CI206+CJ270*CJ206+CK270*CK206+CL270*CL206+CM270*CM206+CN270*CN206+CO270*CO206+CP270*CP206+CQ270*CQ206+CR270*CR206+CS270*CS206</f>
        <v>0</v>
      </c>
      <c r="DA206" s="2504">
        <f>E271*E206+F271*F206+G271*G206+H271*H206+I271*I206+J271*J206+K271*K206+L271*L206+M271*M206+N271*N206+O271*O206+P271*P206+Q271*Q206+R271*R206+S271*S206+T271*T206+U271*U206+V271*V206+W271*W206+X271*X206+Y271*Y206+Z271*Z206+AA271*AA206+AB271*AB206+AC271*AC206+AD271*AD206+AE271*AE206+AF271*AF206+AG271*AG206+AH271*AH206+AI271*AI206+AJ271*AJ206+AK271*AK206+AL271*AL206+AM271*AM206+AN271*AN206+AO271*AO206+AP271*AP206+AQ271*AQ206+AR271*AR206+AS271*AS206+AT271*AT206+AU271*AU206+AV271*AV206+AW271*AW206+AX271*AX206+AY271*AY206+AZ271*AZ206+BA271*BA206+BB271*BB206+BC271*BC206+BD271*BD206+BE271*BE206+BF271*BF206+BG271*BG206+BH271*BH206+BI271*BI206+BJ271*BJ206+BK271*BK206+BL271*BL206+BM271*BM206+BN271*BN206+BO271*BO206+BP271*BP206+BQ271*BQ206+BR271*BR206+BS271*BS206+BT271*BT206+BU271*BU206+BV271*BV206+BW271*BW206+BX271*BX206+BY271*BY206+BZ271*BZ206+CA271*CA206+CB271*CB206+CC271*CC206+CD271*CD206+CE271*CE206+CF271*CF206+CG271*CG206+CH271*CH206+CI271*CI206+CJ271*CJ206+CK271*CK206+CL271*CL206+CM271*CM206+CN271*CN206+CO271*CO206+CP271*CP206+CQ271*CQ206+CR271*CR206+CS271*CS206</f>
        <v>0</v>
      </c>
      <c r="DB206" s="2504">
        <f>E272*E206+F272*F206+G272*G206+H272*H206+I272*I206+J272*J206+K272*K206+L272*L206+M272*M206+N272*N206+O272*O206+P272*P206+Q272*Q206+R272*R206+S272*S206+T272*T206+U272*U206+V272*V206+W272*W206+X272*X206+Y272*Y206+Z272*Z206+AA272*AA206+AB272*AB206+AC272*AC206+AD272*AD206+AE272*AE206+AF272*AF206+AG272*AG206+AH272*AH206+AI272*AI206+AJ272*AJ206+AK272*AK206+AL272*AL206+AM272*AM206+AN272*AN206+AO272*AO206+AP272*AP206+AQ272*AQ206+AR272*AR206+AS272*AS206+AT272*AT206+AU272*AU206+AV272*AV206+AW272*AW206+AX272*AX206+AY272*AY206+AZ272*AZ206+BA272*BA206+BB272*BB206+BC272*BC206+BD272*BD206+BE272*BE206+BF272*BF206+BG272*BG206+BH272*BH206+BI272*BI206+BJ272*BJ206+BK272*BK206+BL272*BL206+BM272*BM206+BN272*BN206+BO272*BO206+BP272*BP206+BQ272*BQ206+BR272*BR206+BS272*BS206+BT272*BT206+BU272*BU206+BV272*BV206+BW272*BW206+BX272*BX206+BY272*BY206+BZ272*BZ206+CA272*CA206+CB272*CB206+CC272*CC206+CD272*CD206+CE272*CE206+CF272*CF206+CG272*CG206+CH272*CH206+CI272*CI206+CJ272*CJ206+CK272*CK206+CL272*CL206+CM272*CM206+CN272*CN206+CO272*CO206+CP272*CP206+CQ272*CQ206+CR272*CR206+CS272*CS206</f>
        <v>0</v>
      </c>
      <c r="DC206" s="2504">
        <f>E273*E206+F273*F206+G273*G206+H273*H206+I273*I206+J273*J206+K273*K206+L273*L206+M273*M206+N273*N206+O273*O206+P273*P206+Q273*Q206+R273*R206+S273*S206+T273*T206+U273*U206+V273*V206+W273*W206+X273*X206+Y273*Y206+Z273*Z206+AA273*AA206+AB273*AB206+AC273*AC206+AD273*AD206+AE273*AE206+AF273*AF206+AG273*AG206+AH273*AH206+AI273*AI206+AJ273*AJ206+AK273*AK206+AL273*AL206+AM273*AM206+AN273*AN206+AO273*AO206+AP273*AP206+AQ273*AQ206+AR273*AR206+AS273*AS206+AT273*AT206+AU273*AU206+AV273*AV206+AW273*AW206+AX273*AX206+AY273*AY206+AZ273*AZ206+BA273*BA206+BB273*BB206+BC273*BC206+BD273*BD206+BE273*BE206+BF273*BF206+BG273*BG206+BH273*BH206+BI273*BI206+BJ273*BJ206+BK273*BK206+BL273*BL206+BM273*BM206+BN273*BN206+BO273*BO206+BP273*BP206+BQ273*BQ206+BR273*BR206+BS273*BS206+BT273*BT206+BU273*BU206+BV273*BV206+BW273*BW206+BX273*BX206+BY273*BY206+BZ273*BZ206+CA273*CA206+CB273*CB206+CC273*CC206+CD273*CD206+CE273*CE206+CF273*CF206+CG273*CG206+CH273*CH206+CI273*CI206+CJ273*CJ206+CK273*CK206+CL273*CL206+CM273*CM206+CN273*CN206+CO273*CO206+CP273*CP206+CQ273*CQ206+CR273*CR206+CS273*CS206</f>
        <v>0</v>
      </c>
      <c r="DD206" s="2504">
        <f>E274*E206+F274*F206+G274*G206+H274*H206+I274*I206+J274*J206+K274*K206+L274*L206+M274*M206+N274*N206+O274*O206+P274*P206+Q274*Q206+R274*R206+S274*S206+T274*T206+U274*U206+V274*V206+W274*W206+X274*X206+Y274*Y206+Z274*Z206+AA274*AA206+AB274*AB206+AC274*AC206+AD274*AD206+AE274*AE206+AF274*AF206+AG274*AG206+AH274*AH206+AI274*AI206+AJ274*AJ206+AK274*AK206+AL274*AL206+AM274*AM206+AN274*AN206+AO274*AO206+AP274*AP206+AQ274*AQ206+AR274*AR206+AS274*AS206+AT274*AT206+AU274*AU206+AV274*AV206+AW274*AW206+AX274*AX206+AY274*AY206+AZ274*AZ206+BA274*BA206+BB274*BB206+BC274*BC206+BD274*BD206+BE274*BE206+BF274*BF206+BG274*BG206+BH274*BH206+BI274*BI206+BJ274*BJ206+BK274*BK206+BL274*BL206+BM274*BM206+BN274*BN206+BO274*BO206+BP274*BP206+BQ274*BQ206+BR274*BR206+BS274*BS206+BT274*BT206+BU274*BU206+BV274*BV206+BW274*BW206+BX274*BX206+BY274*BY206+BZ274*BZ206+CA274*CA206+CB274*CB206+CC274*CC206+CD274*CD206+CE274*CE206+CF274*CF206+CG274*CG206+CH274*CH206+CI274*CI206+CJ274*CJ206+CK274*CK206+CL274*CL206+CM274*CM206+CN274*CN206+CO274*CO206+CP274*CP206+CQ274*CQ206+CR274*CR206+CS274*CS206</f>
        <v>0</v>
      </c>
      <c r="DE206" s="2504">
        <f>E275*E206+F275*F206+G275*G206+H275*H206+I275*I206+J275*J206+K275*K206+L275*L206+M275*M206+N275*N206+O275*O206+P275*P206+Q275*Q206+R275*R206+S275*S206+T275*T206+U275*U206+V275*V206+W275*W206+X275*X206+Y275*Y206+Z275*Z206+AA275*AA206+AB275*AB206+AC275*AC206+AD275*AD206+AE275*AE206+AF275*AF206+AG275*AG206+AH275*AH206+AI275*AI206+AJ275*AJ206+AK275*AK206+AL275*AL206+AM275*AM206+AN275*AN206+AO275*AO206+AP275*AP206+AQ275*AQ206+AR275*AR206+AS275*AS206+AT275*AT206+AU275*AU206+AV275*AV206+AW275*AW206+AX275*AX206+AY275*AY206+AZ275*AZ206+BA275*BA206+BB275*BB206+BC275*BC206+BD275*BD206+BE275*BE206+BF275*BF206+BG275*BG206+BH275*BH206+BI275*BI206+BJ275*BJ206+BK275*BK206+BL275*BL206+BM275*BM206+BN275*BN206+BO275*BO206+BP275*BP206+BQ275*BQ206+BR275*BR206+BS275*BS206+BT275*BT206+BU275*BU206+BV275*BV206+BW275*BW206+BX275*BX206+BY275*BY206+BZ275*BZ206+CA275*CA206+CB275*CB206+CC275*CC206+CD275*CD206+CE275*CE206+CF275*CF206+CG275*CG206+CH275*CH206+CI275*CI206+CJ275*CJ206+CK275*CK206+CL275*CL206+CM275*CM206+CN275*CN206+CO275*CO206+CP275*CP206+CQ275*CQ206+CR275*CR206+CS275*CS206</f>
        <v>0</v>
      </c>
      <c r="DF206" s="2504">
        <f>E276*E206+F276*F206+G276*G206+H276*H206+I276*I206+J276*J206+K276*K206+L276*L206+M276*M206+N276*N206+O276*O206+P276*P206+Q276*Q206+R276*R206+S276*S206+T276*T206+U276*U206+V276*V206+W276*W206+X276*X206+Y276*Y206+Z276*Z206+AA276*AA206+AB276*AB206+AC276*AC206+AD276*AD206+AE276*AE206+AF276*AF206+AG276*AG206+AH276*AH206+AI276*AI206+AJ276*AJ206+AK276*AK206+AL276*AL206+AM276*AM206+AN276*AN206+AO276*AO206+AP276*AP206+AQ276*AQ206+AR276*AR206+AS276*AS206+AT276*AT206+AU276*AU206+AV276*AV206+AW276*AW206+AX276*AX206+AY276*AY206+AZ276*AZ206+BA276*BA206+BB276*BB206+BC276*BC206+BD276*BD206+BE276*BE206+BF276*BF206+BG276*BG206+BH276*BH206+BI276*BI206+BJ276*BJ206+BK276*BK206+BL276*BL206+BM276*BM206+BN276*BN206+BO276*BO206+BP276*BP206+BQ276*BQ206+BR276*BR206+BS276*BS206+BT276*BT206+BU276*BU206+BV276*BV206+BW276*BW206+BX276*BX206+BY276*BY206+BZ276*BZ206+CA276*CA206+CB276*CB206+CC276*CC206+CD276*CD206+CE276*CE206+CF276*CF206+CG276*CG206+CH276*CH206+CI276*CI206+CJ276*CJ206+CK276*CK206+CL276*CL206+CM276*CM206+CN276*CN206+CO276*CO206+CP276*CP206+CQ276*CQ206+CR276*CR206+CS276*CS206</f>
        <v>0</v>
      </c>
    </row>
    <row r="207" spans="2:110" x14ac:dyDescent="0.25">
      <c r="B207" s="1642">
        <v>65</v>
      </c>
      <c r="C207" s="1643" t="s">
        <v>2388</v>
      </c>
      <c r="D207" s="1644" t="s">
        <v>4967</v>
      </c>
      <c r="E207" s="1645">
        <f>0</f>
        <v>0</v>
      </c>
      <c r="F207" s="1645">
        <f>0</f>
        <v>0</v>
      </c>
      <c r="G207" s="1645">
        <f>0</f>
        <v>0</v>
      </c>
      <c r="H207" s="1645">
        <f>0</f>
        <v>0</v>
      </c>
      <c r="I207" s="1645">
        <f>0</f>
        <v>0</v>
      </c>
      <c r="J207" s="1645">
        <f>0</f>
        <v>0</v>
      </c>
      <c r="K207" s="1645">
        <f>0</f>
        <v>0</v>
      </c>
      <c r="L207" s="1645">
        <f>0</f>
        <v>0</v>
      </c>
      <c r="M207" s="1645">
        <f>0</f>
        <v>0</v>
      </c>
      <c r="N207" s="1645">
        <f>0</f>
        <v>0</v>
      </c>
      <c r="O207" s="1645">
        <f>0</f>
        <v>0</v>
      </c>
      <c r="P207" s="1645">
        <f>0</f>
        <v>0</v>
      </c>
      <c r="Q207" s="1645">
        <f>0</f>
        <v>0</v>
      </c>
      <c r="R207" s="1645">
        <f>0</f>
        <v>0</v>
      </c>
      <c r="S207" s="1645">
        <f>0</f>
        <v>0</v>
      </c>
      <c r="T207" s="1645">
        <f>0</f>
        <v>0</v>
      </c>
      <c r="U207" s="1645">
        <f>0</f>
        <v>0</v>
      </c>
      <c r="V207" s="1645">
        <f>0</f>
        <v>0</v>
      </c>
      <c r="W207" s="1645">
        <f>0</f>
        <v>0</v>
      </c>
      <c r="X207" s="1645">
        <f>0</f>
        <v>0</v>
      </c>
      <c r="Y207" s="1645">
        <f>0</f>
        <v>0</v>
      </c>
      <c r="Z207" s="1645">
        <f>-1</f>
        <v>-1</v>
      </c>
      <c r="AA207" s="1646">
        <f>i_N_ALGAE</f>
        <v>7.0000000000000007E-2</v>
      </c>
      <c r="AB207" s="1645">
        <f>0</f>
        <v>0</v>
      </c>
      <c r="AC207" s="1645">
        <f>0</f>
        <v>0</v>
      </c>
      <c r="AD207" s="1645">
        <f>0</f>
        <v>0</v>
      </c>
      <c r="AE207" s="1645">
        <f>0</f>
        <v>0</v>
      </c>
      <c r="AF207" s="1645">
        <f>0</f>
        <v>0</v>
      </c>
      <c r="AG207" s="1645">
        <f>0</f>
        <v>0</v>
      </c>
      <c r="AH207" s="1645">
        <f>0</f>
        <v>0</v>
      </c>
      <c r="AI207" s="1645">
        <f>0</f>
        <v>0</v>
      </c>
      <c r="AJ207" s="1645">
        <f>0</f>
        <v>0</v>
      </c>
      <c r="AK207" s="1645">
        <f>0</f>
        <v>0</v>
      </c>
      <c r="AL207" s="1645">
        <f>0</f>
        <v>0</v>
      </c>
      <c r="AM207" s="1646">
        <f>i_P_ALGAE</f>
        <v>0.02</v>
      </c>
      <c r="AN207" s="1645">
        <f>0</f>
        <v>0</v>
      </c>
      <c r="AO207" s="1645">
        <f>0</f>
        <v>0</v>
      </c>
      <c r="AP207" s="1645">
        <f>0</f>
        <v>0</v>
      </c>
      <c r="AQ207" s="1645">
        <f>0</f>
        <v>0</v>
      </c>
      <c r="AR207" s="1645">
        <f>0</f>
        <v>0</v>
      </c>
      <c r="AS207" s="1645">
        <f>-1</f>
        <v>-1</v>
      </c>
      <c r="AT207" s="1645">
        <f>0</f>
        <v>0</v>
      </c>
      <c r="AU207" s="1645">
        <f>0</f>
        <v>0</v>
      </c>
      <c r="AV207" s="1647">
        <f>i_CIT_ALGAE</f>
        <v>0.375</v>
      </c>
      <c r="AW207" s="1645">
        <f>0</f>
        <v>0</v>
      </c>
      <c r="AX207" s="1648">
        <f>0</f>
        <v>0</v>
      </c>
      <c r="AY207" s="1648">
        <f>0</f>
        <v>0</v>
      </c>
      <c r="AZ207" s="1648">
        <f>0</f>
        <v>0</v>
      </c>
      <c r="BA207" s="1648">
        <f>0</f>
        <v>0</v>
      </c>
      <c r="BB207" s="1645">
        <f>0</f>
        <v>0</v>
      </c>
      <c r="BC207" s="1645">
        <f>0</f>
        <v>0</v>
      </c>
      <c r="BD207" s="1645">
        <f>0</f>
        <v>0</v>
      </c>
      <c r="BE207" s="1645">
        <f>0</f>
        <v>0</v>
      </c>
      <c r="BF207" s="1645">
        <f>0</f>
        <v>0</v>
      </c>
      <c r="BG207" s="1645">
        <f>0</f>
        <v>0</v>
      </c>
      <c r="BH207" s="1645">
        <f>0</f>
        <v>0</v>
      </c>
      <c r="BI207" s="1645">
        <f>0</f>
        <v>0</v>
      </c>
      <c r="BJ207" s="1645">
        <f>0</f>
        <v>0</v>
      </c>
      <c r="BK207" s="1645">
        <f>0</f>
        <v>0</v>
      </c>
      <c r="BL207" s="1645">
        <f>0</f>
        <v>0</v>
      </c>
      <c r="BM207" s="1645">
        <f>0</f>
        <v>0</v>
      </c>
      <c r="BN207" s="1645">
        <f>0</f>
        <v>0</v>
      </c>
      <c r="BO207" s="1645">
        <f>0</f>
        <v>0</v>
      </c>
      <c r="BP207" s="1645">
        <f>0</f>
        <v>0</v>
      </c>
      <c r="BQ207" s="1645">
        <f>0</f>
        <v>0</v>
      </c>
      <c r="BR207" s="1645">
        <f>0</f>
        <v>0</v>
      </c>
      <c r="BS207" s="1645">
        <f>0</f>
        <v>0</v>
      </c>
      <c r="BT207" s="1645">
        <f>0</f>
        <v>0</v>
      </c>
      <c r="BU207" s="1645">
        <f>0</f>
        <v>0</v>
      </c>
      <c r="BV207" s="1645">
        <f>0</f>
        <v>0</v>
      </c>
      <c r="BW207" s="2366">
        <f>0</f>
        <v>0</v>
      </c>
      <c r="BX207" s="2366">
        <f>0</f>
        <v>0</v>
      </c>
      <c r="BY207" s="2366">
        <f>0</f>
        <v>0</v>
      </c>
      <c r="BZ207" s="2366">
        <f>0</f>
        <v>0</v>
      </c>
      <c r="CA207" s="1645">
        <f>0</f>
        <v>0</v>
      </c>
      <c r="CB207" s="1645">
        <f>0</f>
        <v>0</v>
      </c>
      <c r="CC207" s="1645">
        <f>0</f>
        <v>0</v>
      </c>
      <c r="CD207" s="1645">
        <f>0</f>
        <v>0</v>
      </c>
      <c r="CE207" s="1645">
        <f>0</f>
        <v>0</v>
      </c>
      <c r="CF207" s="1645">
        <f>0</f>
        <v>0</v>
      </c>
      <c r="CG207" s="1645">
        <f>0</f>
        <v>0</v>
      </c>
      <c r="CH207" s="1645">
        <f>0</f>
        <v>0</v>
      </c>
      <c r="CI207" s="1645">
        <f>0</f>
        <v>0</v>
      </c>
      <c r="CJ207" s="1645">
        <f>0</f>
        <v>0</v>
      </c>
      <c r="CK207" s="1645">
        <f>0</f>
        <v>0</v>
      </c>
      <c r="CL207" s="1645">
        <f>0</f>
        <v>0</v>
      </c>
      <c r="CM207" s="1645">
        <f>0</f>
        <v>0</v>
      </c>
      <c r="CN207" s="1645">
        <f>0</f>
        <v>0</v>
      </c>
      <c r="CO207" s="1645">
        <f>0</f>
        <v>0</v>
      </c>
      <c r="CP207" s="1645">
        <f>0</f>
        <v>0</v>
      </c>
      <c r="CQ207" s="1645">
        <f>0</f>
        <v>0</v>
      </c>
      <c r="CR207" s="1645">
        <f>0</f>
        <v>0</v>
      </c>
      <c r="CS207" s="1645">
        <f>0</f>
        <v>0</v>
      </c>
      <c r="CT207" s="2489">
        <f>b_ALGAE_T*X_ALGAE*M_satSO2_KO2_ALGAE</f>
        <v>0</v>
      </c>
      <c r="CV207" s="2502">
        <f>E266*E207+F266*F207+G266*G207+H266*H207+I266*I207+J266*J207+K266*K207+L266*L207+M266*M207+N266*N207+O266*O207+P266*P207+Q266*Q207+R266*R207+S266*S207+T266*T207+U266*U207+V266*V207+W266*W207+X266*X207+Y266*Y207+Z266*Z207+AA266*AA207+AB266*AB207+AC266*AC207+AD266*AD207+AE266*AE207+AF266*AF207+AG266*AG207+AH266*AH207+AI266*AI207+AJ266*AJ207+AK266*AK207+AL266*AL207+AM266*AM207+AN266*AN207+AO266*AO207+AP266*AP207+AQ266*AQ207+AR266*AR207+AS266*AS207+AT266*AT207+AU266*AU207+AV266*AV207+AW266*AW207+AX266*AX207+AY266*AY207+AZ266*AZ207+BA266*BA207+BB266*BB207+BC266*BC207+BD266*BD207+BE266*BE207+BF266*BF207+BG266*BG207+BH266*BH207+BI266*BI207+BJ266*BJ207+BK266*BK207+BL266*BL207+BM266*BM207+BN266*BN207+BO266*BO207+BP266*BP207+BQ266*BQ207+BR266*BR207+BS266*BS207+BT266*BT207+BU266*BU207+BV266*BV207+BW266*BW207+BX266*BX207+BY266*BY207+BZ266*BZ207+CA266*CA207+CB266*CB207+CC266*CC207+CD266*CD207+CE266*CE207+CF266*CF207+CG266*CG207+CH266*CH207+CI266*CI207+CJ266*CJ207+CK266*CK207+CL266*CL207+CM266*CM207+CN266*CN207+CO266*CO207+CP266*CP207+CQ266*CQ207+CR266*CR207+CS266*CS207</f>
        <v>0</v>
      </c>
      <c r="CW207" s="2502">
        <f>E267*E207+F267*F207+G267*G207+H267*H207+I267*I207+J267*J207+K267*K207+L267*L207+M267*M207+N267*N207+O267*O207+P267*P207+Q267*Q207+R267*R207+S267*S207+T267*T207+U267*U207+V267*V207+W267*W207+X267*X207+Y267*Y207+Z267*Z207+AA267*AA207+AB267*AB207+AC267*AC207+AD267*AD207+AE267*AE207+AF267*AF207+AG267*AG207+AH267*AH207+AI267*AI207+AJ267*AJ207+AK267*AK207+AL267*AL207+AM267*AM207+AN267*AN207+AO267*AO207+AP267*AP207+AQ267*AQ207+AR267*AR207+AS267*AS207+AT267*AT207+AU267*AU207+AV267*AV207+AW267*AW207+AX267*AX207+AY267*AY207+AZ267*AZ207+BA267*BA207+BB267*BB207+BC267*BC207+BD267*BD207+BE267*BE207+BF267*BF207+BG267*BG207+BH267*BH207+BI267*BI207+BJ267*BJ207+BK267*BK207+BL267*BL207+BM267*BM207+BN267*BN207+BO267*BO207+BP267*BP207+BQ267*BQ207+BR267*BR207+BS267*BS207+BT267*BT207+BU267*BU207+BV267*BV207+BW267*BW207+BX267*BX207+BY267*BY207+BZ267*BZ207+CA267*CA207+CB267*CB207+CC267*CC207+CD267*CD207+CE267*CE207+CF267*CF207+CG267*CG207+CH267*CH207+CI267*CI207+CJ267*CJ207+CK267*CK207+CL267*CL207+CM267*CM207+CN267*CN207+CO267*CO207+CP267*CP207+CQ267*CQ207+CR267*CR207+CS267*CS207</f>
        <v>0</v>
      </c>
      <c r="CX207" s="2503">
        <f>E268*E207+F268*F207+G268*G207+H268*H207+I268*I207+J268*J207+K268*K207+L268*L207+M268*M207+N268*N207+O268*O207+P268*P207+Q268*Q207+R268*R207+S268*S207+T268*T207+U268*U207+V268*V207+W268*W207+X268*X207+Y268*Y207+Z268*Z207+AA268*AA207+AB268*AB207+AC268*AC207+AD268*AD207+AE268*AE207+AF268*AF207+AG268*AG207+AH268*AH207+AI268*AI207+AJ268*AJ207+AK268*AK207+AL268*AL207+AM268*AM207+AN268*AN207+AO268*AO207+AP268*AP207+AQ268*AQ207+AR268*AR207+AS268*AS207+AT268*AT207+AU268*AU207+AV268*AV207+AW268*AW207+AX268*AX207+AY268*AY207+AZ268*AZ207+BA268*BA207+BB268*BB207+BC268*BC207+BD268*BD207+BE268*BE207+BF268*BF207+BG268*BG207+BH268*BH207+BI268*BI207+BJ268*BJ207+BK268*BK207+BL268*BL207+BM268*BM207+BN268*BN207+BO268*BO207+BP268*BP207+BQ268*BQ207+BR268*BR207+BS268*BS207+BT268*BT207+BU268*BU207+BV268*BV207+BW268*BW207+BX268*BX207+BY268*BY207+BZ268*BZ207+CA268*CA207+CB268*CB207+CC268*CC207+CD268*CD207+CE268*CE207+CF268*CF207+CG268*CG207+CH268*CH207+CI268*CI207+CJ268*CJ207+CK268*CK207+CL268*CL207+CM268*CM207+CN268*CN207+CO268*CO207+CP268*CP207+CQ268*CQ207+CR268*CR207+CS268*CS207</f>
        <v>0</v>
      </c>
      <c r="CY207" s="2504">
        <f>E269*E207+F269*F207+G269*G207+H269*H207+I269*I207+J269*J207+K269*K207+L269*L207+M269*M207+N269*N207+O269*O207+P269*P207+Q269*Q207+R269*R207+S269*S207+T269*T207+U269*U207+V269*V207+W269*W207+X269*X207+Y269*Y207+Z269*Z207+AA269*AA207+AB269*AB207+AC269*AC207+AD269*AD207+AE269*AE207+AF269*AF207+AG269*AG207+AH269*AH207+AI269*AI207+AJ269*AJ207+AK269*AK207+AL269*AL207+AM269*AM207+AN269*AN207+AO269*AO207+AP269*AP207+AQ269*AQ207+AR269*AR207+AS269*AS207+AT269*AT207+AU269*AU207+AV269*AV207+AW269*AW207+AX269*AX207+AY269*AY207+AZ269*AZ207+BA269*BA207+BB269*BB207+BC269*BC207+BD269*BD207+BE269*BE207+BF269*BF207+BG269*BG207+BH269*BH207+BI269*BI207+BJ269*BJ207+BK269*BK207+BL269*BL207+BM269*BM207+BN269*BN207+BO269*BO207+BP269*BP207+BQ269*BQ207+BR269*BR207+BS269*BS207+BT269*BT207+BU269*BU207+BV269*BV207+BW269*BW207+BX269*BX207+BY269*BY207+BZ269*BZ207+CA269*CA207+CB269*CB207+CC269*CC207+CD269*CD207+CE269*CE207+CF269*CF207+CG269*CG207+CH269*CH207+CI269*CI207+CJ269*CJ207+CK269*CK207+CL269*CL207+CM269*CM207+CN269*CN207+CO269*CO207+CP269*CP207+CQ269*CQ207+CR269*CR207+CS269*CS207</f>
        <v>0</v>
      </c>
      <c r="CZ207" s="2504">
        <f>E270*E207+F270*F207+G270*G207+H270*H207+I270*I207+J270*J207+K270*K207+L270*L207+M270*M207+N270*N207+O270*O207+P270*P207+Q270*Q207+R270*R207+S270*S207+T270*T207+U270*U207+V270*V207+W270*W207+X270*X207+Y270*Y207+Z270*Z207+AA270*AA207+AB270*AB207+AC270*AC207+AD270*AD207+AE270*AE207+AF270*AF207+AG270*AG207+AH270*AH207+AI270*AI207+AJ270*AJ207+AK270*AK207+AL270*AL207+AM270*AM207+AN270*AN207+AO270*AO207+AP270*AP207+AQ270*AQ207+AR270*AR207+AS270*AS207+AT270*AT207+AU270*AU207+AV270*AV207+AW270*AW207+AX270*AX207+AY270*AY207+AZ270*AZ207+BA270*BA207+BB270*BB207+BC270*BC207+BD270*BD207+BE270*BE207+BF270*BF207+BG270*BG207+BH270*BH207+BI270*BI207+BJ270*BJ207+BK270*BK207+BL270*BL207+BM270*BM207+BN270*BN207+BO270*BO207+BP270*BP207+BQ270*BQ207+BR270*BR207+BS270*BS207+BT270*BT207+BU270*BU207+BV270*BV207+BW270*BW207+BX270*BX207+BY270*BY207+BZ270*BZ207+CA270*CA207+CB270*CB207+CC270*CC207+CD270*CD207+CE270*CE207+CF270*CF207+CG270*CG207+CH270*CH207+CI270*CI207+CJ270*CJ207+CK270*CK207+CL270*CL207+CM270*CM207+CN270*CN207+CO270*CO207+CP270*CP207+CQ270*CQ207+CR270*CR207+CS270*CS207</f>
        <v>0</v>
      </c>
      <c r="DA207" s="2504">
        <f>E271*E207+F271*F207+G271*G207+H271*H207+I271*I207+J271*J207+K271*K207+L271*L207+M271*M207+N271*N207+O271*O207+P271*P207+Q271*Q207+R271*R207+S271*S207+T271*T207+U271*U207+V271*V207+W271*W207+X271*X207+Y271*Y207+Z271*Z207+AA271*AA207+AB271*AB207+AC271*AC207+AD271*AD207+AE271*AE207+AF271*AF207+AG271*AG207+AH271*AH207+AI271*AI207+AJ271*AJ207+AK271*AK207+AL271*AL207+AM271*AM207+AN271*AN207+AO271*AO207+AP271*AP207+AQ271*AQ207+AR271*AR207+AS271*AS207+AT271*AT207+AU271*AU207+AV271*AV207+AW271*AW207+AX271*AX207+AY271*AY207+AZ271*AZ207+BA271*BA207+BB271*BB207+BC271*BC207+BD271*BD207+BE271*BE207+BF271*BF207+BG271*BG207+BH271*BH207+BI271*BI207+BJ271*BJ207+BK271*BK207+BL271*BL207+BM271*BM207+BN271*BN207+BO271*BO207+BP271*BP207+BQ271*BQ207+BR271*BR207+BS271*BS207+BT271*BT207+BU271*BU207+BV271*BV207+BW271*BW207+BX271*BX207+BY271*BY207+BZ271*BZ207+CA271*CA207+CB271*CB207+CC271*CC207+CD271*CD207+CE271*CE207+CF271*CF207+CG271*CG207+CH271*CH207+CI271*CI207+CJ271*CJ207+CK271*CK207+CL271*CL207+CM271*CM207+CN271*CN207+CO271*CO207+CP271*CP207+CQ271*CQ207+CR271*CR207+CS271*CS207</f>
        <v>0</v>
      </c>
      <c r="DB207" s="2504">
        <f>E272*E207+F272*F207+G272*G207+H272*H207+I272*I207+J272*J207+K272*K207+L272*L207+M272*M207+N272*N207+O272*O207+P272*P207+Q272*Q207+R272*R207+S272*S207+T272*T207+U272*U207+V272*V207+W272*W207+X272*X207+Y272*Y207+Z272*Z207+AA272*AA207+AB272*AB207+AC272*AC207+AD272*AD207+AE272*AE207+AF272*AF207+AG272*AG207+AH272*AH207+AI272*AI207+AJ272*AJ207+AK272*AK207+AL272*AL207+AM272*AM207+AN272*AN207+AO272*AO207+AP272*AP207+AQ272*AQ207+AR272*AR207+AS272*AS207+AT272*AT207+AU272*AU207+AV272*AV207+AW272*AW207+AX272*AX207+AY272*AY207+AZ272*AZ207+BA272*BA207+BB272*BB207+BC272*BC207+BD272*BD207+BE272*BE207+BF272*BF207+BG272*BG207+BH272*BH207+BI272*BI207+BJ272*BJ207+BK272*BK207+BL272*BL207+BM272*BM207+BN272*BN207+BO272*BO207+BP272*BP207+BQ272*BQ207+BR272*BR207+BS272*BS207+BT272*BT207+BU272*BU207+BV272*BV207+BW272*BW207+BX272*BX207+BY272*BY207+BZ272*BZ207+CA272*CA207+CB272*CB207+CC272*CC207+CD272*CD207+CE272*CE207+CF272*CF207+CG272*CG207+CH272*CH207+CI272*CI207+CJ272*CJ207+CK272*CK207+CL272*CL207+CM272*CM207+CN272*CN207+CO272*CO207+CP272*CP207+CQ272*CQ207+CR272*CR207+CS272*CS207</f>
        <v>0</v>
      </c>
      <c r="DC207" s="2504">
        <f>E273*E207+F273*F207+G273*G207+H273*H207+I273*I207+J273*J207+K273*K207+L273*L207+M273*M207+N273*N207+O273*O207+P273*P207+Q273*Q207+R273*R207+S273*S207+T273*T207+U273*U207+V273*V207+W273*W207+X273*X207+Y273*Y207+Z273*Z207+AA273*AA207+AB273*AB207+AC273*AC207+AD273*AD207+AE273*AE207+AF273*AF207+AG273*AG207+AH273*AH207+AI273*AI207+AJ273*AJ207+AK273*AK207+AL273*AL207+AM273*AM207+AN273*AN207+AO273*AO207+AP273*AP207+AQ273*AQ207+AR273*AR207+AS273*AS207+AT273*AT207+AU273*AU207+AV273*AV207+AW273*AW207+AX273*AX207+AY273*AY207+AZ273*AZ207+BA273*BA207+BB273*BB207+BC273*BC207+BD273*BD207+BE273*BE207+BF273*BF207+BG273*BG207+BH273*BH207+BI273*BI207+BJ273*BJ207+BK273*BK207+BL273*BL207+BM273*BM207+BN273*BN207+BO273*BO207+BP273*BP207+BQ273*BQ207+BR273*BR207+BS273*BS207+BT273*BT207+BU273*BU207+BV273*BV207+BW273*BW207+BX273*BX207+BY273*BY207+BZ273*BZ207+CA273*CA207+CB273*CB207+CC273*CC207+CD273*CD207+CE273*CE207+CF273*CF207+CG273*CG207+CH273*CH207+CI273*CI207+CJ273*CJ207+CK273*CK207+CL273*CL207+CM273*CM207+CN273*CN207+CO273*CO207+CP273*CP207+CQ273*CQ207+CR273*CR207+CS273*CS207</f>
        <v>0</v>
      </c>
      <c r="DD207" s="2504">
        <f>E274*E207+F274*F207+G274*G207+H274*H207+I274*I207+J274*J207+K274*K207+L274*L207+M274*M207+N274*N207+O274*O207+P274*P207+Q274*Q207+R274*R207+S274*S207+T274*T207+U274*U207+V274*V207+W274*W207+X274*X207+Y274*Y207+Z274*Z207+AA274*AA207+AB274*AB207+AC274*AC207+AD274*AD207+AE274*AE207+AF274*AF207+AG274*AG207+AH274*AH207+AI274*AI207+AJ274*AJ207+AK274*AK207+AL274*AL207+AM274*AM207+AN274*AN207+AO274*AO207+AP274*AP207+AQ274*AQ207+AR274*AR207+AS274*AS207+AT274*AT207+AU274*AU207+AV274*AV207+AW274*AW207+AX274*AX207+AY274*AY207+AZ274*AZ207+BA274*BA207+BB274*BB207+BC274*BC207+BD274*BD207+BE274*BE207+BF274*BF207+BG274*BG207+BH274*BH207+BI274*BI207+BJ274*BJ207+BK274*BK207+BL274*BL207+BM274*BM207+BN274*BN207+BO274*BO207+BP274*BP207+BQ274*BQ207+BR274*BR207+BS274*BS207+BT274*BT207+BU274*BU207+BV274*BV207+BW274*BW207+BX274*BX207+BY274*BY207+BZ274*BZ207+CA274*CA207+CB274*CB207+CC274*CC207+CD274*CD207+CE274*CE207+CF274*CF207+CG274*CG207+CH274*CH207+CI274*CI207+CJ274*CJ207+CK274*CK207+CL274*CL207+CM274*CM207+CN274*CN207+CO274*CO207+CP274*CP207+CQ274*CQ207+CR274*CR207+CS274*CS207</f>
        <v>0</v>
      </c>
      <c r="DE207" s="2504">
        <f>E275*E207+F275*F207+G275*G207+H275*H207+I275*I207+J275*J207+K275*K207+L275*L207+M275*M207+N275*N207+O275*O207+P275*P207+Q275*Q207+R275*R207+S275*S207+T275*T207+U275*U207+V275*V207+W275*W207+X275*X207+Y275*Y207+Z275*Z207+AA275*AA207+AB275*AB207+AC275*AC207+AD275*AD207+AE275*AE207+AF275*AF207+AG275*AG207+AH275*AH207+AI275*AI207+AJ275*AJ207+AK275*AK207+AL275*AL207+AM275*AM207+AN275*AN207+AO275*AO207+AP275*AP207+AQ275*AQ207+AR275*AR207+AS275*AS207+AT275*AT207+AU275*AU207+AV275*AV207+AW275*AW207+AX275*AX207+AY275*AY207+AZ275*AZ207+BA275*BA207+BB275*BB207+BC275*BC207+BD275*BD207+BE275*BE207+BF275*BF207+BG275*BG207+BH275*BH207+BI275*BI207+BJ275*BJ207+BK275*BK207+BL275*BL207+BM275*BM207+BN275*BN207+BO275*BO207+BP275*BP207+BQ275*BQ207+BR275*BR207+BS275*BS207+BT275*BT207+BU275*BU207+BV275*BV207+BW275*BW207+BX275*BX207+BY275*BY207+BZ275*BZ207+CA275*CA207+CB275*CB207+CC275*CC207+CD275*CD207+CE275*CE207+CF275*CF207+CG275*CG207+CH275*CH207+CI275*CI207+CJ275*CJ207+CK275*CK207+CL275*CL207+CM275*CM207+CN275*CN207+CO275*CO207+CP275*CP207+CQ275*CQ207+CR275*CR207+CS275*CS207</f>
        <v>0</v>
      </c>
      <c r="DF207" s="2504">
        <f>E276*E207+F276*F207+G276*G207+H276*H207+I276*I207+J276*J207+K276*K207+L276*L207+M276*M207+N276*N207+O276*O207+P276*P207+Q276*Q207+R276*R207+S276*S207+T276*T207+U276*U207+V276*V207+W276*W207+X276*X207+Y276*Y207+Z276*Z207+AA276*AA207+AB276*AB207+AC276*AC207+AD276*AD207+AE276*AE207+AF276*AF207+AG276*AG207+AH276*AH207+AI276*AI207+AJ276*AJ207+AK276*AK207+AL276*AL207+AM276*AM207+AN276*AN207+AO276*AO207+AP276*AP207+AQ276*AQ207+AR276*AR207+AS276*AS207+AT276*AT207+AU276*AU207+AV276*AV207+AW276*AW207+AX276*AX207+AY276*AY207+AZ276*AZ207+BA276*BA207+BB276*BB207+BC276*BC207+BD276*BD207+BE276*BE207+BF276*BF207+BG276*BG207+BH276*BH207+BI276*BI207+BJ276*BJ207+BK276*BK207+BL276*BL207+BM276*BM207+BN276*BN207+BO276*BO207+BP276*BP207+BQ276*BQ207+BR276*BR207+BS276*BS207+BT276*BT207+BU276*BU207+BV276*BV207+BW276*BW207+BX276*BX207+BY276*BY207+BZ276*BZ207+CA276*CA207+CB276*CB207+CC276*CC207+CD276*CD207+CE276*CE207+CF276*CF207+CG276*CG207+CH276*CH207+CI276*CI207+CJ276*CJ207+CK276*CK207+CL276*CL207+CM276*CM207+CN276*CN207+CO276*CO207+CP276*CP207+CQ276*CQ207+CR276*CR207+CS276*CS207</f>
        <v>0</v>
      </c>
    </row>
    <row r="208" spans="2:110" x14ac:dyDescent="0.25">
      <c r="B208" s="1642">
        <v>66</v>
      </c>
      <c r="C208" s="1643" t="s">
        <v>2389</v>
      </c>
      <c r="D208" s="1644" t="s">
        <v>4971</v>
      </c>
      <c r="E208" s="1645">
        <f>0</f>
        <v>0</v>
      </c>
      <c r="F208" s="1645">
        <f>0</f>
        <v>0</v>
      </c>
      <c r="G208" s="1645">
        <f>0</f>
        <v>0</v>
      </c>
      <c r="H208" s="1645">
        <f>0</f>
        <v>0</v>
      </c>
      <c r="I208" s="1645">
        <f>0</f>
        <v>0</v>
      </c>
      <c r="J208" s="1645">
        <f>1-f_E</f>
        <v>0.92</v>
      </c>
      <c r="K208" s="1645">
        <f>0</f>
        <v>0</v>
      </c>
      <c r="L208" s="1645">
        <f>0</f>
        <v>0</v>
      </c>
      <c r="M208" s="1645">
        <f>0</f>
        <v>0</v>
      </c>
      <c r="N208" s="1645">
        <f>0</f>
        <v>0</v>
      </c>
      <c r="O208" s="1645">
        <f>0</f>
        <v>0</v>
      </c>
      <c r="P208" s="1645">
        <f>f_E</f>
        <v>0.08</v>
      </c>
      <c r="Q208" s="1645">
        <f>0</f>
        <v>0</v>
      </c>
      <c r="R208" s="1645">
        <f>0</f>
        <v>0</v>
      </c>
      <c r="S208" s="1645">
        <f>0</f>
        <v>0</v>
      </c>
      <c r="T208" s="1645">
        <f>0</f>
        <v>0</v>
      </c>
      <c r="U208" s="1645">
        <f>0</f>
        <v>0</v>
      </c>
      <c r="V208" s="1645">
        <f>0</f>
        <v>0</v>
      </c>
      <c r="W208" s="1645">
        <f>0</f>
        <v>0</v>
      </c>
      <c r="X208" s="1645">
        <f>0</f>
        <v>0</v>
      </c>
      <c r="Y208" s="1645">
        <f>0</f>
        <v>0</v>
      </c>
      <c r="Z208" s="1645">
        <f>-1</f>
        <v>-1</v>
      </c>
      <c r="AA208" s="1646">
        <f>-f_E*(i_N_XE-i_N_BIO)</f>
        <v>8.0000000000000069E-4</v>
      </c>
      <c r="AB208" s="1645">
        <f>0</f>
        <v>0</v>
      </c>
      <c r="AC208" s="1645">
        <f>0</f>
        <v>0</v>
      </c>
      <c r="AD208" s="1645">
        <f>0</f>
        <v>0</v>
      </c>
      <c r="AE208" s="1645">
        <f>0</f>
        <v>0</v>
      </c>
      <c r="AF208" s="1645">
        <f>0</f>
        <v>0</v>
      </c>
      <c r="AG208" s="1645">
        <f>0</f>
        <v>0</v>
      </c>
      <c r="AH208" s="1645">
        <f>0</f>
        <v>0</v>
      </c>
      <c r="AI208" s="1645">
        <f>0</f>
        <v>0</v>
      </c>
      <c r="AJ208" s="1645">
        <f>0</f>
        <v>0</v>
      </c>
      <c r="AK208" s="1645">
        <f>(1-f_E)*i_N_BIO</f>
        <v>6.4400000000000013E-2</v>
      </c>
      <c r="AL208" s="1645">
        <f>0</f>
        <v>0</v>
      </c>
      <c r="AM208" s="1646">
        <f>i_P_ALGAE-i_P_BIO</f>
        <v>0</v>
      </c>
      <c r="AN208" s="1645">
        <f>0</f>
        <v>0</v>
      </c>
      <c r="AO208" s="1645">
        <f>0</f>
        <v>0</v>
      </c>
      <c r="AP208" s="1645">
        <f>0</f>
        <v>0</v>
      </c>
      <c r="AQ208" s="1645">
        <f>(1-f_E)*i_P_BIO</f>
        <v>1.84E-2</v>
      </c>
      <c r="AR208" s="1645">
        <f>0</f>
        <v>0</v>
      </c>
      <c r="AS208" s="1645">
        <f>0</f>
        <v>0</v>
      </c>
      <c r="AT208" s="1645">
        <f>0</f>
        <v>0</v>
      </c>
      <c r="AU208" s="1645">
        <f>0</f>
        <v>0</v>
      </c>
      <c r="AV208" s="1647">
        <f>i_CIT_ALGAE-(1-f_E)*i_CIT_XBe-f_E*i_CIT_BIO</f>
        <v>8.3720000000000044E-2</v>
      </c>
      <c r="AW208" s="1645">
        <f>0</f>
        <v>0</v>
      </c>
      <c r="AX208" s="1648">
        <f>0</f>
        <v>0</v>
      </c>
      <c r="AY208" s="1648">
        <f>0</f>
        <v>0</v>
      </c>
      <c r="AZ208" s="1648">
        <f>0</f>
        <v>0</v>
      </c>
      <c r="BA208" s="1648">
        <f>0</f>
        <v>0</v>
      </c>
      <c r="BB208" s="1645">
        <f>0</f>
        <v>0</v>
      </c>
      <c r="BC208" s="1645">
        <f>0</f>
        <v>0</v>
      </c>
      <c r="BD208" s="1645">
        <f>0</f>
        <v>0</v>
      </c>
      <c r="BE208" s="1645">
        <f>0</f>
        <v>0</v>
      </c>
      <c r="BF208" s="1645">
        <f>0</f>
        <v>0</v>
      </c>
      <c r="BG208" s="1645">
        <f>0</f>
        <v>0</v>
      </c>
      <c r="BH208" s="1645">
        <f>0</f>
        <v>0</v>
      </c>
      <c r="BI208" s="1645">
        <f>0</f>
        <v>0</v>
      </c>
      <c r="BJ208" s="1645">
        <f>0</f>
        <v>0</v>
      </c>
      <c r="BK208" s="1645">
        <f>0</f>
        <v>0</v>
      </c>
      <c r="BL208" s="1645">
        <f>0</f>
        <v>0</v>
      </c>
      <c r="BM208" s="1645">
        <f>0</f>
        <v>0</v>
      </c>
      <c r="BN208" s="1645">
        <f>0</f>
        <v>0</v>
      </c>
      <c r="BO208" s="1645">
        <f>0</f>
        <v>0</v>
      </c>
      <c r="BP208" s="1645">
        <f>0</f>
        <v>0</v>
      </c>
      <c r="BQ208" s="1645">
        <f>0</f>
        <v>0</v>
      </c>
      <c r="BR208" s="1645">
        <f>0</f>
        <v>0</v>
      </c>
      <c r="BS208" s="1645">
        <f>0</f>
        <v>0</v>
      </c>
      <c r="BT208" s="1645">
        <f>0</f>
        <v>0</v>
      </c>
      <c r="BU208" s="1645">
        <f>0</f>
        <v>0</v>
      </c>
      <c r="BV208" s="1645">
        <f>0</f>
        <v>0</v>
      </c>
      <c r="BW208" s="2366">
        <f>0</f>
        <v>0</v>
      </c>
      <c r="BX208" s="2366">
        <f>0</f>
        <v>0</v>
      </c>
      <c r="BY208" s="2366">
        <f>0</f>
        <v>0</v>
      </c>
      <c r="BZ208" s="2366">
        <f>0</f>
        <v>0</v>
      </c>
      <c r="CA208" s="1645">
        <f>0</f>
        <v>0</v>
      </c>
      <c r="CB208" s="1645">
        <f>0</f>
        <v>0</v>
      </c>
      <c r="CC208" s="1645">
        <f>0</f>
        <v>0</v>
      </c>
      <c r="CD208" s="1645">
        <f>0</f>
        <v>0</v>
      </c>
      <c r="CE208" s="1645">
        <f>0</f>
        <v>0</v>
      </c>
      <c r="CF208" s="1645">
        <f>0</f>
        <v>0</v>
      </c>
      <c r="CG208" s="1645">
        <f>0</f>
        <v>0</v>
      </c>
      <c r="CH208" s="1645">
        <f>0</f>
        <v>0</v>
      </c>
      <c r="CI208" s="1645">
        <f>0</f>
        <v>0</v>
      </c>
      <c r="CJ208" s="1645">
        <f>0</f>
        <v>0</v>
      </c>
      <c r="CK208" s="1645">
        <f>0</f>
        <v>0</v>
      </c>
      <c r="CL208" s="1645">
        <f>0</f>
        <v>0</v>
      </c>
      <c r="CM208" s="1645">
        <f>0</f>
        <v>0</v>
      </c>
      <c r="CN208" s="1645">
        <f>0</f>
        <v>0</v>
      </c>
      <c r="CO208" s="1645">
        <f>0</f>
        <v>0</v>
      </c>
      <c r="CP208" s="1645">
        <f>0</f>
        <v>0</v>
      </c>
      <c r="CQ208" s="1645">
        <f>0</f>
        <v>0</v>
      </c>
      <c r="CR208" s="1645">
        <f>0</f>
        <v>0</v>
      </c>
      <c r="CS208" s="1645">
        <f>0</f>
        <v>0</v>
      </c>
      <c r="CT208" s="2489">
        <f>b_ALGAE_T*X_ALGAE*M_inhSO2_KO2_ALGAE</f>
        <v>0</v>
      </c>
      <c r="CV208" s="2502">
        <f>E266*E208+F266*F208+G266*G208+H266*H208+I266*I208+J266*J208+K266*K208+L266*L208+M266*M208+N266*N208+O266*O208+P266*P208+Q266*Q208+R266*R208+S266*S208+T266*T208+U266*U208+V266*V208+W266*W208+X266*X208+Y266*Y208+Z266*Z208+AA266*AA208+AB266*AB208+AC266*AC208+AD266*AD208+AE266*AE208+AF266*AF208+AG266*AG208+AH266*AH208+AI266*AI208+AJ266*AJ208+AK266*AK208+AL266*AL208+AM266*AM208+AN266*AN208+AO266*AO208+AP266*AP208+AQ266*AQ208+AR266*AR208+AS266*AS208+AT266*AT208+AU266*AU208+AV266*AV208+AW266*AW208+AX266*AX208+AY266*AY208+AZ266*AZ208+BA266*BA208+BB266*BB208+BC266*BC208+BD266*BD208+BE266*BE208+BF266*BF208+BG266*BG208+BH266*BH208+BI266*BI208+BJ266*BJ208+BK266*BK208+BL266*BL208+BM266*BM208+BN266*BN208+BO266*BO208+BP266*BP208+BQ266*BQ208+BR266*BR208+BS266*BS208+BT266*BT208+BU266*BU208+BV266*BV208+BW266*BW208+BX266*BX208+BY266*BY208+BZ266*BZ208+CA266*CA208+CB266*CB208+CC266*CC208+CD266*CD208+CE266*CE208+CF266*CF208+CG266*CG208+CH266*CH208+CI266*CI208+CJ266*CJ208+CK266*CK208+CL266*CL208+CM266*CM208+CN266*CN208+CO266*CO208+CP266*CP208+CQ266*CQ208+CR266*CR208+CS266*CS208</f>
        <v>0</v>
      </c>
      <c r="CW208" s="2502">
        <f>E267*E208+F267*F208+G267*G208+H267*H208+I267*I208+J267*J208+K267*K208+L267*L208+M267*M208+N267*N208+O267*O208+P267*P208+Q267*Q208+R267*R208+S267*S208+T267*T208+U267*U208+V267*V208+W267*W208+X267*X208+Y267*Y208+Z267*Z208+AA267*AA208+AB267*AB208+AC267*AC208+AD267*AD208+AE267*AE208+AF267*AF208+AG267*AG208+AH267*AH208+AI267*AI208+AJ267*AJ208+AK267*AK208+AL267*AL208+AM267*AM208+AN267*AN208+AO267*AO208+AP267*AP208+AQ267*AQ208+AR267*AR208+AS267*AS208+AT267*AT208+AU267*AU208+AV267*AV208+AW267*AW208+AX267*AX208+AY267*AY208+AZ267*AZ208+BA267*BA208+BB267*BB208+BC267*BC208+BD267*BD208+BE267*BE208+BF267*BF208+BG267*BG208+BH267*BH208+BI267*BI208+BJ267*BJ208+BK267*BK208+BL267*BL208+BM267*BM208+BN267*BN208+BO267*BO208+BP267*BP208+BQ267*BQ208+BR267*BR208+BS267*BS208+BT267*BT208+BU267*BU208+BV267*BV208+BW267*BW208+BX267*BX208+BY267*BY208+BZ267*BZ208+CA267*CA208+CB267*CB208+CC267*CC208+CD267*CD208+CE267*CE208+CF267*CF208+CG267*CG208+CH267*CH208+CI267*CI208+CJ267*CJ208+CK267*CK208+CL267*CL208+CM267*CM208+CN267*CN208+CO267*CO208+CP267*CP208+CQ267*CQ208+CR267*CR208+CS267*CS208</f>
        <v>2.7755575615628914E-17</v>
      </c>
      <c r="CX208" s="2503">
        <f>E268*E208+F268*F208+G268*G208+H268*H208+I268*I208+J268*J208+K268*K208+L268*L208+M268*M208+N268*N208+O268*O208+P268*P208+Q268*Q208+R268*R208+S268*S208+T268*T208+U268*U208+V268*V208+W268*W208+X268*X208+Y268*Y208+Z268*Z208+AA268*AA208+AB268*AB208+AC268*AC208+AD268*AD208+AE268*AE208+AF268*AF208+AG268*AG208+AH268*AH208+AI268*AI208+AJ268*AJ208+AK268*AK208+AL268*AL208+AM268*AM208+AN268*AN208+AO268*AO208+AP268*AP208+AQ268*AQ208+AR268*AR208+AS268*AS208+AT268*AT208+AU268*AU208+AV268*AV208+AW268*AW208+AX268*AX208+AY268*AY208+AZ268*AZ208+BA268*BA208+BB268*BB208+BC268*BC208+BD268*BD208+BE268*BE208+BF268*BF208+BG268*BG208+BH268*BH208+BI268*BI208+BJ268*BJ208+BK268*BK208+BL268*BL208+BM268*BM208+BN268*BN208+BO268*BO208+BP268*BP208+BQ268*BQ208+BR268*BR208+BS268*BS208+BT268*BT208+BU268*BU208+BV268*BV208+BW268*BW208+BX268*BX208+BY268*BY208+BZ268*BZ208+CA268*CA208+CB268*CB208+CC268*CC208+CD268*CD208+CE268*CE208+CF268*CF208+CG268*CG208+CH268*CH208+CI268*CI208+CJ268*CJ208+CK268*CK208+CL268*CL208+CM268*CM208+CN268*CN208+CO268*CO208+CP268*CP208+CQ268*CQ208+CR268*CR208+CS268*CS208</f>
        <v>0</v>
      </c>
      <c r="CY208" s="2504">
        <f>E269*E208+F269*F208+G269*G208+H269*H208+I269*I208+J269*J208+K269*K208+L269*L208+M269*M208+N269*N208+O269*O208+P269*P208+Q269*Q208+R269*R208+S269*S208+T269*T208+U269*U208+V269*V208+W269*W208+X269*X208+Y269*Y208+Z269*Z208+AA269*AA208+AB269*AB208+AC269*AC208+AD269*AD208+AE269*AE208+AF269*AF208+AG269*AG208+AH269*AH208+AI269*AI208+AJ269*AJ208+AK269*AK208+AL269*AL208+AM269*AM208+AN269*AN208+AO269*AO208+AP269*AP208+AQ269*AQ208+AR269*AR208+AS269*AS208+AT269*AT208+AU269*AU208+AV269*AV208+AW269*AW208+AX269*AX208+AY269*AY208+AZ269*AZ208+BA269*BA208+BB269*BB208+BC269*BC208+BD269*BD208+BE269*BE208+BF269*BF208+BG269*BG208+BH269*BH208+BI269*BI208+BJ269*BJ208+BK269*BK208+BL269*BL208+BM269*BM208+BN269*BN208+BO269*BO208+BP269*BP208+BQ269*BQ208+BR269*BR208+BS269*BS208+BT269*BT208+BU269*BU208+BV269*BV208+BW269*BW208+BX269*BX208+BY269*BY208+BZ269*BZ208+CA269*CA208+CB269*CB208+CC269*CC208+CD269*CD208+CE269*CE208+CF269*CF208+CG269*CG208+CH269*CH208+CI269*CI208+CJ269*CJ208+CK269*CK208+CL269*CL208+CM269*CM208+CN269*CN208+CO269*CO208+CP269*CP208+CQ269*CQ208+CR269*CR208+CS269*CS208</f>
        <v>0</v>
      </c>
      <c r="CZ208" s="2504">
        <f>E270*E208+F270*F208+G270*G208+H270*H208+I270*I208+J270*J208+K270*K208+L270*L208+M270*M208+N270*N208+O270*O208+P270*P208+Q270*Q208+R270*R208+S270*S208+T270*T208+U270*U208+V270*V208+W270*W208+X270*X208+Y270*Y208+Z270*Z208+AA270*AA208+AB270*AB208+AC270*AC208+AD270*AD208+AE270*AE208+AF270*AF208+AG270*AG208+AH270*AH208+AI270*AI208+AJ270*AJ208+AK270*AK208+AL270*AL208+AM270*AM208+AN270*AN208+AO270*AO208+AP270*AP208+AQ270*AQ208+AR270*AR208+AS270*AS208+AT270*AT208+AU270*AU208+AV270*AV208+AW270*AW208+AX270*AX208+AY270*AY208+AZ270*AZ208+BA270*BA208+BB270*BB208+BC270*BC208+BD270*BD208+BE270*BE208+BF270*BF208+BG270*BG208+BH270*BH208+BI270*BI208+BJ270*BJ208+BK270*BK208+BL270*BL208+BM270*BM208+BN270*BN208+BO270*BO208+BP270*BP208+BQ270*BQ208+BR270*BR208+BS270*BS208+BT270*BT208+BU270*BU208+BV270*BV208+BW270*BW208+BX270*BX208+BY270*BY208+BZ270*BZ208+CA270*CA208+CB270*CB208+CC270*CC208+CD270*CD208+CE270*CE208+CF270*CF208+CG270*CG208+CH270*CH208+CI270*CI208+CJ270*CJ208+CK270*CK208+CL270*CL208+CM270*CM208+CN270*CN208+CO270*CO208+CP270*CP208+CQ270*CQ208+CR270*CR208+CS270*CS208</f>
        <v>0</v>
      </c>
      <c r="DA208" s="2504">
        <f>E271*E208+F271*F208+G271*G208+H271*H208+I271*I208+J271*J208+K271*K208+L271*L208+M271*M208+N271*N208+O271*O208+P271*P208+Q271*Q208+R271*R208+S271*S208+T271*T208+U271*U208+V271*V208+W271*W208+X271*X208+Y271*Y208+Z271*Z208+AA271*AA208+AB271*AB208+AC271*AC208+AD271*AD208+AE271*AE208+AF271*AF208+AG271*AG208+AH271*AH208+AI271*AI208+AJ271*AJ208+AK271*AK208+AL271*AL208+AM271*AM208+AN271*AN208+AO271*AO208+AP271*AP208+AQ271*AQ208+AR271*AR208+AS271*AS208+AT271*AT208+AU271*AU208+AV271*AV208+AW271*AW208+AX271*AX208+AY271*AY208+AZ271*AZ208+BA271*BA208+BB271*BB208+BC271*BC208+BD271*BD208+BE271*BE208+BF271*BF208+BG271*BG208+BH271*BH208+BI271*BI208+BJ271*BJ208+BK271*BK208+BL271*BL208+BM271*BM208+BN271*BN208+BO271*BO208+BP271*BP208+BQ271*BQ208+BR271*BR208+BS271*BS208+BT271*BT208+BU271*BU208+BV271*BV208+BW271*BW208+BX271*BX208+BY271*BY208+BZ271*BZ208+CA271*CA208+CB271*CB208+CC271*CC208+CD271*CD208+CE271*CE208+CF271*CF208+CG271*CG208+CH271*CH208+CI271*CI208+CJ271*CJ208+CK271*CK208+CL271*CL208+CM271*CM208+CN271*CN208+CO271*CO208+CP271*CP208+CQ271*CQ208+CR271*CR208+CS271*CS208</f>
        <v>0</v>
      </c>
      <c r="DB208" s="2504">
        <f>E272*E208+F272*F208+G272*G208+H272*H208+I272*I208+J272*J208+K272*K208+L272*L208+M272*M208+N272*N208+O272*O208+P272*P208+Q272*Q208+R272*R208+S272*S208+T272*T208+U272*U208+V272*V208+W272*W208+X272*X208+Y272*Y208+Z272*Z208+AA272*AA208+AB272*AB208+AC272*AC208+AD272*AD208+AE272*AE208+AF272*AF208+AG272*AG208+AH272*AH208+AI272*AI208+AJ272*AJ208+AK272*AK208+AL272*AL208+AM272*AM208+AN272*AN208+AO272*AO208+AP272*AP208+AQ272*AQ208+AR272*AR208+AS272*AS208+AT272*AT208+AU272*AU208+AV272*AV208+AW272*AW208+AX272*AX208+AY272*AY208+AZ272*AZ208+BA272*BA208+BB272*BB208+BC272*BC208+BD272*BD208+BE272*BE208+BF272*BF208+BG272*BG208+BH272*BH208+BI272*BI208+BJ272*BJ208+BK272*BK208+BL272*BL208+BM272*BM208+BN272*BN208+BO272*BO208+BP272*BP208+BQ272*BQ208+BR272*BR208+BS272*BS208+BT272*BT208+BU272*BU208+BV272*BV208+BW272*BW208+BX272*BX208+BY272*BY208+BZ272*BZ208+CA272*CA208+CB272*CB208+CC272*CC208+CD272*CD208+CE272*CE208+CF272*CF208+CG272*CG208+CH272*CH208+CI272*CI208+CJ272*CJ208+CK272*CK208+CL272*CL208+CM272*CM208+CN272*CN208+CO272*CO208+CP272*CP208+CQ272*CQ208+CR272*CR208+CS272*CS208</f>
        <v>0</v>
      </c>
      <c r="DC208" s="2504">
        <f>E273*E208+F273*F208+G273*G208+H273*H208+I273*I208+J273*J208+K273*K208+L273*L208+M273*M208+N273*N208+O273*O208+P273*P208+Q273*Q208+R273*R208+S273*S208+T273*T208+U273*U208+V273*V208+W273*W208+X273*X208+Y273*Y208+Z273*Z208+AA273*AA208+AB273*AB208+AC273*AC208+AD273*AD208+AE273*AE208+AF273*AF208+AG273*AG208+AH273*AH208+AI273*AI208+AJ273*AJ208+AK273*AK208+AL273*AL208+AM273*AM208+AN273*AN208+AO273*AO208+AP273*AP208+AQ273*AQ208+AR273*AR208+AS273*AS208+AT273*AT208+AU273*AU208+AV273*AV208+AW273*AW208+AX273*AX208+AY273*AY208+AZ273*AZ208+BA273*BA208+BB273*BB208+BC273*BC208+BD273*BD208+BE273*BE208+BF273*BF208+BG273*BG208+BH273*BH208+BI273*BI208+BJ273*BJ208+BK273*BK208+BL273*BL208+BM273*BM208+BN273*BN208+BO273*BO208+BP273*BP208+BQ273*BQ208+BR273*BR208+BS273*BS208+BT273*BT208+BU273*BU208+BV273*BV208+BW273*BW208+BX273*BX208+BY273*BY208+BZ273*BZ208+CA273*CA208+CB273*CB208+CC273*CC208+CD273*CD208+CE273*CE208+CF273*CF208+CG273*CG208+CH273*CH208+CI273*CI208+CJ273*CJ208+CK273*CK208+CL273*CL208+CM273*CM208+CN273*CN208+CO273*CO208+CP273*CP208+CQ273*CQ208+CR273*CR208+CS273*CS208</f>
        <v>0</v>
      </c>
      <c r="DD208" s="2504">
        <f>E274*E208+F274*F208+G274*G208+H274*H208+I274*I208+J274*J208+K274*K208+L274*L208+M274*M208+N274*N208+O274*O208+P274*P208+Q274*Q208+R274*R208+S274*S208+T274*T208+U274*U208+V274*V208+W274*W208+X274*X208+Y274*Y208+Z274*Z208+AA274*AA208+AB274*AB208+AC274*AC208+AD274*AD208+AE274*AE208+AF274*AF208+AG274*AG208+AH274*AH208+AI274*AI208+AJ274*AJ208+AK274*AK208+AL274*AL208+AM274*AM208+AN274*AN208+AO274*AO208+AP274*AP208+AQ274*AQ208+AR274*AR208+AS274*AS208+AT274*AT208+AU274*AU208+AV274*AV208+AW274*AW208+AX274*AX208+AY274*AY208+AZ274*AZ208+BA274*BA208+BB274*BB208+BC274*BC208+BD274*BD208+BE274*BE208+BF274*BF208+BG274*BG208+BH274*BH208+BI274*BI208+BJ274*BJ208+BK274*BK208+BL274*BL208+BM274*BM208+BN274*BN208+BO274*BO208+BP274*BP208+BQ274*BQ208+BR274*BR208+BS274*BS208+BT274*BT208+BU274*BU208+BV274*BV208+BW274*BW208+BX274*BX208+BY274*BY208+BZ274*BZ208+CA274*CA208+CB274*CB208+CC274*CC208+CD274*CD208+CE274*CE208+CF274*CF208+CG274*CG208+CH274*CH208+CI274*CI208+CJ274*CJ208+CK274*CK208+CL274*CL208+CM274*CM208+CN274*CN208+CO274*CO208+CP274*CP208+CQ274*CQ208+CR274*CR208+CS274*CS208</f>
        <v>0</v>
      </c>
      <c r="DE208" s="2504">
        <f>E275*E208+F275*F208+G275*G208+H275*H208+I275*I208+J275*J208+K275*K208+L275*L208+M275*M208+N275*N208+O275*O208+P275*P208+Q275*Q208+R275*R208+S275*S208+T275*T208+U275*U208+V275*V208+W275*W208+X275*X208+Y275*Y208+Z275*Z208+AA275*AA208+AB275*AB208+AC275*AC208+AD275*AD208+AE275*AE208+AF275*AF208+AG275*AG208+AH275*AH208+AI275*AI208+AJ275*AJ208+AK275*AK208+AL275*AL208+AM275*AM208+AN275*AN208+AO275*AO208+AP275*AP208+AQ275*AQ208+AR275*AR208+AS275*AS208+AT275*AT208+AU275*AU208+AV275*AV208+AW275*AW208+AX275*AX208+AY275*AY208+AZ275*AZ208+BA275*BA208+BB275*BB208+BC275*BC208+BD275*BD208+BE275*BE208+BF275*BF208+BG275*BG208+BH275*BH208+BI275*BI208+BJ275*BJ208+BK275*BK208+BL275*BL208+BM275*BM208+BN275*BN208+BO275*BO208+BP275*BP208+BQ275*BQ208+BR275*BR208+BS275*BS208+BT275*BT208+BU275*BU208+BV275*BV208+BW275*BW208+BX275*BX208+BY275*BY208+BZ275*BZ208+CA275*CA208+CB275*CB208+CC275*CC208+CD275*CD208+CE275*CE208+CF275*CF208+CG275*CG208+CH275*CH208+CI275*CI208+CJ275*CJ208+CK275*CK208+CL275*CL208+CM275*CM208+CN275*CN208+CO275*CO208+CP275*CP208+CQ275*CQ208+CR275*CR208+CS275*CS208</f>
        <v>0</v>
      </c>
      <c r="DF208" s="2504">
        <f>E276*E208+F276*F208+G276*G208+H276*H208+I276*I208+J276*J208+K276*K208+L276*L208+M276*M208+N276*N208+O276*O208+P276*P208+Q276*Q208+R276*R208+S276*S208+T276*T208+U276*U208+V276*V208+W276*W208+X276*X208+Y276*Y208+Z276*Z208+AA276*AA208+AB276*AB208+AC276*AC208+AD276*AD208+AE276*AE208+AF276*AF208+AG276*AG208+AH276*AH208+AI276*AI208+AJ276*AJ208+AK276*AK208+AL276*AL208+AM276*AM208+AN276*AN208+AO276*AO208+AP276*AP208+AQ276*AQ208+AR276*AR208+AS276*AS208+AT276*AT208+AU276*AU208+AV276*AV208+AW276*AW208+AX276*AX208+AY276*AY208+AZ276*AZ208+BA276*BA208+BB276*BB208+BC276*BC208+BD276*BD208+BE276*BE208+BF276*BF208+BG276*BG208+BH276*BH208+BI276*BI208+BJ276*BJ208+BK276*BK208+BL276*BL208+BM276*BM208+BN276*BN208+BO276*BO208+BP276*BP208+BQ276*BQ208+BR276*BR208+BS276*BS208+BT276*BT208+BU276*BU208+BV276*BV208+BW276*BW208+BX276*BX208+BY276*BY208+BZ276*BZ208+CA276*CA208+CB276*CB208+CC276*CC208+CD276*CD208+CE276*CE208+CF276*CF208+CG276*CG208+CH276*CH208+CI276*CI208+CJ276*CJ208+CK276*CK208+CL276*CL208+CM276*CM208+CN276*CN208+CO276*CO208+CP276*CP208+CQ276*CQ208+CR276*CR208+CS276*CS208</f>
        <v>0</v>
      </c>
    </row>
    <row r="209" spans="2:110" x14ac:dyDescent="0.25">
      <c r="B209" s="1583">
        <v>67</v>
      </c>
      <c r="C209" s="551" t="s">
        <v>2390</v>
      </c>
      <c r="D209" s="552" t="s">
        <v>1672</v>
      </c>
      <c r="E209" s="506">
        <f>0</f>
        <v>0</v>
      </c>
      <c r="F209" s="506">
        <f>0</f>
        <v>0</v>
      </c>
      <c r="G209" s="506">
        <f>0</f>
        <v>0</v>
      </c>
      <c r="H209" s="506">
        <f>-1</f>
        <v>-1</v>
      </c>
      <c r="I209" s="506">
        <f>1</f>
        <v>1</v>
      </c>
      <c r="J209" s="506">
        <f>0</f>
        <v>0</v>
      </c>
      <c r="K209" s="506">
        <f>0</f>
        <v>0</v>
      </c>
      <c r="L209" s="506">
        <f>0</f>
        <v>0</v>
      </c>
      <c r="M209" s="506">
        <f>0</f>
        <v>0</v>
      </c>
      <c r="N209" s="506">
        <f>0</f>
        <v>0</v>
      </c>
      <c r="O209" s="506">
        <f>0</f>
        <v>0</v>
      </c>
      <c r="P209" s="506">
        <f>0</f>
        <v>0</v>
      </c>
      <c r="Q209" s="506">
        <f>0</f>
        <v>0</v>
      </c>
      <c r="R209" s="506">
        <f>0</f>
        <v>0</v>
      </c>
      <c r="S209" s="506">
        <f>0</f>
        <v>0</v>
      </c>
      <c r="T209" s="506">
        <f>0</f>
        <v>0</v>
      </c>
      <c r="U209" s="506">
        <f>0</f>
        <v>0</v>
      </c>
      <c r="V209" s="506">
        <f>0</f>
        <v>0</v>
      </c>
      <c r="W209" s="506">
        <f>0</f>
        <v>0</v>
      </c>
      <c r="X209" s="506">
        <f>0</f>
        <v>0</v>
      </c>
      <c r="Y209" s="506">
        <f>0</f>
        <v>0</v>
      </c>
      <c r="Z209" s="506">
        <f>0</f>
        <v>0</v>
      </c>
      <c r="AA209" s="506">
        <f>0</f>
        <v>0</v>
      </c>
      <c r="AB209" s="506">
        <f>0</f>
        <v>0</v>
      </c>
      <c r="AC209" s="506">
        <f>0</f>
        <v>0</v>
      </c>
      <c r="AD209" s="506">
        <f>0</f>
        <v>0</v>
      </c>
      <c r="AE209" s="506">
        <f>0</f>
        <v>0</v>
      </c>
      <c r="AF209" s="506">
        <f>0</f>
        <v>0</v>
      </c>
      <c r="AG209" s="506">
        <f>0</f>
        <v>0</v>
      </c>
      <c r="AH209" s="506">
        <f>0</f>
        <v>0</v>
      </c>
      <c r="AI209" s="506">
        <f>0</f>
        <v>0</v>
      </c>
      <c r="AJ209" s="506">
        <f>i_N_CB</f>
        <v>0.01</v>
      </c>
      <c r="AK209" s="506">
        <f>0</f>
        <v>0</v>
      </c>
      <c r="AL209" s="506">
        <f>0</f>
        <v>0</v>
      </c>
      <c r="AM209" s="506">
        <f>0</f>
        <v>0</v>
      </c>
      <c r="AN209" s="506">
        <f>0</f>
        <v>0</v>
      </c>
      <c r="AO209" s="506">
        <f>0</f>
        <v>0</v>
      </c>
      <c r="AP209" s="506">
        <f>i_P_CB</f>
        <v>2E-3</v>
      </c>
      <c r="AQ209" s="506">
        <f>0</f>
        <v>0</v>
      </c>
      <c r="AR209" s="506">
        <f>0</f>
        <v>0</v>
      </c>
      <c r="AS209" s="506">
        <f>0</f>
        <v>0</v>
      </c>
      <c r="AT209" s="506">
        <f>0</f>
        <v>0</v>
      </c>
      <c r="AU209" s="506">
        <f>0</f>
        <v>0</v>
      </c>
      <c r="AV209" s="506">
        <f>0</f>
        <v>0</v>
      </c>
      <c r="AW209" s="506">
        <f>0</f>
        <v>0</v>
      </c>
      <c r="AX209" s="506">
        <f>0</f>
        <v>0</v>
      </c>
      <c r="AY209" s="506">
        <f>0</f>
        <v>0</v>
      </c>
      <c r="AZ209" s="506">
        <f>0</f>
        <v>0</v>
      </c>
      <c r="BA209" s="506">
        <f>0</f>
        <v>0</v>
      </c>
      <c r="BB209" s="506">
        <f>0</f>
        <v>0</v>
      </c>
      <c r="BC209" s="506">
        <f>0</f>
        <v>0</v>
      </c>
      <c r="BD209" s="506">
        <f>0</f>
        <v>0</v>
      </c>
      <c r="BE209" s="506">
        <f>0</f>
        <v>0</v>
      </c>
      <c r="BF209" s="506">
        <f>0</f>
        <v>0</v>
      </c>
      <c r="BG209" s="506">
        <f>0</f>
        <v>0</v>
      </c>
      <c r="BH209" s="506">
        <f>0</f>
        <v>0</v>
      </c>
      <c r="BI209" s="506">
        <f>0</f>
        <v>0</v>
      </c>
      <c r="BJ209" s="506">
        <f>0</f>
        <v>0</v>
      </c>
      <c r="BK209" s="506">
        <f>0</f>
        <v>0</v>
      </c>
      <c r="BL209" s="506">
        <f>0</f>
        <v>0</v>
      </c>
      <c r="BM209" s="506">
        <f>0</f>
        <v>0</v>
      </c>
      <c r="BN209" s="506">
        <f>0</f>
        <v>0</v>
      </c>
      <c r="BO209" s="506">
        <f>0</f>
        <v>0</v>
      </c>
      <c r="BP209" s="506">
        <f>0</f>
        <v>0</v>
      </c>
      <c r="BQ209" s="506">
        <f>0</f>
        <v>0</v>
      </c>
      <c r="BR209" s="506">
        <f>0</f>
        <v>0</v>
      </c>
      <c r="BS209" s="506">
        <f>0</f>
        <v>0</v>
      </c>
      <c r="BT209" s="506">
        <f>0</f>
        <v>0</v>
      </c>
      <c r="BU209" s="506">
        <f>0</f>
        <v>0</v>
      </c>
      <c r="BV209" s="506">
        <f>0</f>
        <v>0</v>
      </c>
      <c r="BW209" s="2367">
        <f>0</f>
        <v>0</v>
      </c>
      <c r="BX209" s="2367">
        <f>0</f>
        <v>0</v>
      </c>
      <c r="BY209" s="2367">
        <f>0</f>
        <v>0</v>
      </c>
      <c r="BZ209" s="2367">
        <f>0</f>
        <v>0</v>
      </c>
      <c r="CA209" s="506">
        <f>0</f>
        <v>0</v>
      </c>
      <c r="CB209" s="506">
        <f>0</f>
        <v>0</v>
      </c>
      <c r="CC209" s="506">
        <f>0</f>
        <v>0</v>
      </c>
      <c r="CD209" s="506">
        <f>0</f>
        <v>0</v>
      </c>
      <c r="CE209" s="506">
        <f>0</f>
        <v>0</v>
      </c>
      <c r="CF209" s="506">
        <f>0</f>
        <v>0</v>
      </c>
      <c r="CG209" s="506">
        <f>0</f>
        <v>0</v>
      </c>
      <c r="CH209" s="506">
        <f>0</f>
        <v>0</v>
      </c>
      <c r="CI209" s="506">
        <f>0</f>
        <v>0</v>
      </c>
      <c r="CJ209" s="506">
        <f>0</f>
        <v>0</v>
      </c>
      <c r="CK209" s="506">
        <f>0</f>
        <v>0</v>
      </c>
      <c r="CL209" s="506">
        <f>0</f>
        <v>0</v>
      </c>
      <c r="CM209" s="506">
        <f>0</f>
        <v>0</v>
      </c>
      <c r="CN209" s="506">
        <f>0</f>
        <v>0</v>
      </c>
      <c r="CO209" s="506">
        <f>0</f>
        <v>0</v>
      </c>
      <c r="CP209" s="506">
        <f>0</f>
        <v>0</v>
      </c>
      <c r="CQ209" s="506">
        <f>0</f>
        <v>0</v>
      </c>
      <c r="CR209" s="506">
        <f>0</f>
        <v>0</v>
      </c>
      <c r="CS209" s="506">
        <f>0</f>
        <v>0</v>
      </c>
      <c r="CT209" s="2490">
        <f>q_FLOC_T*X_BIO*M_satCB_KCB_FLOC+q_FLOC_HFO_T*X_HFO*M_satCB_KCB_FLOC_HFO*B_ellinhpH_FLOC_HFO+q_FLOC_HAO_T*X_HAO*M_satCB_KCB_FLOC_HAO*B_ellinhpH_FLOC_HAO</f>
        <v>1.0932290733346786</v>
      </c>
      <c r="CV209" s="2502">
        <f>E266*E209+F266*F209+G266*G209+H266*H209+I266*I209+J266*J209+K266*K209+L266*L209+M266*M209+N266*N209+O266*O209+P266*P209+Q266*Q209+R266*R209+S266*S209+T266*T209+U266*U209+V266*V209+W266*W209+X266*X209+Y266*Y209+Z266*Z209+AA266*AA209+AB266*AB209+AC266*AC209+AD266*AD209+AE266*AE209+AF266*AF209+AG266*AG209+AH266*AH209+AI266*AI209+AJ266*AJ209+AK266*AK209+AL266*AL209+AM266*AM209+AN266*AN209+AO266*AO209+AP266*AP209+AQ266*AQ209+AR266*AR209+AS266*AS209+AT266*AT209+AU266*AU209+AV266*AV209+AW266*AW209+AX266*AX209+AY266*AY209+AZ266*AZ209+BA266*BA209+BB266*BB209+BC266*BC209+BD266*BD209+BE266*BE209+BF266*BF209+BG266*BG209+BH266*BH209+BI266*BI209+BJ266*BJ209+BK266*BK209+BL266*BL209+BM266*BM209+BN266*BN209+BO266*BO209+BP266*BP209+BQ266*BQ209+BR266*BR209+BS266*BS209+BT266*BT209+BU266*BU209+BV266*BV209+BW266*BW209+BX266*BX209+BY266*BY209+BZ266*BZ209+CA266*CA209+CB266*CB209+CC266*CC209+CD266*CD209+CE266*CE209+CF266*CF209+CG266*CG209+CH266*CH209+CI266*CI209+CJ266*CJ209+CK266*CK209+CL266*CL209+CM266*CM209+CN266*CN209+CO266*CO209+CP266*CP209+CQ266*CQ209+CR266*CR209+CS266*CS209</f>
        <v>0</v>
      </c>
      <c r="CW209" s="2502">
        <f>E267*E209+F267*F209+G267*G209+H267*H209+I267*I209+J267*J209+K267*K209+L267*L209+M267*M209+N267*N209+O267*O209+P267*P209+Q267*Q209+R267*R209+S267*S209+T267*T209+U267*U209+V267*V209+W267*W209+X267*X209+Y267*Y209+Z267*Z209+AA267*AA209+AB267*AB209+AC267*AC209+AD267*AD209+AE267*AE209+AF267*AF209+AG267*AG209+AH267*AH209+AI267*AI209+AJ267*AJ209+AK267*AK209+AL267*AL209+AM267*AM209+AN267*AN209+AO267*AO209+AP267*AP209+AQ267*AQ209+AR267*AR209+AS267*AS209+AT267*AT209+AU267*AU209+AV267*AV209+AW267*AW209+AX267*AX209+AY267*AY209+AZ267*AZ209+BA267*BA209+BB267*BB209+BC267*BC209+BD267*BD209+BE267*BE209+BF267*BF209+BG267*BG209+BH267*BH209+BI267*BI209+BJ267*BJ209+BK267*BK209+BL267*BL209+BM267*BM209+BN267*BN209+BO267*BO209+BP267*BP209+BQ267*BQ209+BR267*BR209+BS267*BS209+BT267*BT209+BU267*BU209+BV267*BV209+BW267*BW209+BX267*BX209+BY267*BY209+BZ267*BZ209+CA267*CA209+CB267*CB209+CC267*CC209+CD267*CD209+CE267*CE209+CF267*CF209+CG267*CG209+CH267*CH209+CI267*CI209+CJ267*CJ209+CK267*CK209+CL267*CL209+CM267*CM209+CN267*CN209+CO267*CO209+CP267*CP209+CQ267*CQ209+CR267*CR209+CS267*CS209</f>
        <v>0</v>
      </c>
      <c r="CX209" s="2503">
        <f>E268*E209+F268*F209+G268*G209+H268*H209+I268*I209+J268*J209+K268*K209+L268*L209+M268*M209+N268*N209+O268*O209+P268*P209+Q268*Q209+R268*R209+S268*S209+T268*T209+U268*U209+V268*V209+W268*W209+X268*X209+Y268*Y209+Z268*Z209+AA268*AA209+AB268*AB209+AC268*AC209+AD268*AD209+AE268*AE209+AF268*AF209+AG268*AG209+AH268*AH209+AI268*AI209+AJ268*AJ209+AK268*AK209+AL268*AL209+AM268*AM209+AN268*AN209+AO268*AO209+AP268*AP209+AQ268*AQ209+AR268*AR209+AS268*AS209+AT268*AT209+AU268*AU209+AV268*AV209+AW268*AW209+AX268*AX209+AY268*AY209+AZ268*AZ209+BA268*BA209+BB268*BB209+BC268*BC209+BD268*BD209+BE268*BE209+BF268*BF209+BG268*BG209+BH268*BH209+BI268*BI209+BJ268*BJ209+BK268*BK209+BL268*BL209+BM268*BM209+BN268*BN209+BO268*BO209+BP268*BP209+BQ268*BQ209+BR268*BR209+BS268*BS209+BT268*BT209+BU268*BU209+BV268*BV209+BW268*BW209+BX268*BX209+BY268*BY209+BZ268*BZ209+CA268*CA209+CB268*CB209+CC268*CC209+CD268*CD209+CE268*CE209+CF268*CF209+CG268*CG209+CH268*CH209+CI268*CI209+CJ268*CJ209+CK268*CK209+CL268*CL209+CM268*CM209+CN268*CN209+CO268*CO209+CP268*CP209+CQ268*CQ209+CR268*CR209+CS268*CS209</f>
        <v>0</v>
      </c>
      <c r="CY209" s="2504">
        <f>E269*E209+F269*F209+G269*G209+H269*H209+I269*I209+J269*J209+K269*K209+L269*L209+M269*M209+N269*N209+O269*O209+P269*P209+Q269*Q209+R269*R209+S269*S209+T269*T209+U269*U209+V269*V209+W269*W209+X269*X209+Y269*Y209+Z269*Z209+AA269*AA209+AB269*AB209+AC269*AC209+AD269*AD209+AE269*AE209+AF269*AF209+AG269*AG209+AH269*AH209+AI269*AI209+AJ269*AJ209+AK269*AK209+AL269*AL209+AM269*AM209+AN269*AN209+AO269*AO209+AP269*AP209+AQ269*AQ209+AR269*AR209+AS269*AS209+AT269*AT209+AU269*AU209+AV269*AV209+AW269*AW209+AX269*AX209+AY269*AY209+AZ269*AZ209+BA269*BA209+BB269*BB209+BC269*BC209+BD269*BD209+BE269*BE209+BF269*BF209+BG269*BG209+BH269*BH209+BI269*BI209+BJ269*BJ209+BK269*BK209+BL269*BL209+BM269*BM209+BN269*BN209+BO269*BO209+BP269*BP209+BQ269*BQ209+BR269*BR209+BS269*BS209+BT269*BT209+BU269*BU209+BV269*BV209+BW269*BW209+BX269*BX209+BY269*BY209+BZ269*BZ209+CA269*CA209+CB269*CB209+CC269*CC209+CD269*CD209+CE269*CE209+CF269*CF209+CG269*CG209+CH269*CH209+CI269*CI209+CJ269*CJ209+CK269*CK209+CL269*CL209+CM269*CM209+CN269*CN209+CO269*CO209+CP269*CP209+CQ269*CQ209+CR269*CR209+CS269*CS209</f>
        <v>0</v>
      </c>
      <c r="CZ209" s="2504">
        <f>E270*E209+F270*F209+G270*G209+H270*H209+I270*I209+J270*J209+K270*K209+L270*L209+M270*M209+N270*N209+O270*O209+P270*P209+Q270*Q209+R270*R209+S270*S209+T270*T209+U270*U209+V270*V209+W270*W209+X270*X209+Y270*Y209+Z270*Z209+AA270*AA209+AB270*AB209+AC270*AC209+AD270*AD209+AE270*AE209+AF270*AF209+AG270*AG209+AH270*AH209+AI270*AI209+AJ270*AJ209+AK270*AK209+AL270*AL209+AM270*AM209+AN270*AN209+AO270*AO209+AP270*AP209+AQ270*AQ209+AR270*AR209+AS270*AS209+AT270*AT209+AU270*AU209+AV270*AV209+AW270*AW209+AX270*AX209+AY270*AY209+AZ270*AZ209+BA270*BA209+BB270*BB209+BC270*BC209+BD270*BD209+BE270*BE209+BF270*BF209+BG270*BG209+BH270*BH209+BI270*BI209+BJ270*BJ209+BK270*BK209+BL270*BL209+BM270*BM209+BN270*BN209+BO270*BO209+BP270*BP209+BQ270*BQ209+BR270*BR209+BS270*BS209+BT270*BT209+BU270*BU209+BV270*BV209+BW270*BW209+BX270*BX209+BY270*BY209+BZ270*BZ209+CA270*CA209+CB270*CB209+CC270*CC209+CD270*CD209+CE270*CE209+CF270*CF209+CG270*CG209+CH270*CH209+CI270*CI209+CJ270*CJ209+CK270*CK209+CL270*CL209+CM270*CM209+CN270*CN209+CO270*CO209+CP270*CP209+CQ270*CQ209+CR270*CR209+CS270*CS209</f>
        <v>0</v>
      </c>
      <c r="DA209" s="2504">
        <f>E271*E209+F271*F209+G271*G209+H271*H209+I271*I209+J271*J209+K271*K209+L271*L209+M271*M209+N271*N209+O271*O209+P271*P209+Q271*Q209+R271*R209+S271*S209+T271*T209+U271*U209+V271*V209+W271*W209+X271*X209+Y271*Y209+Z271*Z209+AA271*AA209+AB271*AB209+AC271*AC209+AD271*AD209+AE271*AE209+AF271*AF209+AG271*AG209+AH271*AH209+AI271*AI209+AJ271*AJ209+AK271*AK209+AL271*AL209+AM271*AM209+AN271*AN209+AO271*AO209+AP271*AP209+AQ271*AQ209+AR271*AR209+AS271*AS209+AT271*AT209+AU271*AU209+AV271*AV209+AW271*AW209+AX271*AX209+AY271*AY209+AZ271*AZ209+BA271*BA209+BB271*BB209+BC271*BC209+BD271*BD209+BE271*BE209+BF271*BF209+BG271*BG209+BH271*BH209+BI271*BI209+BJ271*BJ209+BK271*BK209+BL271*BL209+BM271*BM209+BN271*BN209+BO271*BO209+BP271*BP209+BQ271*BQ209+BR271*BR209+BS271*BS209+BT271*BT209+BU271*BU209+BV271*BV209+BW271*BW209+BX271*BX209+BY271*BY209+BZ271*BZ209+CA271*CA209+CB271*CB209+CC271*CC209+CD271*CD209+CE271*CE209+CF271*CF209+CG271*CG209+CH271*CH209+CI271*CI209+CJ271*CJ209+CK271*CK209+CL271*CL209+CM271*CM209+CN271*CN209+CO271*CO209+CP271*CP209+CQ271*CQ209+CR271*CR209+CS271*CS209</f>
        <v>0</v>
      </c>
      <c r="DB209" s="2504">
        <f>E272*E209+F272*F209+G272*G209+H272*H209+I272*I209+J272*J209+K272*K209+L272*L209+M272*M209+N272*N209+O272*O209+P272*P209+Q272*Q209+R272*R209+S272*S209+T272*T209+U272*U209+V272*V209+W272*W209+X272*X209+Y272*Y209+Z272*Z209+AA272*AA209+AB272*AB209+AC272*AC209+AD272*AD209+AE272*AE209+AF272*AF209+AG272*AG209+AH272*AH209+AI272*AI209+AJ272*AJ209+AK272*AK209+AL272*AL209+AM272*AM209+AN272*AN209+AO272*AO209+AP272*AP209+AQ272*AQ209+AR272*AR209+AS272*AS209+AT272*AT209+AU272*AU209+AV272*AV209+AW272*AW209+AX272*AX209+AY272*AY209+AZ272*AZ209+BA272*BA209+BB272*BB209+BC272*BC209+BD272*BD209+BE272*BE209+BF272*BF209+BG272*BG209+BH272*BH209+BI272*BI209+BJ272*BJ209+BK272*BK209+BL272*BL209+BM272*BM209+BN272*BN209+BO272*BO209+BP272*BP209+BQ272*BQ209+BR272*BR209+BS272*BS209+BT272*BT209+BU272*BU209+BV272*BV209+BW272*BW209+BX272*BX209+BY272*BY209+BZ272*BZ209+CA272*CA209+CB272*CB209+CC272*CC209+CD272*CD209+CE272*CE209+CF272*CF209+CG272*CG209+CH272*CH209+CI272*CI209+CJ272*CJ209+CK272*CK209+CL272*CL209+CM272*CM209+CN272*CN209+CO272*CO209+CP272*CP209+CQ272*CQ209+CR272*CR209+CS272*CS209</f>
        <v>0</v>
      </c>
      <c r="DC209" s="2504">
        <f>E273*E209+F273*F209+G273*G209+H273*H209+I273*I209+J273*J209+K273*K209+L273*L209+M273*M209+N273*N209+O273*O209+P273*P209+Q273*Q209+R273*R209+S273*S209+T273*T209+U273*U209+V273*V209+W273*W209+X273*X209+Y273*Y209+Z273*Z209+AA273*AA209+AB273*AB209+AC273*AC209+AD273*AD209+AE273*AE209+AF273*AF209+AG273*AG209+AH273*AH209+AI273*AI209+AJ273*AJ209+AK273*AK209+AL273*AL209+AM273*AM209+AN273*AN209+AO273*AO209+AP273*AP209+AQ273*AQ209+AR273*AR209+AS273*AS209+AT273*AT209+AU273*AU209+AV273*AV209+AW273*AW209+AX273*AX209+AY273*AY209+AZ273*AZ209+BA273*BA209+BB273*BB209+BC273*BC209+BD273*BD209+BE273*BE209+BF273*BF209+BG273*BG209+BH273*BH209+BI273*BI209+BJ273*BJ209+BK273*BK209+BL273*BL209+BM273*BM209+BN273*BN209+BO273*BO209+BP273*BP209+BQ273*BQ209+BR273*BR209+BS273*BS209+BT273*BT209+BU273*BU209+BV273*BV209+BW273*BW209+BX273*BX209+BY273*BY209+BZ273*BZ209+CA273*CA209+CB273*CB209+CC273*CC209+CD273*CD209+CE273*CE209+CF273*CF209+CG273*CG209+CH273*CH209+CI273*CI209+CJ273*CJ209+CK273*CK209+CL273*CL209+CM273*CM209+CN273*CN209+CO273*CO209+CP273*CP209+CQ273*CQ209+CR273*CR209+CS273*CS209</f>
        <v>0</v>
      </c>
      <c r="DD209" s="2504">
        <f>E274*E209+F274*F209+G274*G209+H274*H209+I274*I209+J274*J209+K274*K209+L274*L209+M274*M209+N274*N209+O274*O209+P274*P209+Q274*Q209+R274*R209+S274*S209+T274*T209+U274*U209+V274*V209+W274*W209+X274*X209+Y274*Y209+Z274*Z209+AA274*AA209+AB274*AB209+AC274*AC209+AD274*AD209+AE274*AE209+AF274*AF209+AG274*AG209+AH274*AH209+AI274*AI209+AJ274*AJ209+AK274*AK209+AL274*AL209+AM274*AM209+AN274*AN209+AO274*AO209+AP274*AP209+AQ274*AQ209+AR274*AR209+AS274*AS209+AT274*AT209+AU274*AU209+AV274*AV209+AW274*AW209+AX274*AX209+AY274*AY209+AZ274*AZ209+BA274*BA209+BB274*BB209+BC274*BC209+BD274*BD209+BE274*BE209+BF274*BF209+BG274*BG209+BH274*BH209+BI274*BI209+BJ274*BJ209+BK274*BK209+BL274*BL209+BM274*BM209+BN274*BN209+BO274*BO209+BP274*BP209+BQ274*BQ209+BR274*BR209+BS274*BS209+BT274*BT209+BU274*BU209+BV274*BV209+BW274*BW209+BX274*BX209+BY274*BY209+BZ274*BZ209+CA274*CA209+CB274*CB209+CC274*CC209+CD274*CD209+CE274*CE209+CF274*CF209+CG274*CG209+CH274*CH209+CI274*CI209+CJ274*CJ209+CK274*CK209+CL274*CL209+CM274*CM209+CN274*CN209+CO274*CO209+CP274*CP209+CQ274*CQ209+CR274*CR209+CS274*CS209</f>
        <v>0</v>
      </c>
      <c r="DE209" s="2504">
        <f>E275*E209+F275*F209+G275*G209+H275*H209+I275*I209+J275*J209+K275*K209+L275*L209+M275*M209+N275*N209+O275*O209+P275*P209+Q275*Q209+R275*R209+S275*S209+T275*T209+U275*U209+V275*V209+W275*W209+X275*X209+Y275*Y209+Z275*Z209+AA275*AA209+AB275*AB209+AC275*AC209+AD275*AD209+AE275*AE209+AF275*AF209+AG275*AG209+AH275*AH209+AI275*AI209+AJ275*AJ209+AK275*AK209+AL275*AL209+AM275*AM209+AN275*AN209+AO275*AO209+AP275*AP209+AQ275*AQ209+AR275*AR209+AS275*AS209+AT275*AT209+AU275*AU209+AV275*AV209+AW275*AW209+AX275*AX209+AY275*AY209+AZ275*AZ209+BA275*BA209+BB275*BB209+BC275*BC209+BD275*BD209+BE275*BE209+BF275*BF209+BG275*BG209+BH275*BH209+BI275*BI209+BJ275*BJ209+BK275*BK209+BL275*BL209+BM275*BM209+BN275*BN209+BO275*BO209+BP275*BP209+BQ275*BQ209+BR275*BR209+BS275*BS209+BT275*BT209+BU275*BU209+BV275*BV209+BW275*BW209+BX275*BX209+BY275*BY209+BZ275*BZ209+CA275*CA209+CB275*CB209+CC275*CC209+CD275*CD209+CE275*CE209+CF275*CF209+CG275*CG209+CH275*CH209+CI275*CI209+CJ275*CJ209+CK275*CK209+CL275*CL209+CM275*CM209+CN275*CN209+CO275*CO209+CP275*CP209+CQ275*CQ209+CR275*CR209+CS275*CS209</f>
        <v>0</v>
      </c>
      <c r="DF209" s="2504">
        <f>E276*E209+F276*F209+G276*G209+H276*H209+I276*I209+J276*J209+K276*K209+L276*L209+M276*M209+N276*N209+O276*O209+P276*P209+Q276*Q209+R276*R209+S276*S209+T276*T209+U276*U209+V276*V209+W276*W209+X276*X209+Y276*Y209+Z276*Z209+AA276*AA209+AB276*AB209+AC276*AC209+AD276*AD209+AE276*AE209+AF276*AF209+AG276*AG209+AH276*AH209+AI276*AI209+AJ276*AJ209+AK276*AK209+AL276*AL209+AM276*AM209+AN276*AN209+AO276*AO209+AP276*AP209+AQ276*AQ209+AR276*AR209+AS276*AS209+AT276*AT209+AU276*AU209+AV276*AV209+AW276*AW209+AX276*AX209+AY276*AY209+AZ276*AZ209+BA276*BA209+BB276*BB209+BC276*BC209+BD276*BD209+BE276*BE209+BF276*BF209+BG276*BG209+BH276*BH209+BI276*BI209+BJ276*BJ209+BK276*BK209+BL276*BL209+BM276*BM209+BN276*BN209+BO276*BO209+BP276*BP209+BQ276*BQ209+BR276*BR209+BS276*BS209+BT276*BT209+BU276*BU209+BV276*BV209+BW276*BW209+BX276*BX209+BY276*BY209+BZ276*BZ209+CA276*CA209+CB276*CB209+CC276*CC209+CD276*CD209+CE276*CE209+CF276*CF209+CG276*CG209+CH276*CH209+CI276*CI209+CJ276*CJ209+CK276*CK209+CL276*CL209+CM276*CM209+CN276*CN209+CO276*CO209+CP276*CP209+CQ276*CQ209+CR276*CR209+CS276*CS209</f>
        <v>0</v>
      </c>
    </row>
    <row r="210" spans="2:110" x14ac:dyDescent="0.25">
      <c r="B210" s="1583">
        <v>68</v>
      </c>
      <c r="C210" s="551" t="s">
        <v>2391</v>
      </c>
      <c r="D210" s="552" t="s">
        <v>1675</v>
      </c>
      <c r="E210" s="506">
        <f>0</f>
        <v>0</v>
      </c>
      <c r="F210" s="506">
        <f>0</f>
        <v>0</v>
      </c>
      <c r="G210" s="506">
        <f>0</f>
        <v>0</v>
      </c>
      <c r="H210" s="506">
        <f>0</f>
        <v>0</v>
      </c>
      <c r="I210" s="506">
        <f>0</f>
        <v>0</v>
      </c>
      <c r="J210" s="506">
        <f>0</f>
        <v>0</v>
      </c>
      <c r="K210" s="506">
        <f>0</f>
        <v>0</v>
      </c>
      <c r="L210" s="506">
        <f>-1</f>
        <v>-1</v>
      </c>
      <c r="M210" s="506">
        <f>1</f>
        <v>1</v>
      </c>
      <c r="N210" s="506">
        <f>0</f>
        <v>0</v>
      </c>
      <c r="O210" s="506">
        <f>0</f>
        <v>0</v>
      </c>
      <c r="P210" s="506">
        <f>0</f>
        <v>0</v>
      </c>
      <c r="Q210" s="506">
        <f>0</f>
        <v>0</v>
      </c>
      <c r="R210" s="506">
        <f>0</f>
        <v>0</v>
      </c>
      <c r="S210" s="506">
        <f>0</f>
        <v>0</v>
      </c>
      <c r="T210" s="506">
        <f>0</f>
        <v>0</v>
      </c>
      <c r="U210" s="506">
        <f>0</f>
        <v>0</v>
      </c>
      <c r="V210" s="506">
        <f>0</f>
        <v>0</v>
      </c>
      <c r="W210" s="506">
        <f>0</f>
        <v>0</v>
      </c>
      <c r="X210" s="506">
        <f>0</f>
        <v>0</v>
      </c>
      <c r="Y210" s="506">
        <f>0</f>
        <v>0</v>
      </c>
      <c r="Z210" s="506">
        <f>0</f>
        <v>0</v>
      </c>
      <c r="AA210" s="506">
        <f>0</f>
        <v>0</v>
      </c>
      <c r="AB210" s="506">
        <f>0</f>
        <v>0</v>
      </c>
      <c r="AC210" s="506">
        <f>0</f>
        <v>0</v>
      </c>
      <c r="AD210" s="506">
        <f>0</f>
        <v>0</v>
      </c>
      <c r="AE210" s="506">
        <f>0</f>
        <v>0</v>
      </c>
      <c r="AF210" s="506">
        <f>0</f>
        <v>0</v>
      </c>
      <c r="AG210" s="506">
        <f>0</f>
        <v>0</v>
      </c>
      <c r="AH210" s="506">
        <f>0</f>
        <v>0</v>
      </c>
      <c r="AI210" s="506">
        <f>0</f>
        <v>0</v>
      </c>
      <c r="AJ210" s="506">
        <f>0</f>
        <v>0</v>
      </c>
      <c r="AK210" s="506">
        <f>0</f>
        <v>0</v>
      </c>
      <c r="AL210" s="506">
        <f>i_N_CU</f>
        <v>0.01</v>
      </c>
      <c r="AM210" s="506">
        <f>0</f>
        <v>0</v>
      </c>
      <c r="AN210" s="506">
        <f>0</f>
        <v>0</v>
      </c>
      <c r="AO210" s="506">
        <f>0</f>
        <v>0</v>
      </c>
      <c r="AP210" s="506">
        <f>0</f>
        <v>0</v>
      </c>
      <c r="AQ210" s="506">
        <f>0</f>
        <v>0</v>
      </c>
      <c r="AR210" s="506">
        <f>i_P_CU</f>
        <v>2E-3</v>
      </c>
      <c r="AS210" s="506">
        <f>0</f>
        <v>0</v>
      </c>
      <c r="AT210" s="506">
        <f>0</f>
        <v>0</v>
      </c>
      <c r="AU210" s="506">
        <f>0</f>
        <v>0</v>
      </c>
      <c r="AV210" s="506">
        <f>0</f>
        <v>0</v>
      </c>
      <c r="AW210" s="506">
        <f>0</f>
        <v>0</v>
      </c>
      <c r="AX210" s="506">
        <f>0</f>
        <v>0</v>
      </c>
      <c r="AY210" s="506">
        <f>0</f>
        <v>0</v>
      </c>
      <c r="AZ210" s="506">
        <f>0</f>
        <v>0</v>
      </c>
      <c r="BA210" s="506">
        <f>0</f>
        <v>0</v>
      </c>
      <c r="BB210" s="506">
        <f>0</f>
        <v>0</v>
      </c>
      <c r="BC210" s="506">
        <f>0</f>
        <v>0</v>
      </c>
      <c r="BD210" s="506">
        <f>0</f>
        <v>0</v>
      </c>
      <c r="BE210" s="506">
        <f>0</f>
        <v>0</v>
      </c>
      <c r="BF210" s="506">
        <f>0</f>
        <v>0</v>
      </c>
      <c r="BG210" s="506">
        <f>0</f>
        <v>0</v>
      </c>
      <c r="BH210" s="506">
        <f>0</f>
        <v>0</v>
      </c>
      <c r="BI210" s="506">
        <f>0</f>
        <v>0</v>
      </c>
      <c r="BJ210" s="506">
        <f>0</f>
        <v>0</v>
      </c>
      <c r="BK210" s="506">
        <f>0</f>
        <v>0</v>
      </c>
      <c r="BL210" s="506">
        <f>0</f>
        <v>0</v>
      </c>
      <c r="BM210" s="506">
        <f>0</f>
        <v>0</v>
      </c>
      <c r="BN210" s="506">
        <f>0</f>
        <v>0</v>
      </c>
      <c r="BO210" s="506">
        <f>0</f>
        <v>0</v>
      </c>
      <c r="BP210" s="506">
        <f>0</f>
        <v>0</v>
      </c>
      <c r="BQ210" s="506">
        <f>0</f>
        <v>0</v>
      </c>
      <c r="BR210" s="506">
        <f>0</f>
        <v>0</v>
      </c>
      <c r="BS210" s="506">
        <f>0</f>
        <v>0</v>
      </c>
      <c r="BT210" s="506">
        <f>0</f>
        <v>0</v>
      </c>
      <c r="BU210" s="506">
        <f>0</f>
        <v>0</v>
      </c>
      <c r="BV210" s="506">
        <f>0</f>
        <v>0</v>
      </c>
      <c r="BW210" s="2367">
        <f>0</f>
        <v>0</v>
      </c>
      <c r="BX210" s="2367">
        <f>0</f>
        <v>0</v>
      </c>
      <c r="BY210" s="2367">
        <f>0</f>
        <v>0</v>
      </c>
      <c r="BZ210" s="2367">
        <f>0</f>
        <v>0</v>
      </c>
      <c r="CA210" s="506">
        <f>0</f>
        <v>0</v>
      </c>
      <c r="CB210" s="506">
        <f>0</f>
        <v>0</v>
      </c>
      <c r="CC210" s="506">
        <f>0</f>
        <v>0</v>
      </c>
      <c r="CD210" s="506">
        <f>0</f>
        <v>0</v>
      </c>
      <c r="CE210" s="506">
        <f>0</f>
        <v>0</v>
      </c>
      <c r="CF210" s="506">
        <f>0</f>
        <v>0</v>
      </c>
      <c r="CG210" s="506">
        <f>0</f>
        <v>0</v>
      </c>
      <c r="CH210" s="506">
        <f>0</f>
        <v>0</v>
      </c>
      <c r="CI210" s="506">
        <f>0</f>
        <v>0</v>
      </c>
      <c r="CJ210" s="506">
        <f>0</f>
        <v>0</v>
      </c>
      <c r="CK210" s="506">
        <f>0</f>
        <v>0</v>
      </c>
      <c r="CL210" s="506">
        <f>0</f>
        <v>0</v>
      </c>
      <c r="CM210" s="506">
        <f>0</f>
        <v>0</v>
      </c>
      <c r="CN210" s="506">
        <f>0</f>
        <v>0</v>
      </c>
      <c r="CO210" s="506">
        <f>0</f>
        <v>0</v>
      </c>
      <c r="CP210" s="506">
        <f>0</f>
        <v>0</v>
      </c>
      <c r="CQ210" s="506">
        <f>0</f>
        <v>0</v>
      </c>
      <c r="CR210" s="506">
        <f>0</f>
        <v>0</v>
      </c>
      <c r="CS210" s="506">
        <f>0</f>
        <v>0</v>
      </c>
      <c r="CT210" s="2490">
        <f>q_FLOC_T*X_BIO*M_satCU_KCU_FLOC+q_FLOC_HFO_T*X_HFO*M_satCU_KCU_FLOC_HFO*B_ellinhpH_FLOC_HFO+q_FLOC_HAO_T*X_HAO*M_satCU_KCU_FLOC_HAO*B_ellinhpH_FLOC_HAO</f>
        <v>5.4228491657492466</v>
      </c>
      <c r="CV210" s="2502">
        <f>E266*E210+F266*F210+G266*G210+H266*H210+I266*I210+J266*J210+K266*K210+L266*L210+M266*M210+N266*N210+O266*O210+P266*P210+Q266*Q210+R266*R210+S266*S210+T266*T210+U266*U210+V266*V210+W266*W210+X266*X210+Y266*Y210+Z266*Z210+AA266*AA210+AB266*AB210+AC266*AC210+AD266*AD210+AE266*AE210+AF266*AF210+AG266*AG210+AH266*AH210+AI266*AI210+AJ266*AJ210+AK266*AK210+AL266*AL210+AM266*AM210+AN266*AN210+AO266*AO210+AP266*AP210+AQ266*AQ210+AR266*AR210+AS266*AS210+AT266*AT210+AU266*AU210+AV266*AV210+AW266*AW210+AX266*AX210+AY266*AY210+AZ266*AZ210+BA266*BA210+BB266*BB210+BC266*BC210+BD266*BD210+BE266*BE210+BF266*BF210+BG266*BG210+BH266*BH210+BI266*BI210+BJ266*BJ210+BK266*BK210+BL266*BL210+BM266*BM210+BN266*BN210+BO266*BO210+BP266*BP210+BQ266*BQ210+BR266*BR210+BS266*BS210+BT266*BT210+BU266*BU210+BV266*BV210+BW266*BW210+BX266*BX210+BY266*BY210+BZ266*BZ210+CA266*CA210+CB266*CB210+CC266*CC210+CD266*CD210+CE266*CE210+CF266*CF210+CG266*CG210+CH266*CH210+CI266*CI210+CJ266*CJ210+CK266*CK210+CL266*CL210+CM266*CM210+CN266*CN210+CO266*CO210+CP266*CP210+CQ266*CQ210+CR266*CR210+CS266*CS210</f>
        <v>0</v>
      </c>
      <c r="CW210" s="2502">
        <f>E267*E210+F267*F210+G267*G210+H267*H210+I267*I210+J267*J210+K267*K210+L267*L210+M267*M210+N267*N210+O267*O210+P267*P210+Q267*Q210+R267*R210+S267*S210+T267*T210+U267*U210+V267*V210+W267*W210+X267*X210+Y267*Y210+Z267*Z210+AA267*AA210+AB267*AB210+AC267*AC210+AD267*AD210+AE267*AE210+AF267*AF210+AG267*AG210+AH267*AH210+AI267*AI210+AJ267*AJ210+AK267*AK210+AL267*AL210+AM267*AM210+AN267*AN210+AO267*AO210+AP267*AP210+AQ267*AQ210+AR267*AR210+AS267*AS210+AT267*AT210+AU267*AU210+AV267*AV210+AW267*AW210+AX267*AX210+AY267*AY210+AZ267*AZ210+BA267*BA210+BB267*BB210+BC267*BC210+BD267*BD210+BE267*BE210+BF267*BF210+BG267*BG210+BH267*BH210+BI267*BI210+BJ267*BJ210+BK267*BK210+BL267*BL210+BM267*BM210+BN267*BN210+BO267*BO210+BP267*BP210+BQ267*BQ210+BR267*BR210+BS267*BS210+BT267*BT210+BU267*BU210+BV267*BV210+BW267*BW210+BX267*BX210+BY267*BY210+BZ267*BZ210+CA267*CA210+CB267*CB210+CC267*CC210+CD267*CD210+CE267*CE210+CF267*CF210+CG267*CG210+CH267*CH210+CI267*CI210+CJ267*CJ210+CK267*CK210+CL267*CL210+CM267*CM210+CN267*CN210+CO267*CO210+CP267*CP210+CQ267*CQ210+CR267*CR210+CS267*CS210</f>
        <v>0</v>
      </c>
      <c r="CX210" s="2503">
        <f>E268*E210+F268*F210+G268*G210+H268*H210+I268*I210+J268*J210+K268*K210+L268*L210+M268*M210+N268*N210+O268*O210+P268*P210+Q268*Q210+R268*R210+S268*S210+T268*T210+U268*U210+V268*V210+W268*W210+X268*X210+Y268*Y210+Z268*Z210+AA268*AA210+AB268*AB210+AC268*AC210+AD268*AD210+AE268*AE210+AF268*AF210+AG268*AG210+AH268*AH210+AI268*AI210+AJ268*AJ210+AK268*AK210+AL268*AL210+AM268*AM210+AN268*AN210+AO268*AO210+AP268*AP210+AQ268*AQ210+AR268*AR210+AS268*AS210+AT268*AT210+AU268*AU210+AV268*AV210+AW268*AW210+AX268*AX210+AY268*AY210+AZ268*AZ210+BA268*BA210+BB268*BB210+BC268*BC210+BD268*BD210+BE268*BE210+BF268*BF210+BG268*BG210+BH268*BH210+BI268*BI210+BJ268*BJ210+BK268*BK210+BL268*BL210+BM268*BM210+BN268*BN210+BO268*BO210+BP268*BP210+BQ268*BQ210+BR268*BR210+BS268*BS210+BT268*BT210+BU268*BU210+BV268*BV210+BW268*BW210+BX268*BX210+BY268*BY210+BZ268*BZ210+CA268*CA210+CB268*CB210+CC268*CC210+CD268*CD210+CE268*CE210+CF268*CF210+CG268*CG210+CH268*CH210+CI268*CI210+CJ268*CJ210+CK268*CK210+CL268*CL210+CM268*CM210+CN268*CN210+CO268*CO210+CP268*CP210+CQ268*CQ210+CR268*CR210+CS268*CS210</f>
        <v>0</v>
      </c>
      <c r="CY210" s="2504">
        <f>E269*E210+F269*F210+G269*G210+H269*H210+I269*I210+J269*J210+K269*K210+L269*L210+M269*M210+N269*N210+O269*O210+P269*P210+Q269*Q210+R269*R210+S269*S210+T269*T210+U269*U210+V269*V210+W269*W210+X269*X210+Y269*Y210+Z269*Z210+AA269*AA210+AB269*AB210+AC269*AC210+AD269*AD210+AE269*AE210+AF269*AF210+AG269*AG210+AH269*AH210+AI269*AI210+AJ269*AJ210+AK269*AK210+AL269*AL210+AM269*AM210+AN269*AN210+AO269*AO210+AP269*AP210+AQ269*AQ210+AR269*AR210+AS269*AS210+AT269*AT210+AU269*AU210+AV269*AV210+AW269*AW210+AX269*AX210+AY269*AY210+AZ269*AZ210+BA269*BA210+BB269*BB210+BC269*BC210+BD269*BD210+BE269*BE210+BF269*BF210+BG269*BG210+BH269*BH210+BI269*BI210+BJ269*BJ210+BK269*BK210+BL269*BL210+BM269*BM210+BN269*BN210+BO269*BO210+BP269*BP210+BQ269*BQ210+BR269*BR210+BS269*BS210+BT269*BT210+BU269*BU210+BV269*BV210+BW269*BW210+BX269*BX210+BY269*BY210+BZ269*BZ210+CA269*CA210+CB269*CB210+CC269*CC210+CD269*CD210+CE269*CE210+CF269*CF210+CG269*CG210+CH269*CH210+CI269*CI210+CJ269*CJ210+CK269*CK210+CL269*CL210+CM269*CM210+CN269*CN210+CO269*CO210+CP269*CP210+CQ269*CQ210+CR269*CR210+CS269*CS210</f>
        <v>0</v>
      </c>
      <c r="CZ210" s="2504">
        <f>E270*E210+F270*F210+G270*G210+H270*H210+I270*I210+J270*J210+K270*K210+L270*L210+M270*M210+N270*N210+O270*O210+P270*P210+Q270*Q210+R270*R210+S270*S210+T270*T210+U270*U210+V270*V210+W270*W210+X270*X210+Y270*Y210+Z270*Z210+AA270*AA210+AB270*AB210+AC270*AC210+AD270*AD210+AE270*AE210+AF270*AF210+AG270*AG210+AH270*AH210+AI270*AI210+AJ270*AJ210+AK270*AK210+AL270*AL210+AM270*AM210+AN270*AN210+AO270*AO210+AP270*AP210+AQ270*AQ210+AR270*AR210+AS270*AS210+AT270*AT210+AU270*AU210+AV270*AV210+AW270*AW210+AX270*AX210+AY270*AY210+AZ270*AZ210+BA270*BA210+BB270*BB210+BC270*BC210+BD270*BD210+BE270*BE210+BF270*BF210+BG270*BG210+BH270*BH210+BI270*BI210+BJ270*BJ210+BK270*BK210+BL270*BL210+BM270*BM210+BN270*BN210+BO270*BO210+BP270*BP210+BQ270*BQ210+BR270*BR210+BS270*BS210+BT270*BT210+BU270*BU210+BV270*BV210+BW270*BW210+BX270*BX210+BY270*BY210+BZ270*BZ210+CA270*CA210+CB270*CB210+CC270*CC210+CD270*CD210+CE270*CE210+CF270*CF210+CG270*CG210+CH270*CH210+CI270*CI210+CJ270*CJ210+CK270*CK210+CL270*CL210+CM270*CM210+CN270*CN210+CO270*CO210+CP270*CP210+CQ270*CQ210+CR270*CR210+CS270*CS210</f>
        <v>0</v>
      </c>
      <c r="DA210" s="2504">
        <f>E271*E210+F271*F210+G271*G210+H271*H210+I271*I210+J271*J210+K271*K210+L271*L210+M271*M210+N271*N210+O271*O210+P271*P210+Q271*Q210+R271*R210+S271*S210+T271*T210+U271*U210+V271*V210+W271*W210+X271*X210+Y271*Y210+Z271*Z210+AA271*AA210+AB271*AB210+AC271*AC210+AD271*AD210+AE271*AE210+AF271*AF210+AG271*AG210+AH271*AH210+AI271*AI210+AJ271*AJ210+AK271*AK210+AL271*AL210+AM271*AM210+AN271*AN210+AO271*AO210+AP271*AP210+AQ271*AQ210+AR271*AR210+AS271*AS210+AT271*AT210+AU271*AU210+AV271*AV210+AW271*AW210+AX271*AX210+AY271*AY210+AZ271*AZ210+BA271*BA210+BB271*BB210+BC271*BC210+BD271*BD210+BE271*BE210+BF271*BF210+BG271*BG210+BH271*BH210+BI271*BI210+BJ271*BJ210+BK271*BK210+BL271*BL210+BM271*BM210+BN271*BN210+BO271*BO210+BP271*BP210+BQ271*BQ210+BR271*BR210+BS271*BS210+BT271*BT210+BU271*BU210+BV271*BV210+BW271*BW210+BX271*BX210+BY271*BY210+BZ271*BZ210+CA271*CA210+CB271*CB210+CC271*CC210+CD271*CD210+CE271*CE210+CF271*CF210+CG271*CG210+CH271*CH210+CI271*CI210+CJ271*CJ210+CK271*CK210+CL271*CL210+CM271*CM210+CN271*CN210+CO271*CO210+CP271*CP210+CQ271*CQ210+CR271*CR210+CS271*CS210</f>
        <v>0</v>
      </c>
      <c r="DB210" s="2504">
        <f>E272*E210+F272*F210+G272*G210+H272*H210+I272*I210+J272*J210+K272*K210+L272*L210+M272*M210+N272*N210+O272*O210+P272*P210+Q272*Q210+R272*R210+S272*S210+T272*T210+U272*U210+V272*V210+W272*W210+X272*X210+Y272*Y210+Z272*Z210+AA272*AA210+AB272*AB210+AC272*AC210+AD272*AD210+AE272*AE210+AF272*AF210+AG272*AG210+AH272*AH210+AI272*AI210+AJ272*AJ210+AK272*AK210+AL272*AL210+AM272*AM210+AN272*AN210+AO272*AO210+AP272*AP210+AQ272*AQ210+AR272*AR210+AS272*AS210+AT272*AT210+AU272*AU210+AV272*AV210+AW272*AW210+AX272*AX210+AY272*AY210+AZ272*AZ210+BA272*BA210+BB272*BB210+BC272*BC210+BD272*BD210+BE272*BE210+BF272*BF210+BG272*BG210+BH272*BH210+BI272*BI210+BJ272*BJ210+BK272*BK210+BL272*BL210+BM272*BM210+BN272*BN210+BO272*BO210+BP272*BP210+BQ272*BQ210+BR272*BR210+BS272*BS210+BT272*BT210+BU272*BU210+BV272*BV210+BW272*BW210+BX272*BX210+BY272*BY210+BZ272*BZ210+CA272*CA210+CB272*CB210+CC272*CC210+CD272*CD210+CE272*CE210+CF272*CF210+CG272*CG210+CH272*CH210+CI272*CI210+CJ272*CJ210+CK272*CK210+CL272*CL210+CM272*CM210+CN272*CN210+CO272*CO210+CP272*CP210+CQ272*CQ210+CR272*CR210+CS272*CS210</f>
        <v>0</v>
      </c>
      <c r="DC210" s="2504">
        <f>E273*E210+F273*F210+G273*G210+H273*H210+I273*I210+J273*J210+K273*K210+L273*L210+M273*M210+N273*N210+O273*O210+P273*P210+Q273*Q210+R273*R210+S273*S210+T273*T210+U273*U210+V273*V210+W273*W210+X273*X210+Y273*Y210+Z273*Z210+AA273*AA210+AB273*AB210+AC273*AC210+AD273*AD210+AE273*AE210+AF273*AF210+AG273*AG210+AH273*AH210+AI273*AI210+AJ273*AJ210+AK273*AK210+AL273*AL210+AM273*AM210+AN273*AN210+AO273*AO210+AP273*AP210+AQ273*AQ210+AR273*AR210+AS273*AS210+AT273*AT210+AU273*AU210+AV273*AV210+AW273*AW210+AX273*AX210+AY273*AY210+AZ273*AZ210+BA273*BA210+BB273*BB210+BC273*BC210+BD273*BD210+BE273*BE210+BF273*BF210+BG273*BG210+BH273*BH210+BI273*BI210+BJ273*BJ210+BK273*BK210+BL273*BL210+BM273*BM210+BN273*BN210+BO273*BO210+BP273*BP210+BQ273*BQ210+BR273*BR210+BS273*BS210+BT273*BT210+BU273*BU210+BV273*BV210+BW273*BW210+BX273*BX210+BY273*BY210+BZ273*BZ210+CA273*CA210+CB273*CB210+CC273*CC210+CD273*CD210+CE273*CE210+CF273*CF210+CG273*CG210+CH273*CH210+CI273*CI210+CJ273*CJ210+CK273*CK210+CL273*CL210+CM273*CM210+CN273*CN210+CO273*CO210+CP273*CP210+CQ273*CQ210+CR273*CR210+CS273*CS210</f>
        <v>0</v>
      </c>
      <c r="DD210" s="2504">
        <f>E274*E210+F274*F210+G274*G210+H274*H210+I274*I210+J274*J210+K274*K210+L274*L210+M274*M210+N274*N210+O274*O210+P274*P210+Q274*Q210+R274*R210+S274*S210+T274*T210+U274*U210+V274*V210+W274*W210+X274*X210+Y274*Y210+Z274*Z210+AA274*AA210+AB274*AB210+AC274*AC210+AD274*AD210+AE274*AE210+AF274*AF210+AG274*AG210+AH274*AH210+AI274*AI210+AJ274*AJ210+AK274*AK210+AL274*AL210+AM274*AM210+AN274*AN210+AO274*AO210+AP274*AP210+AQ274*AQ210+AR274*AR210+AS274*AS210+AT274*AT210+AU274*AU210+AV274*AV210+AW274*AW210+AX274*AX210+AY274*AY210+AZ274*AZ210+BA274*BA210+BB274*BB210+BC274*BC210+BD274*BD210+BE274*BE210+BF274*BF210+BG274*BG210+BH274*BH210+BI274*BI210+BJ274*BJ210+BK274*BK210+BL274*BL210+BM274*BM210+BN274*BN210+BO274*BO210+BP274*BP210+BQ274*BQ210+BR274*BR210+BS274*BS210+BT274*BT210+BU274*BU210+BV274*BV210+BW274*BW210+BX274*BX210+BY274*BY210+BZ274*BZ210+CA274*CA210+CB274*CB210+CC274*CC210+CD274*CD210+CE274*CE210+CF274*CF210+CG274*CG210+CH274*CH210+CI274*CI210+CJ274*CJ210+CK274*CK210+CL274*CL210+CM274*CM210+CN274*CN210+CO274*CO210+CP274*CP210+CQ274*CQ210+CR274*CR210+CS274*CS210</f>
        <v>0</v>
      </c>
      <c r="DE210" s="2504">
        <f>E275*E210+F275*F210+G275*G210+H275*H210+I275*I210+J275*J210+K275*K210+L275*L210+M275*M210+N275*N210+O275*O210+P275*P210+Q275*Q210+R275*R210+S275*S210+T275*T210+U275*U210+V275*V210+W275*W210+X275*X210+Y275*Y210+Z275*Z210+AA275*AA210+AB275*AB210+AC275*AC210+AD275*AD210+AE275*AE210+AF275*AF210+AG275*AG210+AH275*AH210+AI275*AI210+AJ275*AJ210+AK275*AK210+AL275*AL210+AM275*AM210+AN275*AN210+AO275*AO210+AP275*AP210+AQ275*AQ210+AR275*AR210+AS275*AS210+AT275*AT210+AU275*AU210+AV275*AV210+AW275*AW210+AX275*AX210+AY275*AY210+AZ275*AZ210+BA275*BA210+BB275*BB210+BC275*BC210+BD275*BD210+BE275*BE210+BF275*BF210+BG275*BG210+BH275*BH210+BI275*BI210+BJ275*BJ210+BK275*BK210+BL275*BL210+BM275*BM210+BN275*BN210+BO275*BO210+BP275*BP210+BQ275*BQ210+BR275*BR210+BS275*BS210+BT275*BT210+BU275*BU210+BV275*BV210+BW275*BW210+BX275*BX210+BY275*BY210+BZ275*BZ210+CA275*CA210+CB275*CB210+CC275*CC210+CD275*CD210+CE275*CE210+CF275*CF210+CG275*CG210+CH275*CH210+CI275*CI210+CJ275*CJ210+CK275*CK210+CL275*CL210+CM275*CM210+CN275*CN210+CO275*CO210+CP275*CP210+CQ275*CQ210+CR275*CR210+CS275*CS210</f>
        <v>0</v>
      </c>
      <c r="DF210" s="2504">
        <f>E276*E210+F276*F210+G276*G210+H276*H210+I276*I210+J276*J210+K276*K210+L276*L210+M276*M210+N276*N210+O276*O210+P276*P210+Q276*Q210+R276*R210+S276*S210+T276*T210+U276*U210+V276*V210+W276*W210+X276*X210+Y276*Y210+Z276*Z210+AA276*AA210+AB276*AB210+AC276*AC210+AD276*AD210+AE276*AE210+AF276*AF210+AG276*AG210+AH276*AH210+AI276*AI210+AJ276*AJ210+AK276*AK210+AL276*AL210+AM276*AM210+AN276*AN210+AO276*AO210+AP276*AP210+AQ276*AQ210+AR276*AR210+AS276*AS210+AT276*AT210+AU276*AU210+AV276*AV210+AW276*AW210+AX276*AX210+AY276*AY210+AZ276*AZ210+BA276*BA210+BB276*BB210+BC276*BC210+BD276*BD210+BE276*BE210+BF276*BF210+BG276*BG210+BH276*BH210+BI276*BI210+BJ276*BJ210+BK276*BK210+BL276*BL210+BM276*BM210+BN276*BN210+BO276*BO210+BP276*BP210+BQ276*BQ210+BR276*BR210+BS276*BS210+BT276*BT210+BU276*BU210+BV276*BV210+BW276*BW210+BX276*BX210+BY276*BY210+BZ276*BZ210+CA276*CA210+CB276*CB210+CC276*CC210+CD276*CD210+CE276*CE210+CF276*CF210+CG276*CG210+CH276*CH210+CI276*CI210+CJ276*CJ210+CK276*CK210+CL276*CL210+CM276*CM210+CN276*CN210+CO276*CO210+CP276*CP210+CQ276*CQ210+CR276*CR210+CS276*CS210</f>
        <v>0</v>
      </c>
    </row>
    <row r="211" spans="2:110" x14ac:dyDescent="0.25">
      <c r="B211" s="1583">
        <v>69</v>
      </c>
      <c r="C211" s="551" t="s">
        <v>2392</v>
      </c>
      <c r="D211" s="552" t="s">
        <v>3301</v>
      </c>
      <c r="E211" s="506">
        <f>0</f>
        <v>0</v>
      </c>
      <c r="F211" s="506">
        <f>0</f>
        <v>0</v>
      </c>
      <c r="G211" s="506">
        <f>0</f>
        <v>0</v>
      </c>
      <c r="H211" s="506">
        <f>-1</f>
        <v>-1</v>
      </c>
      <c r="I211" s="506">
        <f>1</f>
        <v>1</v>
      </c>
      <c r="J211" s="506">
        <f>0</f>
        <v>0</v>
      </c>
      <c r="K211" s="506">
        <f>0</f>
        <v>0</v>
      </c>
      <c r="L211" s="506">
        <f>0</f>
        <v>0</v>
      </c>
      <c r="M211" s="506">
        <f>0</f>
        <v>0</v>
      </c>
      <c r="N211" s="506">
        <f>0</f>
        <v>0</v>
      </c>
      <c r="O211" s="506">
        <f>0</f>
        <v>0</v>
      </c>
      <c r="P211" s="506">
        <f>0</f>
        <v>0</v>
      </c>
      <c r="Q211" s="506">
        <f>0</f>
        <v>0</v>
      </c>
      <c r="R211" s="506">
        <f>0</f>
        <v>0</v>
      </c>
      <c r="S211" s="506">
        <f>0</f>
        <v>0</v>
      </c>
      <c r="T211" s="506">
        <f>0</f>
        <v>0</v>
      </c>
      <c r="U211" s="506">
        <f>0</f>
        <v>0</v>
      </c>
      <c r="V211" s="506">
        <f>0</f>
        <v>0</v>
      </c>
      <c r="W211" s="506">
        <f>0</f>
        <v>0</v>
      </c>
      <c r="X211" s="506">
        <f>0</f>
        <v>0</v>
      </c>
      <c r="Y211" s="506">
        <f>0</f>
        <v>0</v>
      </c>
      <c r="Z211" s="506">
        <f>0</f>
        <v>0</v>
      </c>
      <c r="AA211" s="506">
        <f>0</f>
        <v>0</v>
      </c>
      <c r="AB211" s="506">
        <f>0</f>
        <v>0</v>
      </c>
      <c r="AC211" s="506">
        <f>0</f>
        <v>0</v>
      </c>
      <c r="AD211" s="506">
        <f>0</f>
        <v>0</v>
      </c>
      <c r="AE211" s="506">
        <f>0</f>
        <v>0</v>
      </c>
      <c r="AF211" s="506">
        <f>0</f>
        <v>0</v>
      </c>
      <c r="AG211" s="506">
        <f>0</f>
        <v>0</v>
      </c>
      <c r="AH211" s="506">
        <f>0</f>
        <v>0</v>
      </c>
      <c r="AI211" s="506">
        <f>0</f>
        <v>0</v>
      </c>
      <c r="AJ211" s="506">
        <f>i_N_CB</f>
        <v>0.01</v>
      </c>
      <c r="AK211" s="506">
        <f>0</f>
        <v>0</v>
      </c>
      <c r="AL211" s="506">
        <f>0</f>
        <v>0</v>
      </c>
      <c r="AM211" s="506">
        <f>0</f>
        <v>0</v>
      </c>
      <c r="AN211" s="506">
        <f>0</f>
        <v>0</v>
      </c>
      <c r="AO211" s="506">
        <f>0</f>
        <v>0</v>
      </c>
      <c r="AP211" s="506">
        <f>i_P_CB</f>
        <v>2E-3</v>
      </c>
      <c r="AQ211" s="506">
        <f>0</f>
        <v>0</v>
      </c>
      <c r="AR211" s="506">
        <f>0</f>
        <v>0</v>
      </c>
      <c r="AS211" s="506">
        <f>0</f>
        <v>0</v>
      </c>
      <c r="AT211" s="506">
        <f>0</f>
        <v>0</v>
      </c>
      <c r="AU211" s="506">
        <f>0</f>
        <v>0</v>
      </c>
      <c r="AV211" s="506">
        <f>0</f>
        <v>0</v>
      </c>
      <c r="AW211" s="506">
        <f>0</f>
        <v>0</v>
      </c>
      <c r="AX211" s="506">
        <f>0</f>
        <v>0</v>
      </c>
      <c r="AY211" s="506">
        <f>0</f>
        <v>0</v>
      </c>
      <c r="AZ211" s="506">
        <f>0</f>
        <v>0</v>
      </c>
      <c r="BA211" s="506">
        <f>0</f>
        <v>0</v>
      </c>
      <c r="BB211" s="506">
        <f>0</f>
        <v>0</v>
      </c>
      <c r="BC211" s="506">
        <f>0</f>
        <v>0</v>
      </c>
      <c r="BD211" s="506">
        <f>0</f>
        <v>0</v>
      </c>
      <c r="BE211" s="506">
        <f>0</f>
        <v>0</v>
      </c>
      <c r="BF211" s="506">
        <f>0</f>
        <v>0</v>
      </c>
      <c r="BG211" s="506">
        <f>0</f>
        <v>0</v>
      </c>
      <c r="BH211" s="506">
        <f>0</f>
        <v>0</v>
      </c>
      <c r="BI211" s="506">
        <f>0</f>
        <v>0</v>
      </c>
      <c r="BJ211" s="506">
        <f>0</f>
        <v>0</v>
      </c>
      <c r="BK211" s="506">
        <f>0</f>
        <v>0</v>
      </c>
      <c r="BL211" s="506">
        <f>0</f>
        <v>0</v>
      </c>
      <c r="BM211" s="506">
        <f>0</f>
        <v>0</v>
      </c>
      <c r="BN211" s="506">
        <f>0</f>
        <v>0</v>
      </c>
      <c r="BO211" s="506">
        <f>0</f>
        <v>0</v>
      </c>
      <c r="BP211" s="506">
        <f>0</f>
        <v>0</v>
      </c>
      <c r="BQ211" s="506">
        <f>0</f>
        <v>0</v>
      </c>
      <c r="BR211" s="506">
        <f>0</f>
        <v>0</v>
      </c>
      <c r="BS211" s="506">
        <f>0</f>
        <v>0</v>
      </c>
      <c r="BT211" s="506">
        <f>0</f>
        <v>0</v>
      </c>
      <c r="BU211" s="506">
        <f>0</f>
        <v>0</v>
      </c>
      <c r="BV211" s="506">
        <f>0</f>
        <v>0</v>
      </c>
      <c r="BW211" s="2367">
        <f>0</f>
        <v>0</v>
      </c>
      <c r="BX211" s="2367">
        <f>0</f>
        <v>0</v>
      </c>
      <c r="BY211" s="2367">
        <f>0</f>
        <v>0</v>
      </c>
      <c r="BZ211" s="2367">
        <f>0</f>
        <v>0</v>
      </c>
      <c r="CA211" s="506">
        <f>0</f>
        <v>0</v>
      </c>
      <c r="CB211" s="506">
        <f>0</f>
        <v>0</v>
      </c>
      <c r="CC211" s="506">
        <f>0</f>
        <v>0</v>
      </c>
      <c r="CD211" s="506">
        <f>0</f>
        <v>0</v>
      </c>
      <c r="CE211" s="506">
        <f>0</f>
        <v>0</v>
      </c>
      <c r="CF211" s="506">
        <f>0</f>
        <v>0</v>
      </c>
      <c r="CG211" s="506">
        <f>0</f>
        <v>0</v>
      </c>
      <c r="CH211" s="506">
        <f>0</f>
        <v>0</v>
      </c>
      <c r="CI211" s="506">
        <f>0</f>
        <v>0</v>
      </c>
      <c r="CJ211" s="506">
        <f>0</f>
        <v>0</v>
      </c>
      <c r="CK211" s="506">
        <f>0</f>
        <v>0</v>
      </c>
      <c r="CL211" s="506">
        <f>0</f>
        <v>0</v>
      </c>
      <c r="CM211" s="506">
        <f>0</f>
        <v>0</v>
      </c>
      <c r="CN211" s="506">
        <f>0</f>
        <v>0</v>
      </c>
      <c r="CO211" s="506">
        <f>0</f>
        <v>0</v>
      </c>
      <c r="CP211" s="506">
        <f>0</f>
        <v>0</v>
      </c>
      <c r="CQ211" s="506">
        <f>0</f>
        <v>0</v>
      </c>
      <c r="CR211" s="506">
        <f>0</f>
        <v>0</v>
      </c>
      <c r="CS211" s="506">
        <f>0</f>
        <v>0</v>
      </c>
      <c r="CT211" s="2491">
        <f>r_ateFLOC_CB_polymer</f>
        <v>0</v>
      </c>
      <c r="CV211" s="2502">
        <f>E266*E211+F266*F211+G266*G211+H266*H211+I266*I211+J266*J211+K266*K211+L266*L211+M266*M211+N266*N211+O266*O211+P266*P211+Q266*Q211+R266*R211+S266*S211+T266*T211+U266*U211+V266*V211+W266*W211+X266*X211+Y266*Y211+Z266*Z211+AA266*AA211+AB266*AB211+AC266*AC211+AD266*AD211+AE266*AE211+AF266*AF211+AG266*AG211+AH266*AH211+AI266*AI211+AJ266*AJ211+AK266*AK211+AL266*AL211+AM266*AM211+AN266*AN211+AO266*AO211+AP266*AP211+AQ266*AQ211+AR266*AR211+AS266*AS211+AT266*AT211+AU266*AU211+AV266*AV211+AW266*AW211+AX266*AX211+AY266*AY211+AZ266*AZ211+BA266*BA211+BB266*BB211+BC266*BC211+BD266*BD211+BE266*BE211+BF266*BF211+BG266*BG211+BH266*BH211+BI266*BI211+BJ266*BJ211+BK266*BK211+BL266*BL211+BM266*BM211+BN266*BN211+BO266*BO211+BP266*BP211+BQ266*BQ211+BR266*BR211+BS266*BS211+BT266*BT211+BU266*BU211+BV266*BV211+BW266*BW211+BX266*BX211+BY266*BY211+BZ266*BZ211+CA266*CA211+CB266*CB211+CC266*CC211+CD266*CD211+CE266*CE211+CF266*CF211+CG266*CG211+CH266*CH211+CI266*CI211+CJ266*CJ211+CK266*CK211+CL266*CL211+CM266*CM211+CN266*CN211+CO266*CO211+CP266*CP211+CQ266*CQ211+CR266*CR211+CS266*CS211</f>
        <v>0</v>
      </c>
      <c r="CW211" s="2502">
        <f>E267*E211+F267*F211+G267*G211+H267*H211+I267*I211+J267*J211+K267*K211+L267*L211+M267*M211+N267*N211+O267*O211+P267*P211+Q267*Q211+R267*R211+S267*S211+T267*T211+U267*U211+V267*V211+W267*W211+X267*X211+Y267*Y211+Z267*Z211+AA267*AA211+AB267*AB211+AC267*AC211+AD267*AD211+AE267*AE211+AF267*AF211+AG267*AG211+AH267*AH211+AI267*AI211+AJ267*AJ211+AK267*AK211+AL267*AL211+AM267*AM211+AN267*AN211+AO267*AO211+AP267*AP211+AQ267*AQ211+AR267*AR211+AS267*AS211+AT267*AT211+AU267*AU211+AV267*AV211+AW267*AW211+AX267*AX211+AY267*AY211+AZ267*AZ211+BA267*BA211+BB267*BB211+BC267*BC211+BD267*BD211+BE267*BE211+BF267*BF211+BG267*BG211+BH267*BH211+BI267*BI211+BJ267*BJ211+BK267*BK211+BL267*BL211+BM267*BM211+BN267*BN211+BO267*BO211+BP267*BP211+BQ267*BQ211+BR267*BR211+BS267*BS211+BT267*BT211+BU267*BU211+BV267*BV211+BW267*BW211+BX267*BX211+BY267*BY211+BZ267*BZ211+CA267*CA211+CB267*CB211+CC267*CC211+CD267*CD211+CE267*CE211+CF267*CF211+CG267*CG211+CH267*CH211+CI267*CI211+CJ267*CJ211+CK267*CK211+CL267*CL211+CM267*CM211+CN267*CN211+CO267*CO211+CP267*CP211+CQ267*CQ211+CR267*CR211+CS267*CS211</f>
        <v>0</v>
      </c>
      <c r="CX211" s="2503">
        <f>E268*E211+F268*F211+G268*G211+H268*H211+I268*I211+J268*J211+K268*K211+L268*L211+M268*M211+N268*N211+O268*O211+P268*P211+Q268*Q211+R268*R211+S268*S211+T268*T211+U268*U211+V268*V211+W268*W211+X268*X211+Y268*Y211+Z268*Z211+AA268*AA211+AB268*AB211+AC268*AC211+AD268*AD211+AE268*AE211+AF268*AF211+AG268*AG211+AH268*AH211+AI268*AI211+AJ268*AJ211+AK268*AK211+AL268*AL211+AM268*AM211+AN268*AN211+AO268*AO211+AP268*AP211+AQ268*AQ211+AR268*AR211+AS268*AS211+AT268*AT211+AU268*AU211+AV268*AV211+AW268*AW211+AX268*AX211+AY268*AY211+AZ268*AZ211+BA268*BA211+BB268*BB211+BC268*BC211+BD268*BD211+BE268*BE211+BF268*BF211+BG268*BG211+BH268*BH211+BI268*BI211+BJ268*BJ211+BK268*BK211+BL268*BL211+BM268*BM211+BN268*BN211+BO268*BO211+BP268*BP211+BQ268*BQ211+BR268*BR211+BS268*BS211+BT268*BT211+BU268*BU211+BV268*BV211+BW268*BW211+BX268*BX211+BY268*BY211+BZ268*BZ211+CA268*CA211+CB268*CB211+CC268*CC211+CD268*CD211+CE268*CE211+CF268*CF211+CG268*CG211+CH268*CH211+CI268*CI211+CJ268*CJ211+CK268*CK211+CL268*CL211+CM268*CM211+CN268*CN211+CO268*CO211+CP268*CP211+CQ268*CQ211+CR268*CR211+CS268*CS211</f>
        <v>0</v>
      </c>
      <c r="CY211" s="2504">
        <f>E269*E211+F269*F211+G269*G211+H269*H211+I269*I211+J269*J211+K269*K211+L269*L211+M269*M211+N269*N211+O269*O211+P269*P211+Q269*Q211+R269*R211+S269*S211+T269*T211+U269*U211+V269*V211+W269*W211+X269*X211+Y269*Y211+Z269*Z211+AA269*AA211+AB269*AB211+AC269*AC211+AD269*AD211+AE269*AE211+AF269*AF211+AG269*AG211+AH269*AH211+AI269*AI211+AJ269*AJ211+AK269*AK211+AL269*AL211+AM269*AM211+AN269*AN211+AO269*AO211+AP269*AP211+AQ269*AQ211+AR269*AR211+AS269*AS211+AT269*AT211+AU269*AU211+AV269*AV211+AW269*AW211+AX269*AX211+AY269*AY211+AZ269*AZ211+BA269*BA211+BB269*BB211+BC269*BC211+BD269*BD211+BE269*BE211+BF269*BF211+BG269*BG211+BH269*BH211+BI269*BI211+BJ269*BJ211+BK269*BK211+BL269*BL211+BM269*BM211+BN269*BN211+BO269*BO211+BP269*BP211+BQ269*BQ211+BR269*BR211+BS269*BS211+BT269*BT211+BU269*BU211+BV269*BV211+BW269*BW211+BX269*BX211+BY269*BY211+BZ269*BZ211+CA269*CA211+CB269*CB211+CC269*CC211+CD269*CD211+CE269*CE211+CF269*CF211+CG269*CG211+CH269*CH211+CI269*CI211+CJ269*CJ211+CK269*CK211+CL269*CL211+CM269*CM211+CN269*CN211+CO269*CO211+CP269*CP211+CQ269*CQ211+CR269*CR211+CS269*CS211</f>
        <v>0</v>
      </c>
      <c r="CZ211" s="2504">
        <f>E270*E211+F270*F211+G270*G211+H270*H211+I270*I211+J270*J211+K270*K211+L270*L211+M270*M211+N270*N211+O270*O211+P270*P211+Q270*Q211+R270*R211+S270*S211+T270*T211+U270*U211+V270*V211+W270*W211+X270*X211+Y270*Y211+Z270*Z211+AA270*AA211+AB270*AB211+AC270*AC211+AD270*AD211+AE270*AE211+AF270*AF211+AG270*AG211+AH270*AH211+AI270*AI211+AJ270*AJ211+AK270*AK211+AL270*AL211+AM270*AM211+AN270*AN211+AO270*AO211+AP270*AP211+AQ270*AQ211+AR270*AR211+AS270*AS211+AT270*AT211+AU270*AU211+AV270*AV211+AW270*AW211+AX270*AX211+AY270*AY211+AZ270*AZ211+BA270*BA211+BB270*BB211+BC270*BC211+BD270*BD211+BE270*BE211+BF270*BF211+BG270*BG211+BH270*BH211+BI270*BI211+BJ270*BJ211+BK270*BK211+BL270*BL211+BM270*BM211+BN270*BN211+BO270*BO211+BP270*BP211+BQ270*BQ211+BR270*BR211+BS270*BS211+BT270*BT211+BU270*BU211+BV270*BV211+BW270*BW211+BX270*BX211+BY270*BY211+BZ270*BZ211+CA270*CA211+CB270*CB211+CC270*CC211+CD270*CD211+CE270*CE211+CF270*CF211+CG270*CG211+CH270*CH211+CI270*CI211+CJ270*CJ211+CK270*CK211+CL270*CL211+CM270*CM211+CN270*CN211+CO270*CO211+CP270*CP211+CQ270*CQ211+CR270*CR211+CS270*CS211</f>
        <v>0</v>
      </c>
      <c r="DA211" s="2504">
        <f>E271*E211+F271*F211+G271*G211+H271*H211+I271*I211+J271*J211+K271*K211+L271*L211+M271*M211+N271*N211+O271*O211+P271*P211+Q271*Q211+R271*R211+S271*S211+T271*T211+U271*U211+V271*V211+W271*W211+X271*X211+Y271*Y211+Z271*Z211+AA271*AA211+AB271*AB211+AC271*AC211+AD271*AD211+AE271*AE211+AF271*AF211+AG271*AG211+AH271*AH211+AI271*AI211+AJ271*AJ211+AK271*AK211+AL271*AL211+AM271*AM211+AN271*AN211+AO271*AO211+AP271*AP211+AQ271*AQ211+AR271*AR211+AS271*AS211+AT271*AT211+AU271*AU211+AV271*AV211+AW271*AW211+AX271*AX211+AY271*AY211+AZ271*AZ211+BA271*BA211+BB271*BB211+BC271*BC211+BD271*BD211+BE271*BE211+BF271*BF211+BG271*BG211+BH271*BH211+BI271*BI211+BJ271*BJ211+BK271*BK211+BL271*BL211+BM271*BM211+BN271*BN211+BO271*BO211+BP271*BP211+BQ271*BQ211+BR271*BR211+BS271*BS211+BT271*BT211+BU271*BU211+BV271*BV211+BW271*BW211+BX271*BX211+BY271*BY211+BZ271*BZ211+CA271*CA211+CB271*CB211+CC271*CC211+CD271*CD211+CE271*CE211+CF271*CF211+CG271*CG211+CH271*CH211+CI271*CI211+CJ271*CJ211+CK271*CK211+CL271*CL211+CM271*CM211+CN271*CN211+CO271*CO211+CP271*CP211+CQ271*CQ211+CR271*CR211+CS271*CS211</f>
        <v>0</v>
      </c>
      <c r="DB211" s="2504">
        <f>E272*E211+F272*F211+G272*G211+H272*H211+I272*I211+J272*J211+K272*K211+L272*L211+M272*M211+N272*N211+O272*O211+P272*P211+Q272*Q211+R272*R211+S272*S211+T272*T211+U272*U211+V272*V211+W272*W211+X272*X211+Y272*Y211+Z272*Z211+AA272*AA211+AB272*AB211+AC272*AC211+AD272*AD211+AE272*AE211+AF272*AF211+AG272*AG211+AH272*AH211+AI272*AI211+AJ272*AJ211+AK272*AK211+AL272*AL211+AM272*AM211+AN272*AN211+AO272*AO211+AP272*AP211+AQ272*AQ211+AR272*AR211+AS272*AS211+AT272*AT211+AU272*AU211+AV272*AV211+AW272*AW211+AX272*AX211+AY272*AY211+AZ272*AZ211+BA272*BA211+BB272*BB211+BC272*BC211+BD272*BD211+BE272*BE211+BF272*BF211+BG272*BG211+BH272*BH211+BI272*BI211+BJ272*BJ211+BK272*BK211+BL272*BL211+BM272*BM211+BN272*BN211+BO272*BO211+BP272*BP211+BQ272*BQ211+BR272*BR211+BS272*BS211+BT272*BT211+BU272*BU211+BV272*BV211+BW272*BW211+BX272*BX211+BY272*BY211+BZ272*BZ211+CA272*CA211+CB272*CB211+CC272*CC211+CD272*CD211+CE272*CE211+CF272*CF211+CG272*CG211+CH272*CH211+CI272*CI211+CJ272*CJ211+CK272*CK211+CL272*CL211+CM272*CM211+CN272*CN211+CO272*CO211+CP272*CP211+CQ272*CQ211+CR272*CR211+CS272*CS211</f>
        <v>0</v>
      </c>
      <c r="DC211" s="2504">
        <f>E273*E211+F273*F211+G273*G211+H273*H211+I273*I211+J273*J211+K273*K211+L273*L211+M273*M211+N273*N211+O273*O211+P273*P211+Q273*Q211+R273*R211+S273*S211+T273*T211+U273*U211+V273*V211+W273*W211+X273*X211+Y273*Y211+Z273*Z211+AA273*AA211+AB273*AB211+AC273*AC211+AD273*AD211+AE273*AE211+AF273*AF211+AG273*AG211+AH273*AH211+AI273*AI211+AJ273*AJ211+AK273*AK211+AL273*AL211+AM273*AM211+AN273*AN211+AO273*AO211+AP273*AP211+AQ273*AQ211+AR273*AR211+AS273*AS211+AT273*AT211+AU273*AU211+AV273*AV211+AW273*AW211+AX273*AX211+AY273*AY211+AZ273*AZ211+BA273*BA211+BB273*BB211+BC273*BC211+BD273*BD211+BE273*BE211+BF273*BF211+BG273*BG211+BH273*BH211+BI273*BI211+BJ273*BJ211+BK273*BK211+BL273*BL211+BM273*BM211+BN273*BN211+BO273*BO211+BP273*BP211+BQ273*BQ211+BR273*BR211+BS273*BS211+BT273*BT211+BU273*BU211+BV273*BV211+BW273*BW211+BX273*BX211+BY273*BY211+BZ273*BZ211+CA273*CA211+CB273*CB211+CC273*CC211+CD273*CD211+CE273*CE211+CF273*CF211+CG273*CG211+CH273*CH211+CI273*CI211+CJ273*CJ211+CK273*CK211+CL273*CL211+CM273*CM211+CN273*CN211+CO273*CO211+CP273*CP211+CQ273*CQ211+CR273*CR211+CS273*CS211</f>
        <v>0</v>
      </c>
      <c r="DD211" s="2504">
        <f>E274*E211+F274*F211+G274*G211+H274*H211+I274*I211+J274*J211+K274*K211+L274*L211+M274*M211+N274*N211+O274*O211+P274*P211+Q274*Q211+R274*R211+S274*S211+T274*T211+U274*U211+V274*V211+W274*W211+X274*X211+Y274*Y211+Z274*Z211+AA274*AA211+AB274*AB211+AC274*AC211+AD274*AD211+AE274*AE211+AF274*AF211+AG274*AG211+AH274*AH211+AI274*AI211+AJ274*AJ211+AK274*AK211+AL274*AL211+AM274*AM211+AN274*AN211+AO274*AO211+AP274*AP211+AQ274*AQ211+AR274*AR211+AS274*AS211+AT274*AT211+AU274*AU211+AV274*AV211+AW274*AW211+AX274*AX211+AY274*AY211+AZ274*AZ211+BA274*BA211+BB274*BB211+BC274*BC211+BD274*BD211+BE274*BE211+BF274*BF211+BG274*BG211+BH274*BH211+BI274*BI211+BJ274*BJ211+BK274*BK211+BL274*BL211+BM274*BM211+BN274*BN211+BO274*BO211+BP274*BP211+BQ274*BQ211+BR274*BR211+BS274*BS211+BT274*BT211+BU274*BU211+BV274*BV211+BW274*BW211+BX274*BX211+BY274*BY211+BZ274*BZ211+CA274*CA211+CB274*CB211+CC274*CC211+CD274*CD211+CE274*CE211+CF274*CF211+CG274*CG211+CH274*CH211+CI274*CI211+CJ274*CJ211+CK274*CK211+CL274*CL211+CM274*CM211+CN274*CN211+CO274*CO211+CP274*CP211+CQ274*CQ211+CR274*CR211+CS274*CS211</f>
        <v>0</v>
      </c>
      <c r="DE211" s="2504">
        <f>E275*E211+F275*F211+G275*G211+H275*H211+I275*I211+J275*J211+K275*K211+L275*L211+M275*M211+N275*N211+O275*O211+P275*P211+Q275*Q211+R275*R211+S275*S211+T275*T211+U275*U211+V275*V211+W275*W211+X275*X211+Y275*Y211+Z275*Z211+AA275*AA211+AB275*AB211+AC275*AC211+AD275*AD211+AE275*AE211+AF275*AF211+AG275*AG211+AH275*AH211+AI275*AI211+AJ275*AJ211+AK275*AK211+AL275*AL211+AM275*AM211+AN275*AN211+AO275*AO211+AP275*AP211+AQ275*AQ211+AR275*AR211+AS275*AS211+AT275*AT211+AU275*AU211+AV275*AV211+AW275*AW211+AX275*AX211+AY275*AY211+AZ275*AZ211+BA275*BA211+BB275*BB211+BC275*BC211+BD275*BD211+BE275*BE211+BF275*BF211+BG275*BG211+BH275*BH211+BI275*BI211+BJ275*BJ211+BK275*BK211+BL275*BL211+BM275*BM211+BN275*BN211+BO275*BO211+BP275*BP211+BQ275*BQ211+BR275*BR211+BS275*BS211+BT275*BT211+BU275*BU211+BV275*BV211+BW275*BW211+BX275*BX211+BY275*BY211+BZ275*BZ211+CA275*CA211+CB275*CB211+CC275*CC211+CD275*CD211+CE275*CE211+CF275*CF211+CG275*CG211+CH275*CH211+CI275*CI211+CJ275*CJ211+CK275*CK211+CL275*CL211+CM275*CM211+CN275*CN211+CO275*CO211+CP275*CP211+CQ275*CQ211+CR275*CR211+CS275*CS211</f>
        <v>0</v>
      </c>
      <c r="DF211" s="2504">
        <f>E276*E211+F276*F211+G276*G211+H276*H211+I276*I211+J276*J211+K276*K211+L276*L211+M276*M211+N276*N211+O276*O211+P276*P211+Q276*Q211+R276*R211+S276*S211+T276*T211+U276*U211+V276*V211+W276*W211+X276*X211+Y276*Y211+Z276*Z211+AA276*AA211+AB276*AB211+AC276*AC211+AD276*AD211+AE276*AE211+AF276*AF211+AG276*AG211+AH276*AH211+AI276*AI211+AJ276*AJ211+AK276*AK211+AL276*AL211+AM276*AM211+AN276*AN211+AO276*AO211+AP276*AP211+AQ276*AQ211+AR276*AR211+AS276*AS211+AT276*AT211+AU276*AU211+AV276*AV211+AW276*AW211+AX276*AX211+AY276*AY211+AZ276*AZ211+BA276*BA211+BB276*BB211+BC276*BC211+BD276*BD211+BE276*BE211+BF276*BF211+BG276*BG211+BH276*BH211+BI276*BI211+BJ276*BJ211+BK276*BK211+BL276*BL211+BM276*BM211+BN276*BN211+BO276*BO211+BP276*BP211+BQ276*BQ211+BR276*BR211+BS276*BS211+BT276*BT211+BU276*BU211+BV276*BV211+BW276*BW211+BX276*BX211+BY276*BY211+BZ276*BZ211+CA276*CA211+CB276*CB211+CC276*CC211+CD276*CD211+CE276*CE211+CF276*CF211+CG276*CG211+CH276*CH211+CI276*CI211+CJ276*CJ211+CK276*CK211+CL276*CL211+CM276*CM211+CN276*CN211+CO276*CO211+CP276*CP211+CQ276*CQ211+CR276*CR211+CS276*CS211</f>
        <v>0</v>
      </c>
    </row>
    <row r="212" spans="2:110" x14ac:dyDescent="0.25">
      <c r="B212" s="1583">
        <v>70</v>
      </c>
      <c r="C212" s="551" t="s">
        <v>2393</v>
      </c>
      <c r="D212" s="552" t="s">
        <v>3302</v>
      </c>
      <c r="E212" s="506">
        <f>0</f>
        <v>0</v>
      </c>
      <c r="F212" s="506">
        <f>0</f>
        <v>0</v>
      </c>
      <c r="G212" s="506">
        <f>0</f>
        <v>0</v>
      </c>
      <c r="H212" s="506">
        <f>0</f>
        <v>0</v>
      </c>
      <c r="I212" s="506">
        <f>0</f>
        <v>0</v>
      </c>
      <c r="J212" s="506">
        <f>0</f>
        <v>0</v>
      </c>
      <c r="K212" s="506">
        <f>0</f>
        <v>0</v>
      </c>
      <c r="L212" s="506">
        <f>-1</f>
        <v>-1</v>
      </c>
      <c r="M212" s="506">
        <f>1</f>
        <v>1</v>
      </c>
      <c r="N212" s="506">
        <f>0</f>
        <v>0</v>
      </c>
      <c r="O212" s="506">
        <f>0</f>
        <v>0</v>
      </c>
      <c r="P212" s="506">
        <f>0</f>
        <v>0</v>
      </c>
      <c r="Q212" s="506">
        <f>0</f>
        <v>0</v>
      </c>
      <c r="R212" s="506">
        <f>0</f>
        <v>0</v>
      </c>
      <c r="S212" s="506">
        <f>0</f>
        <v>0</v>
      </c>
      <c r="T212" s="506">
        <f>0</f>
        <v>0</v>
      </c>
      <c r="U212" s="506">
        <f>0</f>
        <v>0</v>
      </c>
      <c r="V212" s="506">
        <f>0</f>
        <v>0</v>
      </c>
      <c r="W212" s="506">
        <f>0</f>
        <v>0</v>
      </c>
      <c r="X212" s="506">
        <f>0</f>
        <v>0</v>
      </c>
      <c r="Y212" s="506">
        <f>0</f>
        <v>0</v>
      </c>
      <c r="Z212" s="506">
        <f>0</f>
        <v>0</v>
      </c>
      <c r="AA212" s="506">
        <f>0</f>
        <v>0</v>
      </c>
      <c r="AB212" s="506">
        <f>0</f>
        <v>0</v>
      </c>
      <c r="AC212" s="506">
        <f>0</f>
        <v>0</v>
      </c>
      <c r="AD212" s="506">
        <f>0</f>
        <v>0</v>
      </c>
      <c r="AE212" s="506">
        <f>0</f>
        <v>0</v>
      </c>
      <c r="AF212" s="506">
        <f>0</f>
        <v>0</v>
      </c>
      <c r="AG212" s="506">
        <f>0</f>
        <v>0</v>
      </c>
      <c r="AH212" s="506">
        <f>0</f>
        <v>0</v>
      </c>
      <c r="AI212" s="506">
        <f>0</f>
        <v>0</v>
      </c>
      <c r="AJ212" s="506">
        <f>0</f>
        <v>0</v>
      </c>
      <c r="AK212" s="506">
        <f>0</f>
        <v>0</v>
      </c>
      <c r="AL212" s="506">
        <f>i_N_CU</f>
        <v>0.01</v>
      </c>
      <c r="AM212" s="506">
        <f>0</f>
        <v>0</v>
      </c>
      <c r="AN212" s="506">
        <f>0</f>
        <v>0</v>
      </c>
      <c r="AO212" s="506">
        <f>0</f>
        <v>0</v>
      </c>
      <c r="AP212" s="506">
        <f>0</f>
        <v>0</v>
      </c>
      <c r="AQ212" s="506">
        <f>0</f>
        <v>0</v>
      </c>
      <c r="AR212" s="506">
        <f>i_P_CU</f>
        <v>2E-3</v>
      </c>
      <c r="AS212" s="506">
        <f>0</f>
        <v>0</v>
      </c>
      <c r="AT212" s="506">
        <f>0</f>
        <v>0</v>
      </c>
      <c r="AU212" s="506">
        <f>0</f>
        <v>0</v>
      </c>
      <c r="AV212" s="506">
        <f>0</f>
        <v>0</v>
      </c>
      <c r="AW212" s="506">
        <f>0</f>
        <v>0</v>
      </c>
      <c r="AX212" s="506">
        <f>0</f>
        <v>0</v>
      </c>
      <c r="AY212" s="506">
        <f>0</f>
        <v>0</v>
      </c>
      <c r="AZ212" s="506">
        <f>0</f>
        <v>0</v>
      </c>
      <c r="BA212" s="506">
        <f>0</f>
        <v>0</v>
      </c>
      <c r="BB212" s="506">
        <f>0</f>
        <v>0</v>
      </c>
      <c r="BC212" s="506">
        <f>0</f>
        <v>0</v>
      </c>
      <c r="BD212" s="506">
        <f>0</f>
        <v>0</v>
      </c>
      <c r="BE212" s="506">
        <f>0</f>
        <v>0</v>
      </c>
      <c r="BF212" s="506">
        <f>0</f>
        <v>0</v>
      </c>
      <c r="BG212" s="506">
        <f>0</f>
        <v>0</v>
      </c>
      <c r="BH212" s="506">
        <f>0</f>
        <v>0</v>
      </c>
      <c r="BI212" s="506">
        <f>0</f>
        <v>0</v>
      </c>
      <c r="BJ212" s="506">
        <f>0</f>
        <v>0</v>
      </c>
      <c r="BK212" s="506">
        <f>0</f>
        <v>0</v>
      </c>
      <c r="BL212" s="506">
        <f>0</f>
        <v>0</v>
      </c>
      <c r="BM212" s="506">
        <f>0</f>
        <v>0</v>
      </c>
      <c r="BN212" s="506">
        <f>0</f>
        <v>0</v>
      </c>
      <c r="BO212" s="506">
        <f>0</f>
        <v>0</v>
      </c>
      <c r="BP212" s="506">
        <f>0</f>
        <v>0</v>
      </c>
      <c r="BQ212" s="506">
        <f>0</f>
        <v>0</v>
      </c>
      <c r="BR212" s="506">
        <f>0</f>
        <v>0</v>
      </c>
      <c r="BS212" s="506">
        <f>0</f>
        <v>0</v>
      </c>
      <c r="BT212" s="506">
        <f>0</f>
        <v>0</v>
      </c>
      <c r="BU212" s="506">
        <f>0</f>
        <v>0</v>
      </c>
      <c r="BV212" s="506">
        <f>0</f>
        <v>0</v>
      </c>
      <c r="BW212" s="2367">
        <f>0</f>
        <v>0</v>
      </c>
      <c r="BX212" s="2367">
        <f>0</f>
        <v>0</v>
      </c>
      <c r="BY212" s="2367">
        <f>0</f>
        <v>0</v>
      </c>
      <c r="BZ212" s="2367">
        <f>0</f>
        <v>0</v>
      </c>
      <c r="CA212" s="506">
        <f>0</f>
        <v>0</v>
      </c>
      <c r="CB212" s="506">
        <f>0</f>
        <v>0</v>
      </c>
      <c r="CC212" s="506">
        <f>0</f>
        <v>0</v>
      </c>
      <c r="CD212" s="506">
        <f>0</f>
        <v>0</v>
      </c>
      <c r="CE212" s="506">
        <f>0</f>
        <v>0</v>
      </c>
      <c r="CF212" s="506">
        <f>0</f>
        <v>0</v>
      </c>
      <c r="CG212" s="506">
        <f>0</f>
        <v>0</v>
      </c>
      <c r="CH212" s="506">
        <f>0</f>
        <v>0</v>
      </c>
      <c r="CI212" s="506">
        <f>0</f>
        <v>0</v>
      </c>
      <c r="CJ212" s="506">
        <f>0</f>
        <v>0</v>
      </c>
      <c r="CK212" s="506">
        <f>0</f>
        <v>0</v>
      </c>
      <c r="CL212" s="506">
        <f>0</f>
        <v>0</v>
      </c>
      <c r="CM212" s="506">
        <f>0</f>
        <v>0</v>
      </c>
      <c r="CN212" s="506">
        <f>0</f>
        <v>0</v>
      </c>
      <c r="CO212" s="506">
        <f>0</f>
        <v>0</v>
      </c>
      <c r="CP212" s="506">
        <f>0</f>
        <v>0</v>
      </c>
      <c r="CQ212" s="506">
        <f>0</f>
        <v>0</v>
      </c>
      <c r="CR212" s="506">
        <f>0</f>
        <v>0</v>
      </c>
      <c r="CS212" s="506">
        <f>0</f>
        <v>0</v>
      </c>
      <c r="CT212" s="2491">
        <f>r_ateFLOC_CU_polymer</f>
        <v>0</v>
      </c>
      <c r="CV212" s="2502">
        <f>E266*E212+F266*F212+G266*G212+H266*H212+I266*I212+J266*J212+K266*K212+L266*L212+M266*M212+N266*N212+O266*O212+P266*P212+Q266*Q212+R266*R212+S266*S212+T266*T212+U266*U212+V266*V212+W266*W212+X266*X212+Y266*Y212+Z266*Z212+AA266*AA212+AB266*AB212+AC266*AC212+AD266*AD212+AE266*AE212+AF266*AF212+AG266*AG212+AH266*AH212+AI266*AI212+AJ266*AJ212+AK266*AK212+AL266*AL212+AM266*AM212+AN266*AN212+AO266*AO212+AP266*AP212+AQ266*AQ212+AR266*AR212+AS266*AS212+AT266*AT212+AU266*AU212+AV266*AV212+AW266*AW212+AX266*AX212+AY266*AY212+AZ266*AZ212+BA266*BA212+BB266*BB212+BC266*BC212+BD266*BD212+BE266*BE212+BF266*BF212+BG266*BG212+BH266*BH212+BI266*BI212+BJ266*BJ212+BK266*BK212+BL266*BL212+BM266*BM212+BN266*BN212+BO266*BO212+BP266*BP212+BQ266*BQ212+BR266*BR212+BS266*BS212+BT266*BT212+BU266*BU212+BV266*BV212+BW266*BW212+BX266*BX212+BY266*BY212+BZ266*BZ212+CA266*CA212+CB266*CB212+CC266*CC212+CD266*CD212+CE266*CE212+CF266*CF212+CG266*CG212+CH266*CH212+CI266*CI212+CJ266*CJ212+CK266*CK212+CL266*CL212+CM266*CM212+CN266*CN212+CO266*CO212+CP266*CP212+CQ266*CQ212+CR266*CR212+CS266*CS212</f>
        <v>0</v>
      </c>
      <c r="CW212" s="2502">
        <f>E267*E212+F267*F212+G267*G212+H267*H212+I267*I212+J267*J212+K267*K212+L267*L212+M267*M212+N267*N212+O267*O212+P267*P212+Q267*Q212+R267*R212+S267*S212+T267*T212+U267*U212+V267*V212+W267*W212+X267*X212+Y267*Y212+Z267*Z212+AA267*AA212+AB267*AB212+AC267*AC212+AD267*AD212+AE267*AE212+AF267*AF212+AG267*AG212+AH267*AH212+AI267*AI212+AJ267*AJ212+AK267*AK212+AL267*AL212+AM267*AM212+AN267*AN212+AO267*AO212+AP267*AP212+AQ267*AQ212+AR267*AR212+AS267*AS212+AT267*AT212+AU267*AU212+AV267*AV212+AW267*AW212+AX267*AX212+AY267*AY212+AZ267*AZ212+BA267*BA212+BB267*BB212+BC267*BC212+BD267*BD212+BE267*BE212+BF267*BF212+BG267*BG212+BH267*BH212+BI267*BI212+BJ267*BJ212+BK267*BK212+BL267*BL212+BM267*BM212+BN267*BN212+BO267*BO212+BP267*BP212+BQ267*BQ212+BR267*BR212+BS267*BS212+BT267*BT212+BU267*BU212+BV267*BV212+BW267*BW212+BX267*BX212+BY267*BY212+BZ267*BZ212+CA267*CA212+CB267*CB212+CC267*CC212+CD267*CD212+CE267*CE212+CF267*CF212+CG267*CG212+CH267*CH212+CI267*CI212+CJ267*CJ212+CK267*CK212+CL267*CL212+CM267*CM212+CN267*CN212+CO267*CO212+CP267*CP212+CQ267*CQ212+CR267*CR212+CS267*CS212</f>
        <v>0</v>
      </c>
      <c r="CX212" s="2503">
        <f>E268*E212+F268*F212+G268*G212+H268*H212+I268*I212+J268*J212+K268*K212+L268*L212+M268*M212+N268*N212+O268*O212+P268*P212+Q268*Q212+R268*R212+S268*S212+T268*T212+U268*U212+V268*V212+W268*W212+X268*X212+Y268*Y212+Z268*Z212+AA268*AA212+AB268*AB212+AC268*AC212+AD268*AD212+AE268*AE212+AF268*AF212+AG268*AG212+AH268*AH212+AI268*AI212+AJ268*AJ212+AK268*AK212+AL268*AL212+AM268*AM212+AN268*AN212+AO268*AO212+AP268*AP212+AQ268*AQ212+AR268*AR212+AS268*AS212+AT268*AT212+AU268*AU212+AV268*AV212+AW268*AW212+AX268*AX212+AY268*AY212+AZ268*AZ212+BA268*BA212+BB268*BB212+BC268*BC212+BD268*BD212+BE268*BE212+BF268*BF212+BG268*BG212+BH268*BH212+BI268*BI212+BJ268*BJ212+BK268*BK212+BL268*BL212+BM268*BM212+BN268*BN212+BO268*BO212+BP268*BP212+BQ268*BQ212+BR268*BR212+BS268*BS212+BT268*BT212+BU268*BU212+BV268*BV212+BW268*BW212+BX268*BX212+BY268*BY212+BZ268*BZ212+CA268*CA212+CB268*CB212+CC268*CC212+CD268*CD212+CE268*CE212+CF268*CF212+CG268*CG212+CH268*CH212+CI268*CI212+CJ268*CJ212+CK268*CK212+CL268*CL212+CM268*CM212+CN268*CN212+CO268*CO212+CP268*CP212+CQ268*CQ212+CR268*CR212+CS268*CS212</f>
        <v>0</v>
      </c>
      <c r="CY212" s="2504">
        <f>E269*E212+F269*F212+G269*G212+H269*H212+I269*I212+J269*J212+K269*K212+L269*L212+M269*M212+N269*N212+O269*O212+P269*P212+Q269*Q212+R269*R212+S269*S212+T269*T212+U269*U212+V269*V212+W269*W212+X269*X212+Y269*Y212+Z269*Z212+AA269*AA212+AB269*AB212+AC269*AC212+AD269*AD212+AE269*AE212+AF269*AF212+AG269*AG212+AH269*AH212+AI269*AI212+AJ269*AJ212+AK269*AK212+AL269*AL212+AM269*AM212+AN269*AN212+AO269*AO212+AP269*AP212+AQ269*AQ212+AR269*AR212+AS269*AS212+AT269*AT212+AU269*AU212+AV269*AV212+AW269*AW212+AX269*AX212+AY269*AY212+AZ269*AZ212+BA269*BA212+BB269*BB212+BC269*BC212+BD269*BD212+BE269*BE212+BF269*BF212+BG269*BG212+BH269*BH212+BI269*BI212+BJ269*BJ212+BK269*BK212+BL269*BL212+BM269*BM212+BN269*BN212+BO269*BO212+BP269*BP212+BQ269*BQ212+BR269*BR212+BS269*BS212+BT269*BT212+BU269*BU212+BV269*BV212+BW269*BW212+BX269*BX212+BY269*BY212+BZ269*BZ212+CA269*CA212+CB269*CB212+CC269*CC212+CD269*CD212+CE269*CE212+CF269*CF212+CG269*CG212+CH269*CH212+CI269*CI212+CJ269*CJ212+CK269*CK212+CL269*CL212+CM269*CM212+CN269*CN212+CO269*CO212+CP269*CP212+CQ269*CQ212+CR269*CR212+CS269*CS212</f>
        <v>0</v>
      </c>
      <c r="CZ212" s="2504">
        <f>E270*E212+F270*F212+G270*G212+H270*H212+I270*I212+J270*J212+K270*K212+L270*L212+M270*M212+N270*N212+O270*O212+P270*P212+Q270*Q212+R270*R212+S270*S212+T270*T212+U270*U212+V270*V212+W270*W212+X270*X212+Y270*Y212+Z270*Z212+AA270*AA212+AB270*AB212+AC270*AC212+AD270*AD212+AE270*AE212+AF270*AF212+AG270*AG212+AH270*AH212+AI270*AI212+AJ270*AJ212+AK270*AK212+AL270*AL212+AM270*AM212+AN270*AN212+AO270*AO212+AP270*AP212+AQ270*AQ212+AR270*AR212+AS270*AS212+AT270*AT212+AU270*AU212+AV270*AV212+AW270*AW212+AX270*AX212+AY270*AY212+AZ270*AZ212+BA270*BA212+BB270*BB212+BC270*BC212+BD270*BD212+BE270*BE212+BF270*BF212+BG270*BG212+BH270*BH212+BI270*BI212+BJ270*BJ212+BK270*BK212+BL270*BL212+BM270*BM212+BN270*BN212+BO270*BO212+BP270*BP212+BQ270*BQ212+BR270*BR212+BS270*BS212+BT270*BT212+BU270*BU212+BV270*BV212+BW270*BW212+BX270*BX212+BY270*BY212+BZ270*BZ212+CA270*CA212+CB270*CB212+CC270*CC212+CD270*CD212+CE270*CE212+CF270*CF212+CG270*CG212+CH270*CH212+CI270*CI212+CJ270*CJ212+CK270*CK212+CL270*CL212+CM270*CM212+CN270*CN212+CO270*CO212+CP270*CP212+CQ270*CQ212+CR270*CR212+CS270*CS212</f>
        <v>0</v>
      </c>
      <c r="DA212" s="2504">
        <f>E271*E212+F271*F212+G271*G212+H271*H212+I271*I212+J271*J212+K271*K212+L271*L212+M271*M212+N271*N212+O271*O212+P271*P212+Q271*Q212+R271*R212+S271*S212+T271*T212+U271*U212+V271*V212+W271*W212+X271*X212+Y271*Y212+Z271*Z212+AA271*AA212+AB271*AB212+AC271*AC212+AD271*AD212+AE271*AE212+AF271*AF212+AG271*AG212+AH271*AH212+AI271*AI212+AJ271*AJ212+AK271*AK212+AL271*AL212+AM271*AM212+AN271*AN212+AO271*AO212+AP271*AP212+AQ271*AQ212+AR271*AR212+AS271*AS212+AT271*AT212+AU271*AU212+AV271*AV212+AW271*AW212+AX271*AX212+AY271*AY212+AZ271*AZ212+BA271*BA212+BB271*BB212+BC271*BC212+BD271*BD212+BE271*BE212+BF271*BF212+BG271*BG212+BH271*BH212+BI271*BI212+BJ271*BJ212+BK271*BK212+BL271*BL212+BM271*BM212+BN271*BN212+BO271*BO212+BP271*BP212+BQ271*BQ212+BR271*BR212+BS271*BS212+BT271*BT212+BU271*BU212+BV271*BV212+BW271*BW212+BX271*BX212+BY271*BY212+BZ271*BZ212+CA271*CA212+CB271*CB212+CC271*CC212+CD271*CD212+CE271*CE212+CF271*CF212+CG271*CG212+CH271*CH212+CI271*CI212+CJ271*CJ212+CK271*CK212+CL271*CL212+CM271*CM212+CN271*CN212+CO271*CO212+CP271*CP212+CQ271*CQ212+CR271*CR212+CS271*CS212</f>
        <v>0</v>
      </c>
      <c r="DB212" s="2504">
        <f>E272*E212+F272*F212+G272*G212+H272*H212+I272*I212+J272*J212+K272*K212+L272*L212+M272*M212+N272*N212+O272*O212+P272*P212+Q272*Q212+R272*R212+S272*S212+T272*T212+U272*U212+V272*V212+W272*W212+X272*X212+Y272*Y212+Z272*Z212+AA272*AA212+AB272*AB212+AC272*AC212+AD272*AD212+AE272*AE212+AF272*AF212+AG272*AG212+AH272*AH212+AI272*AI212+AJ272*AJ212+AK272*AK212+AL272*AL212+AM272*AM212+AN272*AN212+AO272*AO212+AP272*AP212+AQ272*AQ212+AR272*AR212+AS272*AS212+AT272*AT212+AU272*AU212+AV272*AV212+AW272*AW212+AX272*AX212+AY272*AY212+AZ272*AZ212+BA272*BA212+BB272*BB212+BC272*BC212+BD272*BD212+BE272*BE212+BF272*BF212+BG272*BG212+BH272*BH212+BI272*BI212+BJ272*BJ212+BK272*BK212+BL272*BL212+BM272*BM212+BN272*BN212+BO272*BO212+BP272*BP212+BQ272*BQ212+BR272*BR212+BS272*BS212+BT272*BT212+BU272*BU212+BV272*BV212+BW272*BW212+BX272*BX212+BY272*BY212+BZ272*BZ212+CA272*CA212+CB272*CB212+CC272*CC212+CD272*CD212+CE272*CE212+CF272*CF212+CG272*CG212+CH272*CH212+CI272*CI212+CJ272*CJ212+CK272*CK212+CL272*CL212+CM272*CM212+CN272*CN212+CO272*CO212+CP272*CP212+CQ272*CQ212+CR272*CR212+CS272*CS212</f>
        <v>0</v>
      </c>
      <c r="DC212" s="2504">
        <f>E273*E212+F273*F212+G273*G212+H273*H212+I273*I212+J273*J212+K273*K212+L273*L212+M273*M212+N273*N212+O273*O212+P273*P212+Q273*Q212+R273*R212+S273*S212+T273*T212+U273*U212+V273*V212+W273*W212+X273*X212+Y273*Y212+Z273*Z212+AA273*AA212+AB273*AB212+AC273*AC212+AD273*AD212+AE273*AE212+AF273*AF212+AG273*AG212+AH273*AH212+AI273*AI212+AJ273*AJ212+AK273*AK212+AL273*AL212+AM273*AM212+AN273*AN212+AO273*AO212+AP273*AP212+AQ273*AQ212+AR273*AR212+AS273*AS212+AT273*AT212+AU273*AU212+AV273*AV212+AW273*AW212+AX273*AX212+AY273*AY212+AZ273*AZ212+BA273*BA212+BB273*BB212+BC273*BC212+BD273*BD212+BE273*BE212+BF273*BF212+BG273*BG212+BH273*BH212+BI273*BI212+BJ273*BJ212+BK273*BK212+BL273*BL212+BM273*BM212+BN273*BN212+BO273*BO212+BP273*BP212+BQ273*BQ212+BR273*BR212+BS273*BS212+BT273*BT212+BU273*BU212+BV273*BV212+BW273*BW212+BX273*BX212+BY273*BY212+BZ273*BZ212+CA273*CA212+CB273*CB212+CC273*CC212+CD273*CD212+CE273*CE212+CF273*CF212+CG273*CG212+CH273*CH212+CI273*CI212+CJ273*CJ212+CK273*CK212+CL273*CL212+CM273*CM212+CN273*CN212+CO273*CO212+CP273*CP212+CQ273*CQ212+CR273*CR212+CS273*CS212</f>
        <v>0</v>
      </c>
      <c r="DD212" s="2504">
        <f>E274*E212+F274*F212+G274*G212+H274*H212+I274*I212+J274*J212+K274*K212+L274*L212+M274*M212+N274*N212+O274*O212+P274*P212+Q274*Q212+R274*R212+S274*S212+T274*T212+U274*U212+V274*V212+W274*W212+X274*X212+Y274*Y212+Z274*Z212+AA274*AA212+AB274*AB212+AC274*AC212+AD274*AD212+AE274*AE212+AF274*AF212+AG274*AG212+AH274*AH212+AI274*AI212+AJ274*AJ212+AK274*AK212+AL274*AL212+AM274*AM212+AN274*AN212+AO274*AO212+AP274*AP212+AQ274*AQ212+AR274*AR212+AS274*AS212+AT274*AT212+AU274*AU212+AV274*AV212+AW274*AW212+AX274*AX212+AY274*AY212+AZ274*AZ212+BA274*BA212+BB274*BB212+BC274*BC212+BD274*BD212+BE274*BE212+BF274*BF212+BG274*BG212+BH274*BH212+BI274*BI212+BJ274*BJ212+BK274*BK212+BL274*BL212+BM274*BM212+BN274*BN212+BO274*BO212+BP274*BP212+BQ274*BQ212+BR274*BR212+BS274*BS212+BT274*BT212+BU274*BU212+BV274*BV212+BW274*BW212+BX274*BX212+BY274*BY212+BZ274*BZ212+CA274*CA212+CB274*CB212+CC274*CC212+CD274*CD212+CE274*CE212+CF274*CF212+CG274*CG212+CH274*CH212+CI274*CI212+CJ274*CJ212+CK274*CK212+CL274*CL212+CM274*CM212+CN274*CN212+CO274*CO212+CP274*CP212+CQ274*CQ212+CR274*CR212+CS274*CS212</f>
        <v>0</v>
      </c>
      <c r="DE212" s="2504">
        <f>E275*E212+F275*F212+G275*G212+H275*H212+I275*I212+J275*J212+K275*K212+L275*L212+M275*M212+N275*N212+O275*O212+P275*P212+Q275*Q212+R275*R212+S275*S212+T275*T212+U275*U212+V275*V212+W275*W212+X275*X212+Y275*Y212+Z275*Z212+AA275*AA212+AB275*AB212+AC275*AC212+AD275*AD212+AE275*AE212+AF275*AF212+AG275*AG212+AH275*AH212+AI275*AI212+AJ275*AJ212+AK275*AK212+AL275*AL212+AM275*AM212+AN275*AN212+AO275*AO212+AP275*AP212+AQ275*AQ212+AR275*AR212+AS275*AS212+AT275*AT212+AU275*AU212+AV275*AV212+AW275*AW212+AX275*AX212+AY275*AY212+AZ275*AZ212+BA275*BA212+BB275*BB212+BC275*BC212+BD275*BD212+BE275*BE212+BF275*BF212+BG275*BG212+BH275*BH212+BI275*BI212+BJ275*BJ212+BK275*BK212+BL275*BL212+BM275*BM212+BN275*BN212+BO275*BO212+BP275*BP212+BQ275*BQ212+BR275*BR212+BS275*BS212+BT275*BT212+BU275*BU212+BV275*BV212+BW275*BW212+BX275*BX212+BY275*BY212+BZ275*BZ212+CA275*CA212+CB275*CB212+CC275*CC212+CD275*CD212+CE275*CE212+CF275*CF212+CG275*CG212+CH275*CH212+CI275*CI212+CJ275*CJ212+CK275*CK212+CL275*CL212+CM275*CM212+CN275*CN212+CO275*CO212+CP275*CP212+CQ275*CQ212+CR275*CR212+CS275*CS212</f>
        <v>0</v>
      </c>
      <c r="DF212" s="2504">
        <f>E276*E212+F276*F212+G276*G212+H276*H212+I276*I212+J276*J212+K276*K212+L276*L212+M276*M212+N276*N212+O276*O212+P276*P212+Q276*Q212+R276*R212+S276*S212+T276*T212+U276*U212+V276*V212+W276*W212+X276*X212+Y276*Y212+Z276*Z212+AA276*AA212+AB276*AB212+AC276*AC212+AD276*AD212+AE276*AE212+AF276*AF212+AG276*AG212+AH276*AH212+AI276*AI212+AJ276*AJ212+AK276*AK212+AL276*AL212+AM276*AM212+AN276*AN212+AO276*AO212+AP276*AP212+AQ276*AQ212+AR276*AR212+AS276*AS212+AT276*AT212+AU276*AU212+AV276*AV212+AW276*AW212+AX276*AX212+AY276*AY212+AZ276*AZ212+BA276*BA212+BB276*BB212+BC276*BC212+BD276*BD212+BE276*BE212+BF276*BF212+BG276*BG212+BH276*BH212+BI276*BI212+BJ276*BJ212+BK276*BK212+BL276*BL212+BM276*BM212+BN276*BN212+BO276*BO212+BP276*BP212+BQ276*BQ212+BR276*BR212+BS276*BS212+BT276*BT212+BU276*BU212+BV276*BV212+BW276*BW212+BX276*BX212+BY276*BY212+BZ276*BZ212+CA276*CA212+CB276*CB212+CC276*CC212+CD276*CD212+CE276*CE212+CF276*CF212+CG276*CG212+CH276*CH212+CI276*CI212+CJ276*CJ212+CK276*CK212+CL276*CL212+CM276*CM212+CN276*CN212+CO276*CO212+CP276*CP212+CQ276*CQ212+CR276*CR212+CS276*CS212</f>
        <v>0</v>
      </c>
    </row>
    <row r="213" spans="2:110" ht="18" x14ac:dyDescent="0.35">
      <c r="B213" s="1583">
        <v>71</v>
      </c>
      <c r="C213" s="551" t="s">
        <v>2404</v>
      </c>
      <c r="D213" s="552" t="s">
        <v>5393</v>
      </c>
      <c r="E213" s="506">
        <f>0</f>
        <v>0</v>
      </c>
      <c r="F213" s="506">
        <f>1</f>
        <v>1</v>
      </c>
      <c r="G213" s="506">
        <f>0</f>
        <v>0</v>
      </c>
      <c r="H213" s="506">
        <f>0</f>
        <v>0</v>
      </c>
      <c r="I213" s="506">
        <f>-1</f>
        <v>-1</v>
      </c>
      <c r="J213" s="506">
        <f>0</f>
        <v>0</v>
      </c>
      <c r="K213" s="506">
        <f>0</f>
        <v>0</v>
      </c>
      <c r="L213" s="506">
        <f>0</f>
        <v>0</v>
      </c>
      <c r="M213" s="506">
        <f>0</f>
        <v>0</v>
      </c>
      <c r="N213" s="506">
        <f>0</f>
        <v>0</v>
      </c>
      <c r="O213" s="506">
        <f>0</f>
        <v>0</v>
      </c>
      <c r="P213" s="506">
        <f>0</f>
        <v>0</v>
      </c>
      <c r="Q213" s="506">
        <f>0</f>
        <v>0</v>
      </c>
      <c r="R213" s="506">
        <f>0</f>
        <v>0</v>
      </c>
      <c r="S213" s="506">
        <f>0</f>
        <v>0</v>
      </c>
      <c r="T213" s="506">
        <f>0</f>
        <v>0</v>
      </c>
      <c r="U213" s="506">
        <f>0</f>
        <v>0</v>
      </c>
      <c r="V213" s="506">
        <f>0</f>
        <v>0</v>
      </c>
      <c r="W213" s="506">
        <f>0</f>
        <v>0</v>
      </c>
      <c r="X213" s="506">
        <f>0</f>
        <v>0</v>
      </c>
      <c r="Y213" s="506">
        <f>0</f>
        <v>0</v>
      </c>
      <c r="Z213" s="506">
        <f>0</f>
        <v>0</v>
      </c>
      <c r="AA213" s="506">
        <f>0</f>
        <v>0</v>
      </c>
      <c r="AB213" s="506">
        <f>0</f>
        <v>0</v>
      </c>
      <c r="AC213" s="506">
        <f>0</f>
        <v>0</v>
      </c>
      <c r="AD213" s="506">
        <f>0</f>
        <v>0</v>
      </c>
      <c r="AE213" s="506">
        <f>0</f>
        <v>0</v>
      </c>
      <c r="AF213" s="506">
        <f>0</f>
        <v>0</v>
      </c>
      <c r="AG213" s="506">
        <f>0</f>
        <v>0</v>
      </c>
      <c r="AH213" s="506">
        <f>0</f>
        <v>0</v>
      </c>
      <c r="AI213" s="556">
        <f>X_N_B/X_B</f>
        <v>3.5714285714285712E-2</v>
      </c>
      <c r="AJ213" s="556">
        <f>-X_N_B/X_B</f>
        <v>-3.5714285714285712E-2</v>
      </c>
      <c r="AK213" s="556">
        <f>0</f>
        <v>0</v>
      </c>
      <c r="AL213" s="506">
        <f>0</f>
        <v>0</v>
      </c>
      <c r="AM213" s="506">
        <f>0</f>
        <v>0</v>
      </c>
      <c r="AN213" s="506">
        <f>0</f>
        <v>0</v>
      </c>
      <c r="AO213" s="556">
        <f>X_P_B/X_B</f>
        <v>7.1428571428571435E-3</v>
      </c>
      <c r="AP213" s="556">
        <f>-X_P_B/X_B</f>
        <v>-7.1428571428571435E-3</v>
      </c>
      <c r="AQ213" s="556">
        <f>0</f>
        <v>0</v>
      </c>
      <c r="AR213" s="506">
        <f>0</f>
        <v>0</v>
      </c>
      <c r="AS213" s="506">
        <f>0</f>
        <v>0</v>
      </c>
      <c r="AT213" s="506">
        <f>0</f>
        <v>0</v>
      </c>
      <c r="AU213" s="506">
        <f>0</f>
        <v>0</v>
      </c>
      <c r="AV213" s="506">
        <f>0</f>
        <v>0</v>
      </c>
      <c r="AW213" s="506">
        <f>0</f>
        <v>0</v>
      </c>
      <c r="AX213" s="506">
        <f>0</f>
        <v>0</v>
      </c>
      <c r="AY213" s="506">
        <f>0</f>
        <v>0</v>
      </c>
      <c r="AZ213" s="506">
        <f>0</f>
        <v>0</v>
      </c>
      <c r="BA213" s="506">
        <f>0</f>
        <v>0</v>
      </c>
      <c r="BB213" s="506">
        <f>0</f>
        <v>0</v>
      </c>
      <c r="BC213" s="506">
        <f>0</f>
        <v>0</v>
      </c>
      <c r="BD213" s="506">
        <f>0</f>
        <v>0</v>
      </c>
      <c r="BE213" s="506">
        <f>0</f>
        <v>0</v>
      </c>
      <c r="BF213" s="506">
        <f>0</f>
        <v>0</v>
      </c>
      <c r="BG213" s="506">
        <f>0</f>
        <v>0</v>
      </c>
      <c r="BH213" s="506">
        <f>0</f>
        <v>0</v>
      </c>
      <c r="BI213" s="506">
        <f>0</f>
        <v>0</v>
      </c>
      <c r="BJ213" s="506">
        <f>0</f>
        <v>0</v>
      </c>
      <c r="BK213" s="506">
        <f>0</f>
        <v>0</v>
      </c>
      <c r="BL213" s="506">
        <f>0</f>
        <v>0</v>
      </c>
      <c r="BM213" s="506">
        <f>0</f>
        <v>0</v>
      </c>
      <c r="BN213" s="506">
        <f>0</f>
        <v>0</v>
      </c>
      <c r="BO213" s="506">
        <f>0</f>
        <v>0</v>
      </c>
      <c r="BP213" s="506">
        <f>0</f>
        <v>0</v>
      </c>
      <c r="BQ213" s="506">
        <f>0</f>
        <v>0</v>
      </c>
      <c r="BR213" s="506">
        <f>0</f>
        <v>0</v>
      </c>
      <c r="BS213" s="506">
        <f>0</f>
        <v>0</v>
      </c>
      <c r="BT213" s="506">
        <f>0</f>
        <v>0</v>
      </c>
      <c r="BU213" s="506">
        <f>0</f>
        <v>0</v>
      </c>
      <c r="BV213" s="506">
        <f>0</f>
        <v>0</v>
      </c>
      <c r="BW213" s="2367">
        <f>0</f>
        <v>0</v>
      </c>
      <c r="BX213" s="2367">
        <f>0</f>
        <v>0</v>
      </c>
      <c r="BY213" s="2367">
        <f>0</f>
        <v>0</v>
      </c>
      <c r="BZ213" s="2367">
        <f>0</f>
        <v>0</v>
      </c>
      <c r="CA213" s="506">
        <f>0</f>
        <v>0</v>
      </c>
      <c r="CB213" s="506">
        <f>0</f>
        <v>0</v>
      </c>
      <c r="CC213" s="506">
        <f>0</f>
        <v>0</v>
      </c>
      <c r="CD213" s="506">
        <f>0</f>
        <v>0</v>
      </c>
      <c r="CE213" s="506">
        <f>0</f>
        <v>0</v>
      </c>
      <c r="CF213" s="506">
        <f>0</f>
        <v>0</v>
      </c>
      <c r="CG213" s="506">
        <f>0</f>
        <v>0</v>
      </c>
      <c r="CH213" s="506">
        <f>0</f>
        <v>0</v>
      </c>
      <c r="CI213" s="506">
        <f>0</f>
        <v>0</v>
      </c>
      <c r="CJ213" s="506">
        <f>0</f>
        <v>0</v>
      </c>
      <c r="CK213" s="506">
        <f>0</f>
        <v>0</v>
      </c>
      <c r="CL213" s="506">
        <f>0</f>
        <v>0</v>
      </c>
      <c r="CM213" s="506">
        <f>0</f>
        <v>0</v>
      </c>
      <c r="CN213" s="506">
        <f>0</f>
        <v>0</v>
      </c>
      <c r="CO213" s="506">
        <f>0</f>
        <v>0</v>
      </c>
      <c r="CP213" s="506">
        <f>0</f>
        <v>0</v>
      </c>
      <c r="CQ213" s="506">
        <f>0</f>
        <v>0</v>
      </c>
      <c r="CR213" s="506">
        <f>0</f>
        <v>0</v>
      </c>
      <c r="CS213" s="506">
        <f>0</f>
        <v>0</v>
      </c>
      <c r="CT213" s="2491">
        <f>q_HYD_XB_T*X_HET*(L_ogsatXHET_HYD_lim*M_RsatXB_XHET_KHYD+L_oginhXHET_HYD_lim*M_satXB_KXB_HYD)*(M_satSO2_KO2_OHO+η_HYD_anox*(M_satSNO2_KNO2_OHO+M_satSNO3_KNO3_OHO*M_inhSNO2_KNO2_OHO)*M_inhSO2_KO2_OHO+η_HYD_ana*M_inhSNO3_KNO3_OHO*M_inhSNO2_KNO2_OHO*M_inhSO2_KO2_OHO)</f>
        <v>633.04689796960315</v>
      </c>
      <c r="CV213" s="2502">
        <f>E266*E213+F266*F213+G266*G213+H266*H213+I266*I213+J266*J213+K266*K213+L266*L213+M266*M213+N266*N213+O266*O213+P266*P213+Q266*Q213+R266*R213+S266*S213+T266*T213+U266*U213+V266*V213+W266*W213+X266*X213+Y266*Y213+Z266*Z213+AA266*AA213+AB266*AB213+AC266*AC213+AD266*AD213+AE266*AE213+AF266*AF213+AG266*AG213+AH266*AH213+AI266*AI213+AJ266*AJ213+AK266*AK213+AL266*AL213+AM266*AM213+AN266*AN213+AO266*AO213+AP266*AP213+AQ266*AQ213+AR266*AR213+AS266*AS213+AT266*AT213+AU266*AU213+AV266*AV213+AW266*AW213+AX266*AX213+AY266*AY213+AZ266*AZ213+BA266*BA213+BB266*BB213+BC266*BC213+BD266*BD213+BE266*BE213+BF266*BF213+BG266*BG213+BH266*BH213+BI266*BI213+BJ266*BJ213+BK266*BK213+BL266*BL213+BM266*BM213+BN266*BN213+BO266*BO213+BP266*BP213+BQ266*BQ213+BR266*BR213+BS266*BS213+BT266*BT213+BU266*BU213+BV266*BV213+BW266*BW213+BX266*BX213+BY266*BY213+BZ266*BZ213+CA266*CA213+CB266*CB213+CC266*CC213+CD266*CD213+CE266*CE213+CF266*CF213+CG266*CG213+CH266*CH213+CI266*CI213+CJ266*CJ213+CK266*CK213+CL266*CL213+CM266*CM213+CN266*CN213+CO266*CO213+CP266*CP213+CQ266*CQ213+CR266*CR213+CS266*CS213</f>
        <v>0</v>
      </c>
      <c r="CW213" s="2502">
        <f>E267*E213+F267*F213+G267*G213+H267*H213+I267*I213+J267*J213+K267*K213+L267*L213+M267*M213+N267*N213+O267*O213+P267*P213+Q267*Q213+R267*R213+S267*S213+T267*T213+U267*U213+V267*V213+W267*W213+X267*X213+Y267*Y213+Z267*Z213+AA267*AA213+AB267*AB213+AC267*AC213+AD267*AD213+AE267*AE213+AF267*AF213+AG267*AG213+AH267*AH213+AI267*AI213+AJ267*AJ213+AK267*AK213+AL267*AL213+AM267*AM213+AN267*AN213+AO267*AO213+AP267*AP213+AQ267*AQ213+AR267*AR213+AS267*AS213+AT267*AT213+AU267*AU213+AV267*AV213+AW267*AW213+AX267*AX213+AY267*AY213+AZ267*AZ213+BA267*BA213+BB267*BB213+BC267*BC213+BD267*BD213+BE267*BE213+BF267*BF213+BG267*BG213+BH267*BH213+BI267*BI213+BJ267*BJ213+BK267*BK213+BL267*BL213+BM267*BM213+BN267*BN213+BO267*BO213+BP267*BP213+BQ267*BQ213+BR267*BR213+BS267*BS213+BT267*BT213+BU267*BU213+BV267*BV213+BW267*BW213+BX267*BX213+BY267*BY213+BZ267*BZ213+CA267*CA213+CB267*CB213+CC267*CC213+CD267*CD213+CE267*CE213+CF267*CF213+CG267*CG213+CH267*CH213+CI267*CI213+CJ267*CJ213+CK267*CK213+CL267*CL213+CM267*CM213+CN267*CN213+CO267*CO213+CP267*CP213+CQ267*CQ213+CR267*CR213+CS267*CS213</f>
        <v>0</v>
      </c>
      <c r="CX213" s="2503">
        <f>E268*E213+F268*F213+G268*G213+H268*H213+I268*I213+J268*J213+K268*K213+L268*L213+M268*M213+N268*N213+O268*O213+P268*P213+Q268*Q213+R268*R213+S268*S213+T268*T213+U268*U213+V268*V213+W268*W213+X268*X213+Y268*Y213+Z268*Z213+AA268*AA213+AB268*AB213+AC268*AC213+AD268*AD213+AE268*AE213+AF268*AF213+AG268*AG213+AH268*AH213+AI268*AI213+AJ268*AJ213+AK268*AK213+AL268*AL213+AM268*AM213+AN268*AN213+AO268*AO213+AP268*AP213+AQ268*AQ213+AR268*AR213+AS268*AS213+AT268*AT213+AU268*AU213+AV268*AV213+AW268*AW213+AX268*AX213+AY268*AY213+AZ268*AZ213+BA268*BA213+BB268*BB213+BC268*BC213+BD268*BD213+BE268*BE213+BF268*BF213+BG268*BG213+BH268*BH213+BI268*BI213+BJ268*BJ213+BK268*BK213+BL268*BL213+BM268*BM213+BN268*BN213+BO268*BO213+BP268*BP213+BQ268*BQ213+BR268*BR213+BS268*BS213+BT268*BT213+BU268*BU213+BV268*BV213+BW268*BW213+BX268*BX213+BY268*BY213+BZ268*BZ213+CA268*CA213+CB268*CB213+CC268*CC213+CD268*CD213+CE268*CE213+CF268*CF213+CG268*CG213+CH268*CH213+CI268*CI213+CJ268*CJ213+CK268*CK213+CL268*CL213+CM268*CM213+CN268*CN213+CO268*CO213+CP268*CP213+CQ268*CQ213+CR268*CR213+CS268*CS213</f>
        <v>0</v>
      </c>
      <c r="CY213" s="2504">
        <f>E269*E213+F269*F213+G269*G213+H269*H213+I269*I213+J269*J213+K269*K213+L269*L213+M269*M213+N269*N213+O269*O213+P269*P213+Q269*Q213+R269*R213+S269*S213+T269*T213+U269*U213+V269*V213+W269*W213+X269*X213+Y269*Y213+Z269*Z213+AA269*AA213+AB269*AB213+AC269*AC213+AD269*AD213+AE269*AE213+AF269*AF213+AG269*AG213+AH269*AH213+AI269*AI213+AJ269*AJ213+AK269*AK213+AL269*AL213+AM269*AM213+AN269*AN213+AO269*AO213+AP269*AP213+AQ269*AQ213+AR269*AR213+AS269*AS213+AT269*AT213+AU269*AU213+AV269*AV213+AW269*AW213+AX269*AX213+AY269*AY213+AZ269*AZ213+BA269*BA213+BB269*BB213+BC269*BC213+BD269*BD213+BE269*BE213+BF269*BF213+BG269*BG213+BH269*BH213+BI269*BI213+BJ269*BJ213+BK269*BK213+BL269*BL213+BM269*BM213+BN269*BN213+BO269*BO213+BP269*BP213+BQ269*BQ213+BR269*BR213+BS269*BS213+BT269*BT213+BU269*BU213+BV269*BV213+BW269*BW213+BX269*BX213+BY269*BY213+BZ269*BZ213+CA269*CA213+CB269*CB213+CC269*CC213+CD269*CD213+CE269*CE213+CF269*CF213+CG269*CG213+CH269*CH213+CI269*CI213+CJ269*CJ213+CK269*CK213+CL269*CL213+CM269*CM213+CN269*CN213+CO269*CO213+CP269*CP213+CQ269*CQ213+CR269*CR213+CS269*CS213</f>
        <v>0</v>
      </c>
      <c r="CZ213" s="2504">
        <f>E270*E213+F270*F213+G270*G213+H270*H213+I270*I213+J270*J213+K270*K213+L270*L213+M270*M213+N270*N213+O270*O213+P270*P213+Q270*Q213+R270*R213+S270*S213+T270*T213+U270*U213+V270*V213+W270*W213+X270*X213+Y270*Y213+Z270*Z213+AA270*AA213+AB270*AB213+AC270*AC213+AD270*AD213+AE270*AE213+AF270*AF213+AG270*AG213+AH270*AH213+AI270*AI213+AJ270*AJ213+AK270*AK213+AL270*AL213+AM270*AM213+AN270*AN213+AO270*AO213+AP270*AP213+AQ270*AQ213+AR270*AR213+AS270*AS213+AT270*AT213+AU270*AU213+AV270*AV213+AW270*AW213+AX270*AX213+AY270*AY213+AZ270*AZ213+BA270*BA213+BB270*BB213+BC270*BC213+BD270*BD213+BE270*BE213+BF270*BF213+BG270*BG213+BH270*BH213+BI270*BI213+BJ270*BJ213+BK270*BK213+BL270*BL213+BM270*BM213+BN270*BN213+BO270*BO213+BP270*BP213+BQ270*BQ213+BR270*BR213+BS270*BS213+BT270*BT213+BU270*BU213+BV270*BV213+BW270*BW213+BX270*BX213+BY270*BY213+BZ270*BZ213+CA270*CA213+CB270*CB213+CC270*CC213+CD270*CD213+CE270*CE213+CF270*CF213+CG270*CG213+CH270*CH213+CI270*CI213+CJ270*CJ213+CK270*CK213+CL270*CL213+CM270*CM213+CN270*CN213+CO270*CO213+CP270*CP213+CQ270*CQ213+CR270*CR213+CS270*CS213</f>
        <v>0</v>
      </c>
      <c r="DA213" s="2504">
        <f>E271*E213+F271*F213+G271*G213+H271*H213+I271*I213+J271*J213+K271*K213+L271*L213+M271*M213+N271*N213+O271*O213+P271*P213+Q271*Q213+R271*R213+S271*S213+T271*T213+U271*U213+V271*V213+W271*W213+X271*X213+Y271*Y213+Z271*Z213+AA271*AA213+AB271*AB213+AC271*AC213+AD271*AD213+AE271*AE213+AF271*AF213+AG271*AG213+AH271*AH213+AI271*AI213+AJ271*AJ213+AK271*AK213+AL271*AL213+AM271*AM213+AN271*AN213+AO271*AO213+AP271*AP213+AQ271*AQ213+AR271*AR213+AS271*AS213+AT271*AT213+AU271*AU213+AV271*AV213+AW271*AW213+AX271*AX213+AY271*AY213+AZ271*AZ213+BA271*BA213+BB271*BB213+BC271*BC213+BD271*BD213+BE271*BE213+BF271*BF213+BG271*BG213+BH271*BH213+BI271*BI213+BJ271*BJ213+BK271*BK213+BL271*BL213+BM271*BM213+BN271*BN213+BO271*BO213+BP271*BP213+BQ271*BQ213+BR271*BR213+BS271*BS213+BT271*BT213+BU271*BU213+BV271*BV213+BW271*BW213+BX271*BX213+BY271*BY213+BZ271*BZ213+CA271*CA213+CB271*CB213+CC271*CC213+CD271*CD213+CE271*CE213+CF271*CF213+CG271*CG213+CH271*CH213+CI271*CI213+CJ271*CJ213+CK271*CK213+CL271*CL213+CM271*CM213+CN271*CN213+CO271*CO213+CP271*CP213+CQ271*CQ213+CR271*CR213+CS271*CS213</f>
        <v>0</v>
      </c>
      <c r="DB213" s="2504">
        <f>E272*E213+F272*F213+G272*G213+H272*H213+I272*I213+J272*J213+K272*K213+L272*L213+M272*M213+N272*N213+O272*O213+P272*P213+Q272*Q213+R272*R213+S272*S213+T272*T213+U272*U213+V272*V213+W272*W213+X272*X213+Y272*Y213+Z272*Z213+AA272*AA213+AB272*AB213+AC272*AC213+AD272*AD213+AE272*AE213+AF272*AF213+AG272*AG213+AH272*AH213+AI272*AI213+AJ272*AJ213+AK272*AK213+AL272*AL213+AM272*AM213+AN272*AN213+AO272*AO213+AP272*AP213+AQ272*AQ213+AR272*AR213+AS272*AS213+AT272*AT213+AU272*AU213+AV272*AV213+AW272*AW213+AX272*AX213+AY272*AY213+AZ272*AZ213+BA272*BA213+BB272*BB213+BC272*BC213+BD272*BD213+BE272*BE213+BF272*BF213+BG272*BG213+BH272*BH213+BI272*BI213+BJ272*BJ213+BK272*BK213+BL272*BL213+BM272*BM213+BN272*BN213+BO272*BO213+BP272*BP213+BQ272*BQ213+BR272*BR213+BS272*BS213+BT272*BT213+BU272*BU213+BV272*BV213+BW272*BW213+BX272*BX213+BY272*BY213+BZ272*BZ213+CA272*CA213+CB272*CB213+CC272*CC213+CD272*CD213+CE272*CE213+CF272*CF213+CG272*CG213+CH272*CH213+CI272*CI213+CJ272*CJ213+CK272*CK213+CL272*CL213+CM272*CM213+CN272*CN213+CO272*CO213+CP272*CP213+CQ272*CQ213+CR272*CR213+CS272*CS213</f>
        <v>0</v>
      </c>
      <c r="DC213" s="2504">
        <f>E273*E213+F273*F213+G273*G213+H273*H213+I273*I213+J273*J213+K273*K213+L273*L213+M273*M213+N273*N213+O273*O213+P273*P213+Q273*Q213+R273*R213+S273*S213+T273*T213+U273*U213+V273*V213+W273*W213+X273*X213+Y273*Y213+Z273*Z213+AA273*AA213+AB273*AB213+AC273*AC213+AD273*AD213+AE273*AE213+AF273*AF213+AG273*AG213+AH273*AH213+AI273*AI213+AJ273*AJ213+AK273*AK213+AL273*AL213+AM273*AM213+AN273*AN213+AO273*AO213+AP273*AP213+AQ273*AQ213+AR273*AR213+AS273*AS213+AT273*AT213+AU273*AU213+AV273*AV213+AW273*AW213+AX273*AX213+AY273*AY213+AZ273*AZ213+BA273*BA213+BB273*BB213+BC273*BC213+BD273*BD213+BE273*BE213+BF273*BF213+BG273*BG213+BH273*BH213+BI273*BI213+BJ273*BJ213+BK273*BK213+BL273*BL213+BM273*BM213+BN273*BN213+BO273*BO213+BP273*BP213+BQ273*BQ213+BR273*BR213+BS273*BS213+BT273*BT213+BU273*BU213+BV273*BV213+BW273*BW213+BX273*BX213+BY273*BY213+BZ273*BZ213+CA273*CA213+CB273*CB213+CC273*CC213+CD273*CD213+CE273*CE213+CF273*CF213+CG273*CG213+CH273*CH213+CI273*CI213+CJ273*CJ213+CK273*CK213+CL273*CL213+CM273*CM213+CN273*CN213+CO273*CO213+CP273*CP213+CQ273*CQ213+CR273*CR213+CS273*CS213</f>
        <v>0</v>
      </c>
      <c r="DD213" s="2504">
        <f>E274*E213+F274*F213+G274*G213+H274*H213+I274*I213+J274*J213+K274*K213+L274*L213+M274*M213+N274*N213+O274*O213+P274*P213+Q274*Q213+R274*R213+S274*S213+T274*T213+U274*U213+V274*V213+W274*W213+X274*X213+Y274*Y213+Z274*Z213+AA274*AA213+AB274*AB213+AC274*AC213+AD274*AD213+AE274*AE213+AF274*AF213+AG274*AG213+AH274*AH213+AI274*AI213+AJ274*AJ213+AK274*AK213+AL274*AL213+AM274*AM213+AN274*AN213+AO274*AO213+AP274*AP213+AQ274*AQ213+AR274*AR213+AS274*AS213+AT274*AT213+AU274*AU213+AV274*AV213+AW274*AW213+AX274*AX213+AY274*AY213+AZ274*AZ213+BA274*BA213+BB274*BB213+BC274*BC213+BD274*BD213+BE274*BE213+BF274*BF213+BG274*BG213+BH274*BH213+BI274*BI213+BJ274*BJ213+BK274*BK213+BL274*BL213+BM274*BM213+BN274*BN213+BO274*BO213+BP274*BP213+BQ274*BQ213+BR274*BR213+BS274*BS213+BT274*BT213+BU274*BU213+BV274*BV213+BW274*BW213+BX274*BX213+BY274*BY213+BZ274*BZ213+CA274*CA213+CB274*CB213+CC274*CC213+CD274*CD213+CE274*CE213+CF274*CF213+CG274*CG213+CH274*CH213+CI274*CI213+CJ274*CJ213+CK274*CK213+CL274*CL213+CM274*CM213+CN274*CN213+CO274*CO213+CP274*CP213+CQ274*CQ213+CR274*CR213+CS274*CS213</f>
        <v>0</v>
      </c>
      <c r="DE213" s="2504">
        <f>E275*E213+F275*F213+G275*G213+H275*H213+I275*I213+J275*J213+K275*K213+L275*L213+M275*M213+N275*N213+O275*O213+P275*P213+Q275*Q213+R275*R213+S275*S213+T275*T213+U275*U213+V275*V213+W275*W213+X275*X213+Y275*Y213+Z275*Z213+AA275*AA213+AB275*AB213+AC275*AC213+AD275*AD213+AE275*AE213+AF275*AF213+AG275*AG213+AH275*AH213+AI275*AI213+AJ275*AJ213+AK275*AK213+AL275*AL213+AM275*AM213+AN275*AN213+AO275*AO213+AP275*AP213+AQ275*AQ213+AR275*AR213+AS275*AS213+AT275*AT213+AU275*AU213+AV275*AV213+AW275*AW213+AX275*AX213+AY275*AY213+AZ275*AZ213+BA275*BA213+BB275*BB213+BC275*BC213+BD275*BD213+BE275*BE213+BF275*BF213+BG275*BG213+BH275*BH213+BI275*BI213+BJ275*BJ213+BK275*BK213+BL275*BL213+BM275*BM213+BN275*BN213+BO275*BO213+BP275*BP213+BQ275*BQ213+BR275*BR213+BS275*BS213+BT275*BT213+BU275*BU213+BV275*BV213+BW275*BW213+BX275*BX213+BY275*BY213+BZ275*BZ213+CA275*CA213+CB275*CB213+CC275*CC213+CD275*CD213+CE275*CE213+CF275*CF213+CG275*CG213+CH275*CH213+CI275*CI213+CJ275*CJ213+CK275*CK213+CL275*CL213+CM275*CM213+CN275*CN213+CO275*CO213+CP275*CP213+CQ275*CQ213+CR275*CR213+CS275*CS213</f>
        <v>0</v>
      </c>
      <c r="DF213" s="2504">
        <f>E276*E213+F276*F213+G276*G213+H276*H213+I276*I213+J276*J213+K276*K213+L276*L213+M276*M213+N276*N213+O276*O213+P276*P213+Q276*Q213+R276*R213+S276*S213+T276*T213+U276*U213+V276*V213+W276*W213+X276*X213+Y276*Y213+Z276*Z213+AA276*AA213+AB276*AB213+AC276*AC213+AD276*AD213+AE276*AE213+AF276*AF213+AG276*AG213+AH276*AH213+AI276*AI213+AJ276*AJ213+AK276*AK213+AL276*AL213+AM276*AM213+AN276*AN213+AO276*AO213+AP276*AP213+AQ276*AQ213+AR276*AR213+AS276*AS213+AT276*AT213+AU276*AU213+AV276*AV213+AW276*AW213+AX276*AX213+AY276*AY213+AZ276*AZ213+BA276*BA213+BB276*BB213+BC276*BC213+BD276*BD213+BE276*BE213+BF276*BF213+BG276*BG213+BH276*BH213+BI276*BI213+BJ276*BJ213+BK276*BK213+BL276*BL213+BM276*BM213+BN276*BN213+BO276*BO213+BP276*BP213+BQ276*BQ213+BR276*BR213+BS276*BS213+BT276*BT213+BU276*BU213+BV276*BV213+BW276*BW213+BX276*BX213+BY276*BY213+BZ276*BZ213+CA276*CA213+CB276*CB213+CC276*CC213+CD276*CD213+CE276*CE213+CF276*CF213+CG276*CG213+CH276*CH213+CI276*CI213+CJ276*CJ213+CK276*CK213+CL276*CL213+CM276*CM213+CN276*CN213+CO276*CO213+CP276*CP213+CQ276*CQ213+CR276*CR213+CS276*CS213</f>
        <v>0</v>
      </c>
    </row>
    <row r="214" spans="2:110" ht="18" x14ac:dyDescent="0.25">
      <c r="B214" s="2426">
        <v>72</v>
      </c>
      <c r="C214" s="2427" t="s">
        <v>2405</v>
      </c>
      <c r="D214" s="553" t="s">
        <v>5409</v>
      </c>
      <c r="E214" s="506">
        <f>0</f>
        <v>0</v>
      </c>
      <c r="F214" s="506">
        <f>1</f>
        <v>1</v>
      </c>
      <c r="G214" s="506">
        <f>0</f>
        <v>0</v>
      </c>
      <c r="H214" s="506">
        <f>0</f>
        <v>0</v>
      </c>
      <c r="I214" s="506">
        <f>0</f>
        <v>0</v>
      </c>
      <c r="J214" s="506">
        <f>-1</f>
        <v>-1</v>
      </c>
      <c r="K214" s="506">
        <f>0</f>
        <v>0</v>
      </c>
      <c r="L214" s="506">
        <f>0</f>
        <v>0</v>
      </c>
      <c r="M214" s="506">
        <f>0</f>
        <v>0</v>
      </c>
      <c r="N214" s="506">
        <f>0</f>
        <v>0</v>
      </c>
      <c r="O214" s="506">
        <f>0</f>
        <v>0</v>
      </c>
      <c r="P214" s="506">
        <f>0</f>
        <v>0</v>
      </c>
      <c r="Q214" s="506">
        <f>0</f>
        <v>0</v>
      </c>
      <c r="R214" s="506">
        <f>0</f>
        <v>0</v>
      </c>
      <c r="S214" s="506">
        <f>0</f>
        <v>0</v>
      </c>
      <c r="T214" s="506">
        <f>0</f>
        <v>0</v>
      </c>
      <c r="U214" s="506">
        <f>0</f>
        <v>0</v>
      </c>
      <c r="V214" s="506">
        <f>0</f>
        <v>0</v>
      </c>
      <c r="W214" s="506">
        <f>0</f>
        <v>0</v>
      </c>
      <c r="X214" s="506">
        <f>0</f>
        <v>0</v>
      </c>
      <c r="Y214" s="506">
        <f>0</f>
        <v>0</v>
      </c>
      <c r="Z214" s="506">
        <f>0</f>
        <v>0</v>
      </c>
      <c r="AA214" s="506">
        <f>0</f>
        <v>0</v>
      </c>
      <c r="AB214" s="506">
        <f>0</f>
        <v>0</v>
      </c>
      <c r="AC214" s="506">
        <f>0</f>
        <v>0</v>
      </c>
      <c r="AD214" s="506">
        <f>0</f>
        <v>0</v>
      </c>
      <c r="AE214" s="506">
        <f>0</f>
        <v>0</v>
      </c>
      <c r="AF214" s="506">
        <f>0</f>
        <v>0</v>
      </c>
      <c r="AG214" s="506">
        <f>0</f>
        <v>0</v>
      </c>
      <c r="AH214" s="506">
        <f>0</f>
        <v>0</v>
      </c>
      <c r="AI214" s="556">
        <f>X_N_Be/X_B_e</f>
        <v>7.6923076923076927E-2</v>
      </c>
      <c r="AJ214" s="556">
        <f>0</f>
        <v>0</v>
      </c>
      <c r="AK214" s="556">
        <f>-X_N_Be/X_B_e</f>
        <v>-7.6923076923076927E-2</v>
      </c>
      <c r="AL214" s="506">
        <f>0</f>
        <v>0</v>
      </c>
      <c r="AM214" s="506">
        <f>0</f>
        <v>0</v>
      </c>
      <c r="AN214" s="506">
        <f>0</f>
        <v>0</v>
      </c>
      <c r="AO214" s="556">
        <f>X_P_Be/X_B_e</f>
        <v>1.5384615384615385E-2</v>
      </c>
      <c r="AP214" s="556">
        <f>0</f>
        <v>0</v>
      </c>
      <c r="AQ214" s="556">
        <f>-X_P_Be/X_B_e</f>
        <v>-1.5384615384615385E-2</v>
      </c>
      <c r="AR214" s="506">
        <f>0</f>
        <v>0</v>
      </c>
      <c r="AS214" s="506">
        <f>0</f>
        <v>0</v>
      </c>
      <c r="AT214" s="506">
        <f>0</f>
        <v>0</v>
      </c>
      <c r="AU214" s="506">
        <f>0</f>
        <v>0</v>
      </c>
      <c r="AV214" s="506">
        <f>i_CIT_XBe-i_CIT_SB</f>
        <v>0</v>
      </c>
      <c r="AW214" s="506">
        <f>-i_INORG</f>
        <v>-0.11</v>
      </c>
      <c r="AX214" s="506">
        <f>i_INORG*(1-i_Ca_INORG*(A_MCa+2*A_MCl)/A_MCa-i_Mg_INORG*(A_MMg+2*A_MCl)/A_MMg)*f_Na</f>
        <v>2.8804303582798466E-2</v>
      </c>
      <c r="AY214" s="506">
        <f>i_INORG*(i_Ca_INORG*(2*A_MCl)/A_MCa+i_Mg_INORG*(2*A_MCl)/A_MMg)+i_INORG*(1-i_Ca_INORG*(A_MCa+2*A_MCl)/A_MCa-i_Mg_INORG*(A_MMg+2*A_MCl)/A_MMg)*(1-f_Na)</f>
        <v>7.0195696417201539E-2</v>
      </c>
      <c r="AZ214" s="506">
        <f>i_INORG*i_Ca_INORG</f>
        <v>5.5000000000000005E-3</v>
      </c>
      <c r="BA214" s="506">
        <f>i_INORG*i_Mg_INORG</f>
        <v>5.5000000000000005E-3</v>
      </c>
      <c r="BB214" s="506">
        <f>0</f>
        <v>0</v>
      </c>
      <c r="BC214" s="506">
        <f>0</f>
        <v>0</v>
      </c>
      <c r="BD214" s="506">
        <f>0</f>
        <v>0</v>
      </c>
      <c r="BE214" s="506">
        <f>0</f>
        <v>0</v>
      </c>
      <c r="BF214" s="506">
        <f>0</f>
        <v>0</v>
      </c>
      <c r="BG214" s="506">
        <f>0</f>
        <v>0</v>
      </c>
      <c r="BH214" s="506">
        <f>0</f>
        <v>0</v>
      </c>
      <c r="BI214" s="506">
        <f>0</f>
        <v>0</v>
      </c>
      <c r="BJ214" s="506">
        <f>0</f>
        <v>0</v>
      </c>
      <c r="BK214" s="506">
        <f>0</f>
        <v>0</v>
      </c>
      <c r="BL214" s="506">
        <f>0</f>
        <v>0</v>
      </c>
      <c r="BM214" s="506">
        <f>0</f>
        <v>0</v>
      </c>
      <c r="BN214" s="506">
        <f>0</f>
        <v>0</v>
      </c>
      <c r="BO214" s="506">
        <f>0</f>
        <v>0</v>
      </c>
      <c r="BP214" s="506">
        <f>0</f>
        <v>0</v>
      </c>
      <c r="BQ214" s="506">
        <f>0</f>
        <v>0</v>
      </c>
      <c r="BR214" s="506">
        <f>0</f>
        <v>0</v>
      </c>
      <c r="BS214" s="506">
        <f>0</f>
        <v>0</v>
      </c>
      <c r="BT214" s="506">
        <f>0</f>
        <v>0</v>
      </c>
      <c r="BU214" s="506">
        <f>0</f>
        <v>0</v>
      </c>
      <c r="BV214" s="506">
        <f>0</f>
        <v>0</v>
      </c>
      <c r="BW214" s="506">
        <f>0</f>
        <v>0</v>
      </c>
      <c r="BX214" s="506">
        <f>0</f>
        <v>0</v>
      </c>
      <c r="BY214" s="506">
        <f>0</f>
        <v>0</v>
      </c>
      <c r="BZ214" s="506">
        <f>0</f>
        <v>0</v>
      </c>
      <c r="CA214" s="506">
        <f>0</f>
        <v>0</v>
      </c>
      <c r="CB214" s="506">
        <f>0</f>
        <v>0</v>
      </c>
      <c r="CC214" s="506">
        <f>0</f>
        <v>0</v>
      </c>
      <c r="CD214" s="506">
        <f>0</f>
        <v>0</v>
      </c>
      <c r="CE214" s="506">
        <f>0</f>
        <v>0</v>
      </c>
      <c r="CF214" s="506">
        <f>0</f>
        <v>0</v>
      </c>
      <c r="CG214" s="506">
        <f>0</f>
        <v>0</v>
      </c>
      <c r="CH214" s="506">
        <f>0</f>
        <v>0</v>
      </c>
      <c r="CI214" s="506">
        <f>0</f>
        <v>0</v>
      </c>
      <c r="CJ214" s="506">
        <f>0</f>
        <v>0</v>
      </c>
      <c r="CK214" s="506">
        <f>0</f>
        <v>0</v>
      </c>
      <c r="CL214" s="506">
        <f>0</f>
        <v>0</v>
      </c>
      <c r="CM214" s="506">
        <f>0</f>
        <v>0</v>
      </c>
      <c r="CN214" s="506">
        <f>0</f>
        <v>0</v>
      </c>
      <c r="CO214" s="506">
        <f>0</f>
        <v>0</v>
      </c>
      <c r="CP214" s="2428">
        <f>0</f>
        <v>0</v>
      </c>
      <c r="CQ214" s="2428">
        <f>0</f>
        <v>0</v>
      </c>
      <c r="CR214" s="2428">
        <f>0</f>
        <v>0</v>
      </c>
      <c r="CS214" s="2428">
        <f>0</f>
        <v>0</v>
      </c>
      <c r="CT214" s="2492">
        <f>q_HYD_XBe_T*X_HET*(L_ogsatXHET_HYD_lim*M_RsatXBe_XHET_KHYD+L_oginhXHET_HYD_lim*M_satXBe_KXBe_HYD)*(M_satSO2_KO2_OHO+η_HYD_anox*(M_satSNO2_KNO2_OHO+M_satSNO3_KNO3_OHO*M_inhSNO2_KNO2_OHO)*M_inhSO2_KO2_OHO+η_HYD_ana*M_inhSNO3_KNO3_OHO*M_inhSNO2_KNO2_OHO*M_inhSO2_KO2_OHO)</f>
        <v>545.28960327722666</v>
      </c>
      <c r="CV214" s="2502">
        <f>E266*E214+F266*F214+G266*G214+H266*H214+I266*I214+J266*J214+K266*K214+L266*L214+M266*M214+N266*N214+O266*O214+P266*P214+Q266*Q214+R266*R214+S266*S214+T266*T214+U266*U214+V266*V214+W266*W214+X266*X214+Y266*Y214+Z266*Z214+AA266*AA214+AB266*AB214+AC266*AC214+AD266*AD214+AE266*AE214+AF266*AF214+AG266*AG214+AH266*AH214+AI266*AI214+AJ266*AJ214+AK266*AK214+AL266*AL214+AM266*AM214+AN266*AN214+AO266*AO214+AP266*AP214+AQ266*AQ214+AR266*AR214+AS266*AS214+AT266*AT214+AU266*AU214+AV266*AV214+AW266*AW214+AX266*AX214+AY266*AY214+AZ266*AZ214+BA266*BA214+BB266*BB214+BC266*BC214+BD266*BD214+BE266*BE214+BF266*BF214+BG266*BG214+BH266*BH214+BI266*BI214+BJ266*BJ214+BK266*BK214+BL266*BL214+BM266*BM214+BN266*BN214+BO266*BO214+BP266*BP214+BQ266*BQ214+BR266*BR214+BS266*BS214+BT266*BT214+BU266*BU214+BV266*BV214+BW266*BW214+BX266*BX214+BY266*BY214+BZ266*BZ214+CA266*CA214+CB266*CB214+CC266*CC214+CD266*CD214+CE266*CE214+CF266*CF214+CG266*CG214+CH266*CH214+CI266*CI214+CJ266*CJ214+CK266*CK214+CL266*CL214+CM266*CM214+CN266*CN214+CO266*CO214+CP266*CP214+CQ266*CQ214+CR266*CR214+CS266*CS214</f>
        <v>0</v>
      </c>
      <c r="CW214" s="2502">
        <f>E267*E214+F267*F214+G267*G214+H267*H214+I267*I214+J267*J214+K267*K214+L267*L214+M267*M214+N267*N214+O267*O214+P267*P214+Q267*Q214+R267*R214+S267*S214+T267*T214+U267*U214+V267*V214+W267*W214+X267*X214+Y267*Y214+Z267*Z214+AA267*AA214+AB267*AB214+AC267*AC214+AD267*AD214+AE267*AE214+AF267*AF214+AG267*AG214+AH267*AH214+AI267*AI214+AJ267*AJ214+AK267*AK214+AL267*AL214+AM267*AM214+AN267*AN214+AO267*AO214+AP267*AP214+AQ267*AQ214+AR267*AR214+AS267*AS214+AT267*AT214+AU267*AU214+AV267*AV214+AW267*AW214+AX267*AX214+AY267*AY214+AZ267*AZ214+BA267*BA214+BB267*BB214+BC267*BC214+BD267*BD214+BE267*BE214+BF267*BF214+BG267*BG214+BH267*BH214+BI267*BI214+BJ267*BJ214+BK267*BK214+BL267*BL214+BM267*BM214+BN267*BN214+BO267*BO214+BP267*BP214+BQ267*BQ214+BR267*BR214+BS267*BS214+BT267*BT214+BU267*BU214+BV267*BV214+BW267*BW214+BX267*BX214+BY267*BY214+BZ267*BZ214+CA267*CA214+CB267*CB214+CC267*CC214+CD267*CD214+CE267*CE214+CF267*CF214+CG267*CG214+CH267*CH214+CI267*CI214+CJ267*CJ214+CK267*CK214+CL267*CL214+CM267*CM214+CN267*CN214+CO267*CO214+CP267*CP214+CQ267*CQ214+CR267*CR214+CS267*CS214</f>
        <v>0</v>
      </c>
      <c r="CX214" s="2503">
        <f>E268*E214+F268*F214+G268*G214+H268*H214+I268*I214+J268*J214+K268*K214+L268*L214+M268*M214+N268*N214+O268*O214+P268*P214+Q268*Q214+R268*R214+S268*S214+T268*T214+U268*U214+V268*V214+W268*W214+X268*X214+Y268*Y214+Z268*Z214+AA268*AA214+AB268*AB214+AC268*AC214+AD268*AD214+AE268*AE214+AF268*AF214+AG268*AG214+AH268*AH214+AI268*AI214+AJ268*AJ214+AK268*AK214+AL268*AL214+AM268*AM214+AN268*AN214+AO268*AO214+AP268*AP214+AQ268*AQ214+AR268*AR214+AS268*AS214+AT268*AT214+AU268*AU214+AV268*AV214+AW268*AW214+AX268*AX214+AY268*AY214+AZ268*AZ214+BA268*BA214+BB268*BB214+BC268*BC214+BD268*BD214+BE268*BE214+BF268*BF214+BG268*BG214+BH268*BH214+BI268*BI214+BJ268*BJ214+BK268*BK214+BL268*BL214+BM268*BM214+BN268*BN214+BO268*BO214+BP268*BP214+BQ268*BQ214+BR268*BR214+BS268*BS214+BT268*BT214+BU268*BU214+BV268*BV214+BW268*BW214+BX268*BX214+BY268*BY214+BZ268*BZ214+CA268*CA214+CB268*CB214+CC268*CC214+CD268*CD214+CE268*CE214+CF268*CF214+CG268*CG214+CH268*CH214+CI268*CI214+CJ268*CJ214+CK268*CK214+CL268*CL214+CM268*CM214+CN268*CN214+CO268*CO214+CP268*CP214+CQ268*CQ214+CR268*CR214+CS268*CS214</f>
        <v>0</v>
      </c>
      <c r="CY214" s="2504">
        <f>E269*E214+F269*F214+G269*G214+H269*H214+I269*I214+J269*J214+K269*K214+L269*L214+M269*M214+N269*N214+O269*O214+P269*P214+Q269*Q214+R269*R214+S269*S214+T269*T214+U269*U214+V269*V214+W269*W214+X269*X214+Y269*Y214+Z269*Z214+AA269*AA214+AB269*AB214+AC269*AC214+AD269*AD214+AE269*AE214+AF269*AF214+AG269*AG214+AH269*AH214+AI269*AI214+AJ269*AJ214+AK269*AK214+AL269*AL214+AM269*AM214+AN269*AN214+AO269*AO214+AP269*AP214+AQ269*AQ214+AR269*AR214+AS269*AS214+AT269*AT214+AU269*AU214+AV269*AV214+AW269*AW214+AX269*AX214+AY269*AY214+AZ269*AZ214+BA269*BA214+BB269*BB214+BC269*BC214+BD269*BD214+BE269*BE214+BF269*BF214+BG269*BG214+BH269*BH214+BI269*BI214+BJ269*BJ214+BK269*BK214+BL269*BL214+BM269*BM214+BN269*BN214+BO269*BO214+BP269*BP214+BQ269*BQ214+BR269*BR214+BS269*BS214+BT269*BT214+BU269*BU214+BV269*BV214+BW269*BW214+BX269*BX214+BY269*BY214+BZ269*BZ214+CA269*CA214+CB269*CB214+CC269*CC214+CD269*CD214+CE269*CE214+CF269*CF214+CG269*CG214+CH269*CH214+CI269*CI214+CJ269*CJ214+CK269*CK214+CL269*CL214+CM269*CM214+CN269*CN214+CO269*CO214+CP269*CP214+CQ269*CQ214+CR269*CR214+CS269*CS214</f>
        <v>0</v>
      </c>
      <c r="CZ214" s="2504">
        <f>E270*E214+F270*F214+G270*G214+H270*H214+I270*I214+J270*J214+K270*K214+L270*L214+M270*M214+N270*N214+O270*O214+P270*P214+Q270*Q214+R270*R214+S270*S214+T270*T214+U270*U214+V270*V214+W270*W214+X270*X214+Y270*Y214+Z270*Z214+AA270*AA214+AB270*AB214+AC270*AC214+AD270*AD214+AE270*AE214+AF270*AF214+AG270*AG214+AH270*AH214+AI270*AI214+AJ270*AJ214+AK270*AK214+AL270*AL214+AM270*AM214+AN270*AN214+AO270*AO214+AP270*AP214+AQ270*AQ214+AR270*AR214+AS270*AS214+AT270*AT214+AU270*AU214+AV270*AV214+AW270*AW214+AX270*AX214+AY270*AY214+AZ270*AZ214+BA270*BA214+BB270*BB214+BC270*BC214+BD270*BD214+BE270*BE214+BF270*BF214+BG270*BG214+BH270*BH214+BI270*BI214+BJ270*BJ214+BK270*BK214+BL270*BL214+BM270*BM214+BN270*BN214+BO270*BO214+BP270*BP214+BQ270*BQ214+BR270*BR214+BS270*BS214+BT270*BT214+BU270*BU214+BV270*BV214+BW270*BW214+BX270*BX214+BY270*BY214+BZ270*BZ214+CA270*CA214+CB270*CB214+CC270*CC214+CD270*CD214+CE270*CE214+CF270*CF214+CG270*CG214+CH270*CH214+CI270*CI214+CJ270*CJ214+CK270*CK214+CL270*CL214+CM270*CM214+CN270*CN214+CO270*CO214+CP270*CP214+CQ270*CQ214+CR270*CR214+CS270*CS214</f>
        <v>0</v>
      </c>
      <c r="DA214" s="2504">
        <f>E271*E214+F271*F214+G271*G214+H271*H214+I271*I214+J271*J214+K271*K214+L271*L214+M271*M214+N271*N214+O271*O214+P271*P214+Q271*Q214+R271*R214+S271*S214+T271*T214+U271*U214+V271*V214+W271*W214+X271*X214+Y271*Y214+Z271*Z214+AA271*AA214+AB271*AB214+AC271*AC214+AD271*AD214+AE271*AE214+AF271*AF214+AG271*AG214+AH271*AH214+AI271*AI214+AJ271*AJ214+AK271*AK214+AL271*AL214+AM271*AM214+AN271*AN214+AO271*AO214+AP271*AP214+AQ271*AQ214+AR271*AR214+AS271*AS214+AT271*AT214+AU271*AU214+AV271*AV214+AW271*AW214+AX271*AX214+AY271*AY214+AZ271*AZ214+BA271*BA214+BB271*BB214+BC271*BC214+BD271*BD214+BE271*BE214+BF271*BF214+BG271*BG214+BH271*BH214+BI271*BI214+BJ271*BJ214+BK271*BK214+BL271*BL214+BM271*BM214+BN271*BN214+BO271*BO214+BP271*BP214+BQ271*BQ214+BR271*BR214+BS271*BS214+BT271*BT214+BU271*BU214+BV271*BV214+BW271*BW214+BX271*BX214+BY271*BY214+BZ271*BZ214+CA271*CA214+CB271*CB214+CC271*CC214+CD271*CD214+CE271*CE214+CF271*CF214+CG271*CG214+CH271*CH214+CI271*CI214+CJ271*CJ214+CK271*CK214+CL271*CL214+CM271*CM214+CN271*CN214+CO271*CO214+CP271*CP214+CQ271*CQ214+CR271*CR214+CS271*CS214</f>
        <v>0</v>
      </c>
      <c r="DB214" s="2504">
        <f>E272*E214+F272*F214+G272*G214+H272*H214+I272*I214+J272*J214+K272*K214+L272*L214+M272*M214+N272*N214+O272*O214+P272*P214+Q272*Q214+R272*R214+S272*S214+T272*T214+U272*U214+V272*V214+W272*W214+X272*X214+Y272*Y214+Z272*Z214+AA272*AA214+AB272*AB214+AC272*AC214+AD272*AD214+AE272*AE214+AF272*AF214+AG272*AG214+AH272*AH214+AI272*AI214+AJ272*AJ214+AK272*AK214+AL272*AL214+AM272*AM214+AN272*AN214+AO272*AO214+AP272*AP214+AQ272*AQ214+AR272*AR214+AS272*AS214+AT272*AT214+AU272*AU214+AV272*AV214+AW272*AW214+AX272*AX214+AY272*AY214+AZ272*AZ214+BA272*BA214+BB272*BB214+BC272*BC214+BD272*BD214+BE272*BE214+BF272*BF214+BG272*BG214+BH272*BH214+BI272*BI214+BJ272*BJ214+BK272*BK214+BL272*BL214+BM272*BM214+BN272*BN214+BO272*BO214+BP272*BP214+BQ272*BQ214+BR272*BR214+BS272*BS214+BT272*BT214+BU272*BU214+BV272*BV214+BW272*BW214+BX272*BX214+BY272*BY214+BZ272*BZ214+CA272*CA214+CB272*CB214+CC272*CC214+CD272*CD214+CE272*CE214+CF272*CF214+CG272*CG214+CH272*CH214+CI272*CI214+CJ272*CJ214+CK272*CK214+CL272*CL214+CM272*CM214+CN272*CN214+CO272*CO214+CP272*CP214+CQ272*CQ214+CR272*CR214+CS272*CS214</f>
        <v>0</v>
      </c>
      <c r="DC214" s="2504">
        <f>E273*E214+F273*F214+G273*G214+H273*H214+I273*I214+J273*J214+K273*K214+L273*L214+M273*M214+N273*N214+O273*O214+P273*P214+Q273*Q214+R273*R214+S273*S214+T273*T214+U273*U214+V273*V214+W273*W214+X273*X214+Y273*Y214+Z273*Z214+AA273*AA214+AB273*AB214+AC273*AC214+AD273*AD214+AE273*AE214+AF273*AF214+AG273*AG214+AH273*AH214+AI273*AI214+AJ273*AJ214+AK273*AK214+AL273*AL214+AM273*AM214+AN273*AN214+AO273*AO214+AP273*AP214+AQ273*AQ214+AR273*AR214+AS273*AS214+AT273*AT214+AU273*AU214+AV273*AV214+AW273*AW214+AX273*AX214+AY273*AY214+AZ273*AZ214+BA273*BA214+BB273*BB214+BC273*BC214+BD273*BD214+BE273*BE214+BF273*BF214+BG273*BG214+BH273*BH214+BI273*BI214+BJ273*BJ214+BK273*BK214+BL273*BL214+BM273*BM214+BN273*BN214+BO273*BO214+BP273*BP214+BQ273*BQ214+BR273*BR214+BS273*BS214+BT273*BT214+BU273*BU214+BV273*BV214+BW273*BW214+BX273*BX214+BY273*BY214+BZ273*BZ214+CA273*CA214+CB273*CB214+CC273*CC214+CD273*CD214+CE273*CE214+CF273*CF214+CG273*CG214+CH273*CH214+CI273*CI214+CJ273*CJ214+CK273*CK214+CL273*CL214+CM273*CM214+CN273*CN214+CO273*CO214+CP273*CP214+CQ273*CQ214+CR273*CR214+CS273*CS214</f>
        <v>0</v>
      </c>
      <c r="DD214" s="2504">
        <f>E274*E214+F274*F214+G274*G214+H274*H214+I274*I214+J274*J214+K274*K214+L274*L214+M274*M214+N274*N214+O274*O214+P274*P214+Q274*Q214+R274*R214+S274*S214+T274*T214+U274*U214+V274*V214+W274*W214+X274*X214+Y274*Y214+Z274*Z214+AA274*AA214+AB274*AB214+AC274*AC214+AD274*AD214+AE274*AE214+AF274*AF214+AG274*AG214+AH274*AH214+AI274*AI214+AJ274*AJ214+AK274*AK214+AL274*AL214+AM274*AM214+AN274*AN214+AO274*AO214+AP274*AP214+AQ274*AQ214+AR274*AR214+AS274*AS214+AT274*AT214+AU274*AU214+AV274*AV214+AW274*AW214+AX274*AX214+AY274*AY214+AZ274*AZ214+BA274*BA214+BB274*BB214+BC274*BC214+BD274*BD214+BE274*BE214+BF274*BF214+BG274*BG214+BH274*BH214+BI274*BI214+BJ274*BJ214+BK274*BK214+BL274*BL214+BM274*BM214+BN274*BN214+BO274*BO214+BP274*BP214+BQ274*BQ214+BR274*BR214+BS274*BS214+BT274*BT214+BU274*BU214+BV274*BV214+BW274*BW214+BX274*BX214+BY274*BY214+BZ274*BZ214+CA274*CA214+CB274*CB214+CC274*CC214+CD274*CD214+CE274*CE214+CF274*CF214+CG274*CG214+CH274*CH214+CI274*CI214+CJ274*CJ214+CK274*CK214+CL274*CL214+CM274*CM214+CN274*CN214+CO274*CO214+CP274*CP214+CQ274*CQ214+CR274*CR214+CS274*CS214</f>
        <v>0</v>
      </c>
      <c r="DE214" s="2504">
        <f>E275*E214+F275*F214+G275*G214+H275*H214+I275*I214+J275*J214+K275*K214+L275*L214+M275*M214+N275*N214+O275*O214+P275*P214+Q275*Q214+R275*R214+S275*S214+T275*T214+U275*U214+V275*V214+W275*W214+X275*X214+Y275*Y214+Z275*Z214+AA275*AA214+AB275*AB214+AC275*AC214+AD275*AD214+AE275*AE214+AF275*AF214+AG275*AG214+AH275*AH214+AI275*AI214+AJ275*AJ214+AK275*AK214+AL275*AL214+AM275*AM214+AN275*AN214+AO275*AO214+AP275*AP214+AQ275*AQ214+AR275*AR214+AS275*AS214+AT275*AT214+AU275*AU214+AV275*AV214+AW275*AW214+AX275*AX214+AY275*AY214+AZ275*AZ214+BA275*BA214+BB275*BB214+BC275*BC214+BD275*BD214+BE275*BE214+BF275*BF214+BG275*BG214+BH275*BH214+BI275*BI214+BJ275*BJ214+BK275*BK214+BL275*BL214+BM275*BM214+BN275*BN214+BO275*BO214+BP275*BP214+BQ275*BQ214+BR275*BR214+BS275*BS214+BT275*BT214+BU275*BU214+BV275*BV214+BW275*BW214+BX275*BX214+BY275*BY214+BZ275*BZ214+CA275*CA214+CB275*CB214+CC275*CC214+CD275*CD214+CE275*CE214+CF275*CF214+CG275*CG214+CH275*CH214+CI275*CI214+CJ275*CJ214+CK275*CK214+CL275*CL214+CM275*CM214+CN275*CN214+CO275*CO214+CP275*CP214+CQ275*CQ214+CR275*CR214+CS275*CS214</f>
        <v>0</v>
      </c>
      <c r="DF214" s="2504">
        <f>E276*E214+F276*F214+G276*G214+H276*H214+I276*I214+J276*J214+K276*K214+L276*L214+M276*M214+N276*N214+O276*O214+P276*P214+Q276*Q214+R276*R214+S276*S214+T276*T214+U276*U214+V276*V214+W276*W214+X276*X214+Y276*Y214+Z276*Z214+AA276*AA214+AB276*AB214+AC276*AC214+AD276*AD214+AE276*AE214+AF276*AF214+AG276*AG214+AH276*AH214+AI276*AI214+AJ276*AJ214+AK276*AK214+AL276*AL214+AM276*AM214+AN276*AN214+AO276*AO214+AP276*AP214+AQ276*AQ214+AR276*AR214+AS276*AS214+AT276*AT214+AU276*AU214+AV276*AV214+AW276*AW214+AX276*AX214+AY276*AY214+AZ276*AZ214+BA276*BA214+BB276*BB214+BC276*BC214+BD276*BD214+BE276*BE214+BF276*BF214+BG276*BG214+BH276*BH214+BI276*BI214+BJ276*BJ214+BK276*BK214+BL276*BL214+BM276*BM214+BN276*BN214+BO276*BO214+BP276*BP214+BQ276*BQ214+BR276*BR214+BS276*BS214+BT276*BT214+BU276*BU214+BV276*BV214+BW276*BW214+BX276*BX214+BY276*BY214+BZ276*BZ214+CA276*CA214+CB276*CB214+CC276*CC214+CD276*CD214+CE276*CE214+CF276*CF214+CG276*CG214+CH276*CH214+CI276*CI214+CJ276*CJ214+CK276*CK214+CL276*CL214+CM276*CM214+CN276*CN214+CO276*CO214+CP276*CP214+CQ276*CQ214+CR276*CR214+CS276*CS214</f>
        <v>0</v>
      </c>
    </row>
    <row r="215" spans="2:110" ht="18" x14ac:dyDescent="0.35">
      <c r="B215" s="1583">
        <v>73</v>
      </c>
      <c r="C215" s="551" t="s">
        <v>2822</v>
      </c>
      <c r="D215" s="552" t="s">
        <v>5394</v>
      </c>
      <c r="E215" s="506">
        <f>0</f>
        <v>0</v>
      </c>
      <c r="F215" s="506">
        <f>0</f>
        <v>0</v>
      </c>
      <c r="G215" s="506">
        <f>0</f>
        <v>0</v>
      </c>
      <c r="H215" s="506">
        <f>0</f>
        <v>0</v>
      </c>
      <c r="I215" s="506">
        <f>0</f>
        <v>0</v>
      </c>
      <c r="J215" s="506">
        <f>0</f>
        <v>0</v>
      </c>
      <c r="K215" s="506">
        <f>0</f>
        <v>0</v>
      </c>
      <c r="L215" s="506">
        <f>0</f>
        <v>0</v>
      </c>
      <c r="M215" s="506">
        <f>0</f>
        <v>0</v>
      </c>
      <c r="N215" s="506">
        <f>0</f>
        <v>0</v>
      </c>
      <c r="O215" s="506">
        <f>0</f>
        <v>0</v>
      </c>
      <c r="P215" s="506">
        <f>0</f>
        <v>0</v>
      </c>
      <c r="Q215" s="506">
        <f>0</f>
        <v>0</v>
      </c>
      <c r="R215" s="506">
        <f>0</f>
        <v>0</v>
      </c>
      <c r="S215" s="506">
        <f>0</f>
        <v>0</v>
      </c>
      <c r="T215" s="506">
        <f>0</f>
        <v>0</v>
      </c>
      <c r="U215" s="506">
        <f>0</f>
        <v>0</v>
      </c>
      <c r="V215" s="506">
        <f>0</f>
        <v>0</v>
      </c>
      <c r="W215" s="506">
        <f>0</f>
        <v>0</v>
      </c>
      <c r="X215" s="506">
        <f>0</f>
        <v>0</v>
      </c>
      <c r="Y215" s="506">
        <f>0</f>
        <v>0</v>
      </c>
      <c r="Z215" s="506">
        <f>0</f>
        <v>0</v>
      </c>
      <c r="AA215" s="506">
        <f>1</f>
        <v>1</v>
      </c>
      <c r="AB215" s="506">
        <f>0</f>
        <v>0</v>
      </c>
      <c r="AC215" s="506">
        <f>0</f>
        <v>0</v>
      </c>
      <c r="AD215" s="506">
        <f>0</f>
        <v>0</v>
      </c>
      <c r="AE215" s="506">
        <f>0</f>
        <v>0</v>
      </c>
      <c r="AF215" s="506">
        <f>0</f>
        <v>0</v>
      </c>
      <c r="AG215" s="506">
        <f>0</f>
        <v>0</v>
      </c>
      <c r="AH215" s="506">
        <f>0</f>
        <v>0</v>
      </c>
      <c r="AI215" s="506">
        <f>-1</f>
        <v>-1</v>
      </c>
      <c r="AJ215" s="506">
        <f>0</f>
        <v>0</v>
      </c>
      <c r="AK215" s="506">
        <f>0</f>
        <v>0</v>
      </c>
      <c r="AL215" s="506">
        <f>0</f>
        <v>0</v>
      </c>
      <c r="AM215" s="506">
        <f>0</f>
        <v>0</v>
      </c>
      <c r="AN215" s="506">
        <f>0</f>
        <v>0</v>
      </c>
      <c r="AO215" s="506">
        <f>0</f>
        <v>0</v>
      </c>
      <c r="AP215" s="506">
        <f>0</f>
        <v>0</v>
      </c>
      <c r="AQ215" s="506">
        <f>0</f>
        <v>0</v>
      </c>
      <c r="AR215" s="506">
        <f>0</f>
        <v>0</v>
      </c>
      <c r="AS215" s="506">
        <f>0</f>
        <v>0</v>
      </c>
      <c r="AT215" s="506">
        <f>0</f>
        <v>0</v>
      </c>
      <c r="AU215" s="506">
        <f>0</f>
        <v>0</v>
      </c>
      <c r="AV215" s="506">
        <f>0</f>
        <v>0</v>
      </c>
      <c r="AW215" s="506">
        <f>0</f>
        <v>0</v>
      </c>
      <c r="AX215" s="506">
        <f>0</f>
        <v>0</v>
      </c>
      <c r="AY215" s="506">
        <f>0</f>
        <v>0</v>
      </c>
      <c r="AZ215" s="506">
        <f>0</f>
        <v>0</v>
      </c>
      <c r="BA215" s="506">
        <f>0</f>
        <v>0</v>
      </c>
      <c r="BB215" s="506">
        <f>0</f>
        <v>0</v>
      </c>
      <c r="BC215" s="506">
        <f>0</f>
        <v>0</v>
      </c>
      <c r="BD215" s="506">
        <f>0</f>
        <v>0</v>
      </c>
      <c r="BE215" s="506">
        <f>0</f>
        <v>0</v>
      </c>
      <c r="BF215" s="506">
        <f>0</f>
        <v>0</v>
      </c>
      <c r="BG215" s="506">
        <f>0</f>
        <v>0</v>
      </c>
      <c r="BH215" s="506">
        <f>0</f>
        <v>0</v>
      </c>
      <c r="BI215" s="506">
        <f>0</f>
        <v>0</v>
      </c>
      <c r="BJ215" s="506">
        <f>0</f>
        <v>0</v>
      </c>
      <c r="BK215" s="506">
        <f>0</f>
        <v>0</v>
      </c>
      <c r="BL215" s="506">
        <f>0</f>
        <v>0</v>
      </c>
      <c r="BM215" s="506">
        <f>0</f>
        <v>0</v>
      </c>
      <c r="BN215" s="506">
        <f>0</f>
        <v>0</v>
      </c>
      <c r="BO215" s="506">
        <f>0</f>
        <v>0</v>
      </c>
      <c r="BP215" s="506">
        <f>0</f>
        <v>0</v>
      </c>
      <c r="BQ215" s="506">
        <f>0</f>
        <v>0</v>
      </c>
      <c r="BR215" s="506">
        <f>0</f>
        <v>0</v>
      </c>
      <c r="BS215" s="506">
        <f>0</f>
        <v>0</v>
      </c>
      <c r="BT215" s="506">
        <f>0</f>
        <v>0</v>
      </c>
      <c r="BU215" s="506">
        <f>0</f>
        <v>0</v>
      </c>
      <c r="BV215" s="506">
        <f>0</f>
        <v>0</v>
      </c>
      <c r="BW215" s="2367">
        <f>0</f>
        <v>0</v>
      </c>
      <c r="BX215" s="2367">
        <f>0</f>
        <v>0</v>
      </c>
      <c r="BY215" s="2367">
        <f>0</f>
        <v>0</v>
      </c>
      <c r="BZ215" s="2367">
        <f>0</f>
        <v>0</v>
      </c>
      <c r="CA215" s="506">
        <f>0</f>
        <v>0</v>
      </c>
      <c r="CB215" s="506">
        <f>0</f>
        <v>0</v>
      </c>
      <c r="CC215" s="506">
        <f>0</f>
        <v>0</v>
      </c>
      <c r="CD215" s="506">
        <f>0</f>
        <v>0</v>
      </c>
      <c r="CE215" s="506">
        <f>0</f>
        <v>0</v>
      </c>
      <c r="CF215" s="506">
        <f>0</f>
        <v>0</v>
      </c>
      <c r="CG215" s="506">
        <f>0</f>
        <v>0</v>
      </c>
      <c r="CH215" s="506">
        <f>0</f>
        <v>0</v>
      </c>
      <c r="CI215" s="506">
        <f>0</f>
        <v>0</v>
      </c>
      <c r="CJ215" s="506">
        <f>0</f>
        <v>0</v>
      </c>
      <c r="CK215" s="506">
        <f>0</f>
        <v>0</v>
      </c>
      <c r="CL215" s="506">
        <f>0</f>
        <v>0</v>
      </c>
      <c r="CM215" s="506">
        <f>0</f>
        <v>0</v>
      </c>
      <c r="CN215" s="506">
        <f>0</f>
        <v>0</v>
      </c>
      <c r="CO215" s="506">
        <f>0</f>
        <v>0</v>
      </c>
      <c r="CP215" s="506">
        <f>0</f>
        <v>0</v>
      </c>
      <c r="CQ215" s="506">
        <f>0</f>
        <v>0</v>
      </c>
      <c r="CR215" s="506">
        <f>0</f>
        <v>0</v>
      </c>
      <c r="CS215" s="506">
        <f>0</f>
        <v>0</v>
      </c>
      <c r="CT215" s="2491">
        <f>q_AMMON_T*S_N_B*X_HET</f>
        <v>25.0075</v>
      </c>
      <c r="CV215" s="2502">
        <f>E266*E215+F266*F215+G266*G215+H266*H215+I266*I215+J266*J215+K266*K215+L266*L215+M266*M215+N266*N215+O266*O215+P266*P215+Q266*Q215+R266*R215+S266*S215+T266*T215+U266*U215+V266*V215+W266*W215+X266*X215+Y266*Y215+Z266*Z215+AA266*AA215+AB266*AB215+AC266*AC215+AD266*AD215+AE266*AE215+AF266*AF215+AG266*AG215+AH266*AH215+AI266*AI215+AJ266*AJ215+AK266*AK215+AL266*AL215+AM266*AM215+AN266*AN215+AO266*AO215+AP266*AP215+AQ266*AQ215+AR266*AR215+AS266*AS215+AT266*AT215+AU266*AU215+AV266*AV215+AW266*AW215+AX266*AX215+AY266*AY215+AZ266*AZ215+BA266*BA215+BB266*BB215+BC266*BC215+BD266*BD215+BE266*BE215+BF266*BF215+BG266*BG215+BH266*BH215+BI266*BI215+BJ266*BJ215+BK266*BK215+BL266*BL215+BM266*BM215+BN266*BN215+BO266*BO215+BP266*BP215+BQ266*BQ215+BR266*BR215+BS266*BS215+BT266*BT215+BU266*BU215+BV266*BV215+BW266*BW215+BX266*BX215+BY266*BY215+BZ266*BZ215+CA266*CA215+CB266*CB215+CC266*CC215+CD266*CD215+CE266*CE215+CF266*CF215+CG266*CG215+CH266*CH215+CI266*CI215+CJ266*CJ215+CK266*CK215+CL266*CL215+CM266*CM215+CN266*CN215+CO266*CO215+CP266*CP215+CQ266*CQ215+CR266*CR215+CS266*CS215</f>
        <v>0</v>
      </c>
      <c r="CW215" s="2502">
        <f>E267*E215+F267*F215+G267*G215+H267*H215+I267*I215+J267*J215+K267*K215+L267*L215+M267*M215+N267*N215+O267*O215+P267*P215+Q267*Q215+R267*R215+S267*S215+T267*T215+U267*U215+V267*V215+W267*W215+X267*X215+Y267*Y215+Z267*Z215+AA267*AA215+AB267*AB215+AC267*AC215+AD267*AD215+AE267*AE215+AF267*AF215+AG267*AG215+AH267*AH215+AI267*AI215+AJ267*AJ215+AK267*AK215+AL267*AL215+AM267*AM215+AN267*AN215+AO267*AO215+AP267*AP215+AQ267*AQ215+AR267*AR215+AS267*AS215+AT267*AT215+AU267*AU215+AV267*AV215+AW267*AW215+AX267*AX215+AY267*AY215+AZ267*AZ215+BA267*BA215+BB267*BB215+BC267*BC215+BD267*BD215+BE267*BE215+BF267*BF215+BG267*BG215+BH267*BH215+BI267*BI215+BJ267*BJ215+BK267*BK215+BL267*BL215+BM267*BM215+BN267*BN215+BO267*BO215+BP267*BP215+BQ267*BQ215+BR267*BR215+BS267*BS215+BT267*BT215+BU267*BU215+BV267*BV215+BW267*BW215+BX267*BX215+BY267*BY215+BZ267*BZ215+CA267*CA215+CB267*CB215+CC267*CC215+CD267*CD215+CE267*CE215+CF267*CF215+CG267*CG215+CH267*CH215+CI267*CI215+CJ267*CJ215+CK267*CK215+CL267*CL215+CM267*CM215+CN267*CN215+CO267*CO215+CP267*CP215+CQ267*CQ215+CR267*CR215+CS267*CS215</f>
        <v>0</v>
      </c>
      <c r="CX215" s="2503">
        <f>E268*E215+F268*F215+G268*G215+H268*H215+I268*I215+J268*J215+K268*K215+L268*L215+M268*M215+N268*N215+O268*O215+P268*P215+Q268*Q215+R268*R215+S268*S215+T268*T215+U268*U215+V268*V215+W268*W215+X268*X215+Y268*Y215+Z268*Z215+AA268*AA215+AB268*AB215+AC268*AC215+AD268*AD215+AE268*AE215+AF268*AF215+AG268*AG215+AH268*AH215+AI268*AI215+AJ268*AJ215+AK268*AK215+AL268*AL215+AM268*AM215+AN268*AN215+AO268*AO215+AP268*AP215+AQ268*AQ215+AR268*AR215+AS268*AS215+AT268*AT215+AU268*AU215+AV268*AV215+AW268*AW215+AX268*AX215+AY268*AY215+AZ268*AZ215+BA268*BA215+BB268*BB215+BC268*BC215+BD268*BD215+BE268*BE215+BF268*BF215+BG268*BG215+BH268*BH215+BI268*BI215+BJ268*BJ215+BK268*BK215+BL268*BL215+BM268*BM215+BN268*BN215+BO268*BO215+BP268*BP215+BQ268*BQ215+BR268*BR215+BS268*BS215+BT268*BT215+BU268*BU215+BV268*BV215+BW268*BW215+BX268*BX215+BY268*BY215+BZ268*BZ215+CA268*CA215+CB268*CB215+CC268*CC215+CD268*CD215+CE268*CE215+CF268*CF215+CG268*CG215+CH268*CH215+CI268*CI215+CJ268*CJ215+CK268*CK215+CL268*CL215+CM268*CM215+CN268*CN215+CO268*CO215+CP268*CP215+CQ268*CQ215+CR268*CR215+CS268*CS215</f>
        <v>0</v>
      </c>
      <c r="CY215" s="2504">
        <f>E269*E215+F269*F215+G269*G215+H269*H215+I269*I215+J269*J215+K269*K215+L269*L215+M269*M215+N269*N215+O269*O215+P269*P215+Q269*Q215+R269*R215+S269*S215+T269*T215+U269*U215+V269*V215+W269*W215+X269*X215+Y269*Y215+Z269*Z215+AA269*AA215+AB269*AB215+AC269*AC215+AD269*AD215+AE269*AE215+AF269*AF215+AG269*AG215+AH269*AH215+AI269*AI215+AJ269*AJ215+AK269*AK215+AL269*AL215+AM269*AM215+AN269*AN215+AO269*AO215+AP269*AP215+AQ269*AQ215+AR269*AR215+AS269*AS215+AT269*AT215+AU269*AU215+AV269*AV215+AW269*AW215+AX269*AX215+AY269*AY215+AZ269*AZ215+BA269*BA215+BB269*BB215+BC269*BC215+BD269*BD215+BE269*BE215+BF269*BF215+BG269*BG215+BH269*BH215+BI269*BI215+BJ269*BJ215+BK269*BK215+BL269*BL215+BM269*BM215+BN269*BN215+BO269*BO215+BP269*BP215+BQ269*BQ215+BR269*BR215+BS269*BS215+BT269*BT215+BU269*BU215+BV269*BV215+BW269*BW215+BX269*BX215+BY269*BY215+BZ269*BZ215+CA269*CA215+CB269*CB215+CC269*CC215+CD269*CD215+CE269*CE215+CF269*CF215+CG269*CG215+CH269*CH215+CI269*CI215+CJ269*CJ215+CK269*CK215+CL269*CL215+CM269*CM215+CN269*CN215+CO269*CO215+CP269*CP215+CQ269*CQ215+CR269*CR215+CS269*CS215</f>
        <v>0</v>
      </c>
      <c r="CZ215" s="2504">
        <f>E270*E215+F270*F215+G270*G215+H270*H215+I270*I215+J270*J215+K270*K215+L270*L215+M270*M215+N270*N215+O270*O215+P270*P215+Q270*Q215+R270*R215+S270*S215+T270*T215+U270*U215+V270*V215+W270*W215+X270*X215+Y270*Y215+Z270*Z215+AA270*AA215+AB270*AB215+AC270*AC215+AD270*AD215+AE270*AE215+AF270*AF215+AG270*AG215+AH270*AH215+AI270*AI215+AJ270*AJ215+AK270*AK215+AL270*AL215+AM270*AM215+AN270*AN215+AO270*AO215+AP270*AP215+AQ270*AQ215+AR270*AR215+AS270*AS215+AT270*AT215+AU270*AU215+AV270*AV215+AW270*AW215+AX270*AX215+AY270*AY215+AZ270*AZ215+BA270*BA215+BB270*BB215+BC270*BC215+BD270*BD215+BE270*BE215+BF270*BF215+BG270*BG215+BH270*BH215+BI270*BI215+BJ270*BJ215+BK270*BK215+BL270*BL215+BM270*BM215+BN270*BN215+BO270*BO215+BP270*BP215+BQ270*BQ215+BR270*BR215+BS270*BS215+BT270*BT215+BU270*BU215+BV270*BV215+BW270*BW215+BX270*BX215+BY270*BY215+BZ270*BZ215+CA270*CA215+CB270*CB215+CC270*CC215+CD270*CD215+CE270*CE215+CF270*CF215+CG270*CG215+CH270*CH215+CI270*CI215+CJ270*CJ215+CK270*CK215+CL270*CL215+CM270*CM215+CN270*CN215+CO270*CO215+CP270*CP215+CQ270*CQ215+CR270*CR215+CS270*CS215</f>
        <v>0</v>
      </c>
      <c r="DA215" s="2504">
        <f>E271*E215+F271*F215+G271*G215+H271*H215+I271*I215+J271*J215+K271*K215+L271*L215+M271*M215+N271*N215+O271*O215+P271*P215+Q271*Q215+R271*R215+S271*S215+T271*T215+U271*U215+V271*V215+W271*W215+X271*X215+Y271*Y215+Z271*Z215+AA271*AA215+AB271*AB215+AC271*AC215+AD271*AD215+AE271*AE215+AF271*AF215+AG271*AG215+AH271*AH215+AI271*AI215+AJ271*AJ215+AK271*AK215+AL271*AL215+AM271*AM215+AN271*AN215+AO271*AO215+AP271*AP215+AQ271*AQ215+AR271*AR215+AS271*AS215+AT271*AT215+AU271*AU215+AV271*AV215+AW271*AW215+AX271*AX215+AY271*AY215+AZ271*AZ215+BA271*BA215+BB271*BB215+BC271*BC215+BD271*BD215+BE271*BE215+BF271*BF215+BG271*BG215+BH271*BH215+BI271*BI215+BJ271*BJ215+BK271*BK215+BL271*BL215+BM271*BM215+BN271*BN215+BO271*BO215+BP271*BP215+BQ271*BQ215+BR271*BR215+BS271*BS215+BT271*BT215+BU271*BU215+BV271*BV215+BW271*BW215+BX271*BX215+BY271*BY215+BZ271*BZ215+CA271*CA215+CB271*CB215+CC271*CC215+CD271*CD215+CE271*CE215+CF271*CF215+CG271*CG215+CH271*CH215+CI271*CI215+CJ271*CJ215+CK271*CK215+CL271*CL215+CM271*CM215+CN271*CN215+CO271*CO215+CP271*CP215+CQ271*CQ215+CR271*CR215+CS271*CS215</f>
        <v>0</v>
      </c>
      <c r="DB215" s="2504">
        <f>E272*E215+F272*F215+G272*G215+H272*H215+I272*I215+J272*J215+K272*K215+L272*L215+M272*M215+N272*N215+O272*O215+P272*P215+Q272*Q215+R272*R215+S272*S215+T272*T215+U272*U215+V272*V215+W272*W215+X272*X215+Y272*Y215+Z272*Z215+AA272*AA215+AB272*AB215+AC272*AC215+AD272*AD215+AE272*AE215+AF272*AF215+AG272*AG215+AH272*AH215+AI272*AI215+AJ272*AJ215+AK272*AK215+AL272*AL215+AM272*AM215+AN272*AN215+AO272*AO215+AP272*AP215+AQ272*AQ215+AR272*AR215+AS272*AS215+AT272*AT215+AU272*AU215+AV272*AV215+AW272*AW215+AX272*AX215+AY272*AY215+AZ272*AZ215+BA272*BA215+BB272*BB215+BC272*BC215+BD272*BD215+BE272*BE215+BF272*BF215+BG272*BG215+BH272*BH215+BI272*BI215+BJ272*BJ215+BK272*BK215+BL272*BL215+BM272*BM215+BN272*BN215+BO272*BO215+BP272*BP215+BQ272*BQ215+BR272*BR215+BS272*BS215+BT272*BT215+BU272*BU215+BV272*BV215+BW272*BW215+BX272*BX215+BY272*BY215+BZ272*BZ215+CA272*CA215+CB272*CB215+CC272*CC215+CD272*CD215+CE272*CE215+CF272*CF215+CG272*CG215+CH272*CH215+CI272*CI215+CJ272*CJ215+CK272*CK215+CL272*CL215+CM272*CM215+CN272*CN215+CO272*CO215+CP272*CP215+CQ272*CQ215+CR272*CR215+CS272*CS215</f>
        <v>0</v>
      </c>
      <c r="DC215" s="2504">
        <f>E273*E215+F273*F215+G273*G215+H273*H215+I273*I215+J273*J215+K273*K215+L273*L215+M273*M215+N273*N215+O273*O215+P273*P215+Q273*Q215+R273*R215+S273*S215+T273*T215+U273*U215+V273*V215+W273*W215+X273*X215+Y273*Y215+Z273*Z215+AA273*AA215+AB273*AB215+AC273*AC215+AD273*AD215+AE273*AE215+AF273*AF215+AG273*AG215+AH273*AH215+AI273*AI215+AJ273*AJ215+AK273*AK215+AL273*AL215+AM273*AM215+AN273*AN215+AO273*AO215+AP273*AP215+AQ273*AQ215+AR273*AR215+AS273*AS215+AT273*AT215+AU273*AU215+AV273*AV215+AW273*AW215+AX273*AX215+AY273*AY215+AZ273*AZ215+BA273*BA215+BB273*BB215+BC273*BC215+BD273*BD215+BE273*BE215+BF273*BF215+BG273*BG215+BH273*BH215+BI273*BI215+BJ273*BJ215+BK273*BK215+BL273*BL215+BM273*BM215+BN273*BN215+BO273*BO215+BP273*BP215+BQ273*BQ215+BR273*BR215+BS273*BS215+BT273*BT215+BU273*BU215+BV273*BV215+BW273*BW215+BX273*BX215+BY273*BY215+BZ273*BZ215+CA273*CA215+CB273*CB215+CC273*CC215+CD273*CD215+CE273*CE215+CF273*CF215+CG273*CG215+CH273*CH215+CI273*CI215+CJ273*CJ215+CK273*CK215+CL273*CL215+CM273*CM215+CN273*CN215+CO273*CO215+CP273*CP215+CQ273*CQ215+CR273*CR215+CS273*CS215</f>
        <v>0</v>
      </c>
      <c r="DD215" s="2504">
        <f>E274*E215+F274*F215+G274*G215+H274*H215+I274*I215+J274*J215+K274*K215+L274*L215+M274*M215+N274*N215+O274*O215+P274*P215+Q274*Q215+R274*R215+S274*S215+T274*T215+U274*U215+V274*V215+W274*W215+X274*X215+Y274*Y215+Z274*Z215+AA274*AA215+AB274*AB215+AC274*AC215+AD274*AD215+AE274*AE215+AF274*AF215+AG274*AG215+AH274*AH215+AI274*AI215+AJ274*AJ215+AK274*AK215+AL274*AL215+AM274*AM215+AN274*AN215+AO274*AO215+AP274*AP215+AQ274*AQ215+AR274*AR215+AS274*AS215+AT274*AT215+AU274*AU215+AV274*AV215+AW274*AW215+AX274*AX215+AY274*AY215+AZ274*AZ215+BA274*BA215+BB274*BB215+BC274*BC215+BD274*BD215+BE274*BE215+BF274*BF215+BG274*BG215+BH274*BH215+BI274*BI215+BJ274*BJ215+BK274*BK215+BL274*BL215+BM274*BM215+BN274*BN215+BO274*BO215+BP274*BP215+BQ274*BQ215+BR274*BR215+BS274*BS215+BT274*BT215+BU274*BU215+BV274*BV215+BW274*BW215+BX274*BX215+BY274*BY215+BZ274*BZ215+CA274*CA215+CB274*CB215+CC274*CC215+CD274*CD215+CE274*CE215+CF274*CF215+CG274*CG215+CH274*CH215+CI274*CI215+CJ274*CJ215+CK274*CK215+CL274*CL215+CM274*CM215+CN274*CN215+CO274*CO215+CP274*CP215+CQ274*CQ215+CR274*CR215+CS274*CS215</f>
        <v>0</v>
      </c>
      <c r="DE215" s="2504">
        <f>E275*E215+F275*F215+G275*G215+H275*H215+I275*I215+J275*J215+K275*K215+L275*L215+M275*M215+N275*N215+O275*O215+P275*P215+Q275*Q215+R275*R215+S275*S215+T275*T215+U275*U215+V275*V215+W275*W215+X275*X215+Y275*Y215+Z275*Z215+AA275*AA215+AB275*AB215+AC275*AC215+AD275*AD215+AE275*AE215+AF275*AF215+AG275*AG215+AH275*AH215+AI275*AI215+AJ275*AJ215+AK275*AK215+AL275*AL215+AM275*AM215+AN275*AN215+AO275*AO215+AP275*AP215+AQ275*AQ215+AR275*AR215+AS275*AS215+AT275*AT215+AU275*AU215+AV275*AV215+AW275*AW215+AX275*AX215+AY275*AY215+AZ275*AZ215+BA275*BA215+BB275*BB215+BC275*BC215+BD275*BD215+BE275*BE215+BF275*BF215+BG275*BG215+BH275*BH215+BI275*BI215+BJ275*BJ215+BK275*BK215+BL275*BL215+BM275*BM215+BN275*BN215+BO275*BO215+BP275*BP215+BQ275*BQ215+BR275*BR215+BS275*BS215+BT275*BT215+BU275*BU215+BV275*BV215+BW275*BW215+BX275*BX215+BY275*BY215+BZ275*BZ215+CA275*CA215+CB275*CB215+CC275*CC215+CD275*CD215+CE275*CE215+CF275*CF215+CG275*CG215+CH275*CH215+CI275*CI215+CJ275*CJ215+CK275*CK215+CL275*CL215+CM275*CM215+CN275*CN215+CO275*CO215+CP275*CP215+CQ275*CQ215+CR275*CR215+CS275*CS215</f>
        <v>0</v>
      </c>
      <c r="DF215" s="2504">
        <f>E276*E215+F276*F215+G276*G215+H276*H215+I276*I215+J276*J215+K276*K215+L276*L215+M276*M215+N276*N215+O276*O215+P276*P215+Q276*Q215+R276*R215+S276*S215+T276*T215+U276*U215+V276*V215+W276*W215+X276*X215+Y276*Y215+Z276*Z215+AA276*AA215+AB276*AB215+AC276*AC215+AD276*AD215+AE276*AE215+AF276*AF215+AG276*AG215+AH276*AH215+AI276*AI215+AJ276*AJ215+AK276*AK215+AL276*AL215+AM276*AM215+AN276*AN215+AO276*AO215+AP276*AP215+AQ276*AQ215+AR276*AR215+AS276*AS215+AT276*AT215+AU276*AU215+AV276*AV215+AW276*AW215+AX276*AX215+AY276*AY215+AZ276*AZ215+BA276*BA215+BB276*BB215+BC276*BC215+BD276*BD215+BE276*BE215+BF276*BF215+BG276*BG215+BH276*BH215+BI276*BI215+BJ276*BJ215+BK276*BK215+BL276*BL215+BM276*BM215+BN276*BN215+BO276*BO215+BP276*BP215+BQ276*BQ215+BR276*BR215+BS276*BS215+BT276*BT215+BU276*BU215+BV276*BV215+BW276*BW215+BX276*BX215+BY276*BY215+BZ276*BZ215+CA276*CA215+CB276*CB215+CC276*CC215+CD276*CD215+CE276*CE215+CF276*CF215+CG276*CG215+CH276*CH215+CI276*CI215+CJ276*CJ215+CK276*CK215+CL276*CL215+CM276*CM215+CN276*CN215+CO276*CO215+CP276*CP215+CQ276*CQ215+CR276*CR215+CS276*CS215</f>
        <v>0</v>
      </c>
    </row>
    <row r="216" spans="2:110" ht="18" x14ac:dyDescent="0.35">
      <c r="B216" s="1583">
        <v>74</v>
      </c>
      <c r="C216" s="551" t="s">
        <v>2823</v>
      </c>
      <c r="D216" s="552" t="s">
        <v>1682</v>
      </c>
      <c r="E216" s="506">
        <f>0</f>
        <v>0</v>
      </c>
      <c r="F216" s="506">
        <f>0</f>
        <v>0</v>
      </c>
      <c r="G216" s="506">
        <f>0</f>
        <v>0</v>
      </c>
      <c r="H216" s="506">
        <f>0</f>
        <v>0</v>
      </c>
      <c r="I216" s="506">
        <f>0</f>
        <v>0</v>
      </c>
      <c r="J216" s="506">
        <f>0</f>
        <v>0</v>
      </c>
      <c r="K216" s="506">
        <f>0</f>
        <v>0</v>
      </c>
      <c r="L216" s="506">
        <f>0</f>
        <v>0</v>
      </c>
      <c r="M216" s="506">
        <f>0</f>
        <v>0</v>
      </c>
      <c r="N216" s="506">
        <f>0</f>
        <v>0</v>
      </c>
      <c r="O216" s="506">
        <f>0</f>
        <v>0</v>
      </c>
      <c r="P216" s="506">
        <f>0</f>
        <v>0</v>
      </c>
      <c r="Q216" s="506">
        <f>0</f>
        <v>0</v>
      </c>
      <c r="R216" s="506">
        <f>0</f>
        <v>0</v>
      </c>
      <c r="S216" s="506">
        <f>0</f>
        <v>0</v>
      </c>
      <c r="T216" s="506">
        <f>0</f>
        <v>0</v>
      </c>
      <c r="U216" s="506">
        <f>0</f>
        <v>0</v>
      </c>
      <c r="V216" s="506">
        <f>0</f>
        <v>0</v>
      </c>
      <c r="W216" s="506">
        <f>0</f>
        <v>0</v>
      </c>
      <c r="X216" s="506">
        <f>0</f>
        <v>0</v>
      </c>
      <c r="Y216" s="506">
        <f>0</f>
        <v>0</v>
      </c>
      <c r="Z216" s="506">
        <f>0</f>
        <v>0</v>
      </c>
      <c r="AA216" s="506">
        <f>0</f>
        <v>0</v>
      </c>
      <c r="AB216" s="506">
        <f>0</f>
        <v>0</v>
      </c>
      <c r="AC216" s="506">
        <f>0</f>
        <v>0</v>
      </c>
      <c r="AD216" s="506">
        <f>0</f>
        <v>0</v>
      </c>
      <c r="AE216" s="506">
        <f>0</f>
        <v>0</v>
      </c>
      <c r="AF216" s="506">
        <f>0</f>
        <v>0</v>
      </c>
      <c r="AG216" s="506">
        <f>0</f>
        <v>0</v>
      </c>
      <c r="AH216" s="506">
        <f>0</f>
        <v>0</v>
      </c>
      <c r="AI216" s="506">
        <f>0</f>
        <v>0</v>
      </c>
      <c r="AJ216" s="506">
        <f>0</f>
        <v>0</v>
      </c>
      <c r="AK216" s="506">
        <f>0</f>
        <v>0</v>
      </c>
      <c r="AL216" s="506">
        <f>0</f>
        <v>0</v>
      </c>
      <c r="AM216" s="506">
        <f>1</f>
        <v>1</v>
      </c>
      <c r="AN216" s="506">
        <f>0</f>
        <v>0</v>
      </c>
      <c r="AO216" s="506">
        <f>-1</f>
        <v>-1</v>
      </c>
      <c r="AP216" s="506">
        <f>0</f>
        <v>0</v>
      </c>
      <c r="AQ216" s="506">
        <f>0</f>
        <v>0</v>
      </c>
      <c r="AR216" s="506">
        <f>0</f>
        <v>0</v>
      </c>
      <c r="AS216" s="506">
        <f>0</f>
        <v>0</v>
      </c>
      <c r="AT216" s="506">
        <f>0</f>
        <v>0</v>
      </c>
      <c r="AU216" s="506">
        <f>0</f>
        <v>0</v>
      </c>
      <c r="AV216" s="506">
        <f>0</f>
        <v>0</v>
      </c>
      <c r="AW216" s="506">
        <f>0</f>
        <v>0</v>
      </c>
      <c r="AX216" s="506">
        <f>0</f>
        <v>0</v>
      </c>
      <c r="AY216" s="506">
        <f>0</f>
        <v>0</v>
      </c>
      <c r="AZ216" s="506">
        <f>0</f>
        <v>0</v>
      </c>
      <c r="BA216" s="506">
        <f>0</f>
        <v>0</v>
      </c>
      <c r="BB216" s="506">
        <f>0</f>
        <v>0</v>
      </c>
      <c r="BC216" s="506">
        <f>0</f>
        <v>0</v>
      </c>
      <c r="BD216" s="506">
        <f>0</f>
        <v>0</v>
      </c>
      <c r="BE216" s="506">
        <f>0</f>
        <v>0</v>
      </c>
      <c r="BF216" s="506">
        <f>0</f>
        <v>0</v>
      </c>
      <c r="BG216" s="506">
        <f>0</f>
        <v>0</v>
      </c>
      <c r="BH216" s="506">
        <f>0</f>
        <v>0</v>
      </c>
      <c r="BI216" s="506">
        <f>0</f>
        <v>0</v>
      </c>
      <c r="BJ216" s="506">
        <f>0</f>
        <v>0</v>
      </c>
      <c r="BK216" s="506">
        <f>0</f>
        <v>0</v>
      </c>
      <c r="BL216" s="506">
        <f>0</f>
        <v>0</v>
      </c>
      <c r="BM216" s="506">
        <f>0</f>
        <v>0</v>
      </c>
      <c r="BN216" s="506">
        <f>0</f>
        <v>0</v>
      </c>
      <c r="BO216" s="506">
        <f>0</f>
        <v>0</v>
      </c>
      <c r="BP216" s="506">
        <f>0</f>
        <v>0</v>
      </c>
      <c r="BQ216" s="506">
        <f>0</f>
        <v>0</v>
      </c>
      <c r="BR216" s="506">
        <f>0</f>
        <v>0</v>
      </c>
      <c r="BS216" s="506">
        <f>0</f>
        <v>0</v>
      </c>
      <c r="BT216" s="506">
        <f>0</f>
        <v>0</v>
      </c>
      <c r="BU216" s="506">
        <f>0</f>
        <v>0</v>
      </c>
      <c r="BV216" s="506">
        <f>0</f>
        <v>0</v>
      </c>
      <c r="BW216" s="2367">
        <f>0</f>
        <v>0</v>
      </c>
      <c r="BX216" s="2367">
        <f>0</f>
        <v>0</v>
      </c>
      <c r="BY216" s="2367">
        <f>0</f>
        <v>0</v>
      </c>
      <c r="BZ216" s="2367">
        <f>0</f>
        <v>0</v>
      </c>
      <c r="CA216" s="506">
        <f>0</f>
        <v>0</v>
      </c>
      <c r="CB216" s="506">
        <f>0</f>
        <v>0</v>
      </c>
      <c r="CC216" s="506">
        <f>0</f>
        <v>0</v>
      </c>
      <c r="CD216" s="506">
        <f>0</f>
        <v>0</v>
      </c>
      <c r="CE216" s="506">
        <f>0</f>
        <v>0</v>
      </c>
      <c r="CF216" s="506">
        <f>0</f>
        <v>0</v>
      </c>
      <c r="CG216" s="506">
        <f>0</f>
        <v>0</v>
      </c>
      <c r="CH216" s="506">
        <f>0</f>
        <v>0</v>
      </c>
      <c r="CI216" s="506">
        <f>0</f>
        <v>0</v>
      </c>
      <c r="CJ216" s="506">
        <f>0</f>
        <v>0</v>
      </c>
      <c r="CK216" s="506">
        <f>0</f>
        <v>0</v>
      </c>
      <c r="CL216" s="506">
        <f>0</f>
        <v>0</v>
      </c>
      <c r="CM216" s="506">
        <f>0</f>
        <v>0</v>
      </c>
      <c r="CN216" s="506">
        <f>0</f>
        <v>0</v>
      </c>
      <c r="CO216" s="506">
        <f>0</f>
        <v>0</v>
      </c>
      <c r="CP216" s="506">
        <f>0</f>
        <v>0</v>
      </c>
      <c r="CQ216" s="506">
        <f>0</f>
        <v>0</v>
      </c>
      <c r="CR216" s="506">
        <f>0</f>
        <v>0</v>
      </c>
      <c r="CS216" s="506">
        <f>0</f>
        <v>0</v>
      </c>
      <c r="CT216" s="2491">
        <f>q_SPB_T*S_P_B*X_HET</f>
        <v>5.0015000000000001</v>
      </c>
      <c r="CV216" s="2502">
        <f>E266*E216+F266*F216+G266*G216+H266*H216+I266*I216+J266*J216+K266*K216+L266*L216+M266*M216+N266*N216+O266*O216+P266*P216+Q266*Q216+R266*R216+S266*S216+T266*T216+U266*U216+V266*V216+W266*W216+X266*X216+Y266*Y216+Z266*Z216+AA266*AA216+AB266*AB216+AC266*AC216+AD266*AD216+AE266*AE216+AF266*AF216+AG266*AG216+AH266*AH216+AI266*AI216+AJ266*AJ216+AK266*AK216+AL266*AL216+AM266*AM216+AN266*AN216+AO266*AO216+AP266*AP216+AQ266*AQ216+AR266*AR216+AS266*AS216+AT266*AT216+AU266*AU216+AV266*AV216+AW266*AW216+AX266*AX216+AY266*AY216+AZ266*AZ216+BA266*BA216+BB266*BB216+BC266*BC216+BD266*BD216+BE266*BE216+BF266*BF216+BG266*BG216+BH266*BH216+BI266*BI216+BJ266*BJ216+BK266*BK216+BL266*BL216+BM266*BM216+BN266*BN216+BO266*BO216+BP266*BP216+BQ266*BQ216+BR266*BR216+BS266*BS216+BT266*BT216+BU266*BU216+BV266*BV216+BW266*BW216+BX266*BX216+BY266*BY216+BZ266*BZ216+CA266*CA216+CB266*CB216+CC266*CC216+CD266*CD216+CE266*CE216+CF266*CF216+CG266*CG216+CH266*CH216+CI266*CI216+CJ266*CJ216+CK266*CK216+CL266*CL216+CM266*CM216+CN266*CN216+CO266*CO216+CP266*CP216+CQ266*CQ216+CR266*CR216+CS266*CS216</f>
        <v>0</v>
      </c>
      <c r="CW216" s="2502">
        <f>E267*E216+F267*F216+G267*G216+H267*H216+I267*I216+J267*J216+K267*K216+L267*L216+M267*M216+N267*N216+O267*O216+P267*P216+Q267*Q216+R267*R216+S267*S216+T267*T216+U267*U216+V267*V216+W267*W216+X267*X216+Y267*Y216+Z267*Z216+AA267*AA216+AB267*AB216+AC267*AC216+AD267*AD216+AE267*AE216+AF267*AF216+AG267*AG216+AH267*AH216+AI267*AI216+AJ267*AJ216+AK267*AK216+AL267*AL216+AM267*AM216+AN267*AN216+AO267*AO216+AP267*AP216+AQ267*AQ216+AR267*AR216+AS267*AS216+AT267*AT216+AU267*AU216+AV267*AV216+AW267*AW216+AX267*AX216+AY267*AY216+AZ267*AZ216+BA267*BA216+BB267*BB216+BC267*BC216+BD267*BD216+BE267*BE216+BF267*BF216+BG267*BG216+BH267*BH216+BI267*BI216+BJ267*BJ216+BK267*BK216+BL267*BL216+BM267*BM216+BN267*BN216+BO267*BO216+BP267*BP216+BQ267*BQ216+BR267*BR216+BS267*BS216+BT267*BT216+BU267*BU216+BV267*BV216+BW267*BW216+BX267*BX216+BY267*BY216+BZ267*BZ216+CA267*CA216+CB267*CB216+CC267*CC216+CD267*CD216+CE267*CE216+CF267*CF216+CG267*CG216+CH267*CH216+CI267*CI216+CJ267*CJ216+CK267*CK216+CL267*CL216+CM267*CM216+CN267*CN216+CO267*CO216+CP267*CP216+CQ267*CQ216+CR267*CR216+CS267*CS216</f>
        <v>0</v>
      </c>
      <c r="CX216" s="2503">
        <f>E268*E216+F268*F216+G268*G216+H268*H216+I268*I216+J268*J216+K268*K216+L268*L216+M268*M216+N268*N216+O268*O216+P268*P216+Q268*Q216+R268*R216+S268*S216+T268*T216+U268*U216+V268*V216+W268*W216+X268*X216+Y268*Y216+Z268*Z216+AA268*AA216+AB268*AB216+AC268*AC216+AD268*AD216+AE268*AE216+AF268*AF216+AG268*AG216+AH268*AH216+AI268*AI216+AJ268*AJ216+AK268*AK216+AL268*AL216+AM268*AM216+AN268*AN216+AO268*AO216+AP268*AP216+AQ268*AQ216+AR268*AR216+AS268*AS216+AT268*AT216+AU268*AU216+AV268*AV216+AW268*AW216+AX268*AX216+AY268*AY216+AZ268*AZ216+BA268*BA216+BB268*BB216+BC268*BC216+BD268*BD216+BE268*BE216+BF268*BF216+BG268*BG216+BH268*BH216+BI268*BI216+BJ268*BJ216+BK268*BK216+BL268*BL216+BM268*BM216+BN268*BN216+BO268*BO216+BP268*BP216+BQ268*BQ216+BR268*BR216+BS268*BS216+BT268*BT216+BU268*BU216+BV268*BV216+BW268*BW216+BX268*BX216+BY268*BY216+BZ268*BZ216+CA268*CA216+CB268*CB216+CC268*CC216+CD268*CD216+CE268*CE216+CF268*CF216+CG268*CG216+CH268*CH216+CI268*CI216+CJ268*CJ216+CK268*CK216+CL268*CL216+CM268*CM216+CN268*CN216+CO268*CO216+CP268*CP216+CQ268*CQ216+CR268*CR216+CS268*CS216</f>
        <v>0</v>
      </c>
      <c r="CY216" s="2504">
        <f>E269*E216+F269*F216+G269*G216+H269*H216+I269*I216+J269*J216+K269*K216+L269*L216+M269*M216+N269*N216+O269*O216+P269*P216+Q269*Q216+R269*R216+S269*S216+T269*T216+U269*U216+V269*V216+W269*W216+X269*X216+Y269*Y216+Z269*Z216+AA269*AA216+AB269*AB216+AC269*AC216+AD269*AD216+AE269*AE216+AF269*AF216+AG269*AG216+AH269*AH216+AI269*AI216+AJ269*AJ216+AK269*AK216+AL269*AL216+AM269*AM216+AN269*AN216+AO269*AO216+AP269*AP216+AQ269*AQ216+AR269*AR216+AS269*AS216+AT269*AT216+AU269*AU216+AV269*AV216+AW269*AW216+AX269*AX216+AY269*AY216+AZ269*AZ216+BA269*BA216+BB269*BB216+BC269*BC216+BD269*BD216+BE269*BE216+BF269*BF216+BG269*BG216+BH269*BH216+BI269*BI216+BJ269*BJ216+BK269*BK216+BL269*BL216+BM269*BM216+BN269*BN216+BO269*BO216+BP269*BP216+BQ269*BQ216+BR269*BR216+BS269*BS216+BT269*BT216+BU269*BU216+BV269*BV216+BW269*BW216+BX269*BX216+BY269*BY216+BZ269*BZ216+CA269*CA216+CB269*CB216+CC269*CC216+CD269*CD216+CE269*CE216+CF269*CF216+CG269*CG216+CH269*CH216+CI269*CI216+CJ269*CJ216+CK269*CK216+CL269*CL216+CM269*CM216+CN269*CN216+CO269*CO216+CP269*CP216+CQ269*CQ216+CR269*CR216+CS269*CS216</f>
        <v>0</v>
      </c>
      <c r="CZ216" s="2504">
        <f>E270*E216+F270*F216+G270*G216+H270*H216+I270*I216+J270*J216+K270*K216+L270*L216+M270*M216+N270*N216+O270*O216+P270*P216+Q270*Q216+R270*R216+S270*S216+T270*T216+U270*U216+V270*V216+W270*W216+X270*X216+Y270*Y216+Z270*Z216+AA270*AA216+AB270*AB216+AC270*AC216+AD270*AD216+AE270*AE216+AF270*AF216+AG270*AG216+AH270*AH216+AI270*AI216+AJ270*AJ216+AK270*AK216+AL270*AL216+AM270*AM216+AN270*AN216+AO270*AO216+AP270*AP216+AQ270*AQ216+AR270*AR216+AS270*AS216+AT270*AT216+AU270*AU216+AV270*AV216+AW270*AW216+AX270*AX216+AY270*AY216+AZ270*AZ216+BA270*BA216+BB270*BB216+BC270*BC216+BD270*BD216+BE270*BE216+BF270*BF216+BG270*BG216+BH270*BH216+BI270*BI216+BJ270*BJ216+BK270*BK216+BL270*BL216+BM270*BM216+BN270*BN216+BO270*BO216+BP270*BP216+BQ270*BQ216+BR270*BR216+BS270*BS216+BT270*BT216+BU270*BU216+BV270*BV216+BW270*BW216+BX270*BX216+BY270*BY216+BZ270*BZ216+CA270*CA216+CB270*CB216+CC270*CC216+CD270*CD216+CE270*CE216+CF270*CF216+CG270*CG216+CH270*CH216+CI270*CI216+CJ270*CJ216+CK270*CK216+CL270*CL216+CM270*CM216+CN270*CN216+CO270*CO216+CP270*CP216+CQ270*CQ216+CR270*CR216+CS270*CS216</f>
        <v>0</v>
      </c>
      <c r="DA216" s="2504">
        <f>E271*E216+F271*F216+G271*G216+H271*H216+I271*I216+J271*J216+K271*K216+L271*L216+M271*M216+N271*N216+O271*O216+P271*P216+Q271*Q216+R271*R216+S271*S216+T271*T216+U271*U216+V271*V216+W271*W216+X271*X216+Y271*Y216+Z271*Z216+AA271*AA216+AB271*AB216+AC271*AC216+AD271*AD216+AE271*AE216+AF271*AF216+AG271*AG216+AH271*AH216+AI271*AI216+AJ271*AJ216+AK271*AK216+AL271*AL216+AM271*AM216+AN271*AN216+AO271*AO216+AP271*AP216+AQ271*AQ216+AR271*AR216+AS271*AS216+AT271*AT216+AU271*AU216+AV271*AV216+AW271*AW216+AX271*AX216+AY271*AY216+AZ271*AZ216+BA271*BA216+BB271*BB216+BC271*BC216+BD271*BD216+BE271*BE216+BF271*BF216+BG271*BG216+BH271*BH216+BI271*BI216+BJ271*BJ216+BK271*BK216+BL271*BL216+BM271*BM216+BN271*BN216+BO271*BO216+BP271*BP216+BQ271*BQ216+BR271*BR216+BS271*BS216+BT271*BT216+BU271*BU216+BV271*BV216+BW271*BW216+BX271*BX216+BY271*BY216+BZ271*BZ216+CA271*CA216+CB271*CB216+CC271*CC216+CD271*CD216+CE271*CE216+CF271*CF216+CG271*CG216+CH271*CH216+CI271*CI216+CJ271*CJ216+CK271*CK216+CL271*CL216+CM271*CM216+CN271*CN216+CO271*CO216+CP271*CP216+CQ271*CQ216+CR271*CR216+CS271*CS216</f>
        <v>0</v>
      </c>
      <c r="DB216" s="2504">
        <f>E272*E216+F272*F216+G272*G216+H272*H216+I272*I216+J272*J216+K272*K216+L272*L216+M272*M216+N272*N216+O272*O216+P272*P216+Q272*Q216+R272*R216+S272*S216+T272*T216+U272*U216+V272*V216+W272*W216+X272*X216+Y272*Y216+Z272*Z216+AA272*AA216+AB272*AB216+AC272*AC216+AD272*AD216+AE272*AE216+AF272*AF216+AG272*AG216+AH272*AH216+AI272*AI216+AJ272*AJ216+AK272*AK216+AL272*AL216+AM272*AM216+AN272*AN216+AO272*AO216+AP272*AP216+AQ272*AQ216+AR272*AR216+AS272*AS216+AT272*AT216+AU272*AU216+AV272*AV216+AW272*AW216+AX272*AX216+AY272*AY216+AZ272*AZ216+BA272*BA216+BB272*BB216+BC272*BC216+BD272*BD216+BE272*BE216+BF272*BF216+BG272*BG216+BH272*BH216+BI272*BI216+BJ272*BJ216+BK272*BK216+BL272*BL216+BM272*BM216+BN272*BN216+BO272*BO216+BP272*BP216+BQ272*BQ216+BR272*BR216+BS272*BS216+BT272*BT216+BU272*BU216+BV272*BV216+BW272*BW216+BX272*BX216+BY272*BY216+BZ272*BZ216+CA272*CA216+CB272*CB216+CC272*CC216+CD272*CD216+CE272*CE216+CF272*CF216+CG272*CG216+CH272*CH216+CI272*CI216+CJ272*CJ216+CK272*CK216+CL272*CL216+CM272*CM216+CN272*CN216+CO272*CO216+CP272*CP216+CQ272*CQ216+CR272*CR216+CS272*CS216</f>
        <v>0</v>
      </c>
      <c r="DC216" s="2504">
        <f>E273*E216+F273*F216+G273*G216+H273*H216+I273*I216+J273*J216+K273*K216+L273*L216+M273*M216+N273*N216+O273*O216+P273*P216+Q273*Q216+R273*R216+S273*S216+T273*T216+U273*U216+V273*V216+W273*W216+X273*X216+Y273*Y216+Z273*Z216+AA273*AA216+AB273*AB216+AC273*AC216+AD273*AD216+AE273*AE216+AF273*AF216+AG273*AG216+AH273*AH216+AI273*AI216+AJ273*AJ216+AK273*AK216+AL273*AL216+AM273*AM216+AN273*AN216+AO273*AO216+AP273*AP216+AQ273*AQ216+AR273*AR216+AS273*AS216+AT273*AT216+AU273*AU216+AV273*AV216+AW273*AW216+AX273*AX216+AY273*AY216+AZ273*AZ216+BA273*BA216+BB273*BB216+BC273*BC216+BD273*BD216+BE273*BE216+BF273*BF216+BG273*BG216+BH273*BH216+BI273*BI216+BJ273*BJ216+BK273*BK216+BL273*BL216+BM273*BM216+BN273*BN216+BO273*BO216+BP273*BP216+BQ273*BQ216+BR273*BR216+BS273*BS216+BT273*BT216+BU273*BU216+BV273*BV216+BW273*BW216+BX273*BX216+BY273*BY216+BZ273*BZ216+CA273*CA216+CB273*CB216+CC273*CC216+CD273*CD216+CE273*CE216+CF273*CF216+CG273*CG216+CH273*CH216+CI273*CI216+CJ273*CJ216+CK273*CK216+CL273*CL216+CM273*CM216+CN273*CN216+CO273*CO216+CP273*CP216+CQ273*CQ216+CR273*CR216+CS273*CS216</f>
        <v>0</v>
      </c>
      <c r="DD216" s="2504">
        <f>E274*E216+F274*F216+G274*G216+H274*H216+I274*I216+J274*J216+K274*K216+L274*L216+M274*M216+N274*N216+O274*O216+P274*P216+Q274*Q216+R274*R216+S274*S216+T274*T216+U274*U216+V274*V216+W274*W216+X274*X216+Y274*Y216+Z274*Z216+AA274*AA216+AB274*AB216+AC274*AC216+AD274*AD216+AE274*AE216+AF274*AF216+AG274*AG216+AH274*AH216+AI274*AI216+AJ274*AJ216+AK274*AK216+AL274*AL216+AM274*AM216+AN274*AN216+AO274*AO216+AP274*AP216+AQ274*AQ216+AR274*AR216+AS274*AS216+AT274*AT216+AU274*AU216+AV274*AV216+AW274*AW216+AX274*AX216+AY274*AY216+AZ274*AZ216+BA274*BA216+BB274*BB216+BC274*BC216+BD274*BD216+BE274*BE216+BF274*BF216+BG274*BG216+BH274*BH216+BI274*BI216+BJ274*BJ216+BK274*BK216+BL274*BL216+BM274*BM216+BN274*BN216+BO274*BO216+BP274*BP216+BQ274*BQ216+BR274*BR216+BS274*BS216+BT274*BT216+BU274*BU216+BV274*BV216+BW274*BW216+BX274*BX216+BY274*BY216+BZ274*BZ216+CA274*CA216+CB274*CB216+CC274*CC216+CD274*CD216+CE274*CE216+CF274*CF216+CG274*CG216+CH274*CH216+CI274*CI216+CJ274*CJ216+CK274*CK216+CL274*CL216+CM274*CM216+CN274*CN216+CO274*CO216+CP274*CP216+CQ274*CQ216+CR274*CR216+CS274*CS216</f>
        <v>0</v>
      </c>
      <c r="DE216" s="2504">
        <f>E275*E216+F275*F216+G275*G216+H275*H216+I275*I216+J275*J216+K275*K216+L275*L216+M275*M216+N275*N216+O275*O216+P275*P216+Q275*Q216+R275*R216+S275*S216+T275*T216+U275*U216+V275*V216+W275*W216+X275*X216+Y275*Y216+Z275*Z216+AA275*AA216+AB275*AB216+AC275*AC216+AD275*AD216+AE275*AE216+AF275*AF216+AG275*AG216+AH275*AH216+AI275*AI216+AJ275*AJ216+AK275*AK216+AL275*AL216+AM275*AM216+AN275*AN216+AO275*AO216+AP275*AP216+AQ275*AQ216+AR275*AR216+AS275*AS216+AT275*AT216+AU275*AU216+AV275*AV216+AW275*AW216+AX275*AX216+AY275*AY216+AZ275*AZ216+BA275*BA216+BB275*BB216+BC275*BC216+BD275*BD216+BE275*BE216+BF275*BF216+BG275*BG216+BH275*BH216+BI275*BI216+BJ275*BJ216+BK275*BK216+BL275*BL216+BM275*BM216+BN275*BN216+BO275*BO216+BP275*BP216+BQ275*BQ216+BR275*BR216+BS275*BS216+BT275*BT216+BU275*BU216+BV275*BV216+BW275*BW216+BX275*BX216+BY275*BY216+BZ275*BZ216+CA275*CA216+CB275*CB216+CC275*CC216+CD275*CD216+CE275*CE216+CF275*CF216+CG275*CG216+CH275*CH216+CI275*CI216+CJ275*CJ216+CK275*CK216+CL275*CL216+CM275*CM216+CN275*CN216+CO275*CO216+CP275*CP216+CQ275*CQ216+CR275*CR216+CS275*CS216</f>
        <v>0</v>
      </c>
      <c r="DF216" s="2504">
        <f>E276*E216+F276*F216+G276*G216+H276*H216+I276*I216+J276*J216+K276*K216+L276*L216+M276*M216+N276*N216+O276*O216+P276*P216+Q276*Q216+R276*R216+S276*S216+T276*T216+U276*U216+V276*V216+W276*W216+X276*X216+Y276*Y216+Z276*Z216+AA276*AA216+AB276*AB216+AC276*AC216+AD276*AD216+AE276*AE216+AF276*AF216+AG276*AG216+AH276*AH216+AI276*AI216+AJ276*AJ216+AK276*AK216+AL276*AL216+AM276*AM216+AN276*AN216+AO276*AO216+AP276*AP216+AQ276*AQ216+AR276*AR216+AS276*AS216+AT276*AT216+AU276*AU216+AV276*AV216+AW276*AW216+AX276*AX216+AY276*AY216+AZ276*AZ216+BA276*BA216+BB276*BB216+BC276*BC216+BD276*BD216+BE276*BE216+BF276*BF216+BG276*BG216+BH276*BH216+BI276*BI216+BJ276*BJ216+BK276*BK216+BL276*BL216+BM276*BM216+BN276*BN216+BO276*BO216+BP276*BP216+BQ276*BQ216+BR276*BR216+BS276*BS216+BT276*BT216+BU276*BU216+BV276*BV216+BW276*BW216+BX276*BX216+BY276*BY216+BZ276*BZ216+CA276*CA216+CB276*CB216+CC276*CC216+CD276*CD216+CE276*CE216+CF276*CF216+CG276*CG216+CH276*CH216+CI276*CI216+CJ276*CJ216+CK276*CK216+CL276*CL216+CM276*CM216+CN276*CN216+CO276*CO216+CP276*CP216+CQ276*CQ216+CR276*CR216+CS276*CS216</f>
        <v>0</v>
      </c>
    </row>
    <row r="217" spans="2:110" ht="18" x14ac:dyDescent="0.35">
      <c r="B217" s="1583">
        <v>75</v>
      </c>
      <c r="C217" s="551" t="s">
        <v>2941</v>
      </c>
      <c r="D217" s="552" t="s">
        <v>5395</v>
      </c>
      <c r="E217" s="506">
        <f>0</f>
        <v>0</v>
      </c>
      <c r="F217" s="506">
        <f>0</f>
        <v>0</v>
      </c>
      <c r="G217" s="506">
        <f>0</f>
        <v>0</v>
      </c>
      <c r="H217" s="506">
        <f>0</f>
        <v>0</v>
      </c>
      <c r="I217" s="506">
        <f>1</f>
        <v>1</v>
      </c>
      <c r="J217" s="506">
        <f>0</f>
        <v>0</v>
      </c>
      <c r="K217" s="506">
        <f>0</f>
        <v>0</v>
      </c>
      <c r="L217" s="506">
        <f>0</f>
        <v>0</v>
      </c>
      <c r="M217" s="506">
        <f>0</f>
        <v>0</v>
      </c>
      <c r="N217" s="506">
        <f>0</f>
        <v>0</v>
      </c>
      <c r="O217" s="506">
        <f>0</f>
        <v>0</v>
      </c>
      <c r="P217" s="506">
        <f>-1</f>
        <v>-1</v>
      </c>
      <c r="Q217" s="506">
        <f>0</f>
        <v>0</v>
      </c>
      <c r="R217" s="506">
        <f>0</f>
        <v>0</v>
      </c>
      <c r="S217" s="506">
        <f>0</f>
        <v>0</v>
      </c>
      <c r="T217" s="506">
        <f>0</f>
        <v>0</v>
      </c>
      <c r="U217" s="506">
        <f>0</f>
        <v>0</v>
      </c>
      <c r="V217" s="506">
        <f>0</f>
        <v>0</v>
      </c>
      <c r="W217" s="506">
        <f>0</f>
        <v>0</v>
      </c>
      <c r="X217" s="506">
        <f>0</f>
        <v>0</v>
      </c>
      <c r="Y217" s="506">
        <f>0</f>
        <v>0</v>
      </c>
      <c r="Z217" s="506">
        <f>0</f>
        <v>0</v>
      </c>
      <c r="AA217" s="506">
        <f>0</f>
        <v>0</v>
      </c>
      <c r="AB217" s="506">
        <f>0</f>
        <v>0</v>
      </c>
      <c r="AC217" s="506">
        <f>0</f>
        <v>0</v>
      </c>
      <c r="AD217" s="506">
        <f>0</f>
        <v>0</v>
      </c>
      <c r="AE217" s="506">
        <f>0</f>
        <v>0</v>
      </c>
      <c r="AF217" s="506">
        <f>0</f>
        <v>0</v>
      </c>
      <c r="AG217" s="506">
        <f>0</f>
        <v>0</v>
      </c>
      <c r="AH217" s="506">
        <f>0</f>
        <v>0</v>
      </c>
      <c r="AI217" s="506">
        <f>0</f>
        <v>0</v>
      </c>
      <c r="AJ217" s="506">
        <f>i_N_XE</f>
        <v>0.06</v>
      </c>
      <c r="AK217" s="506">
        <f>0</f>
        <v>0</v>
      </c>
      <c r="AL217" s="506">
        <f>0</f>
        <v>0</v>
      </c>
      <c r="AM217" s="506">
        <f>0</f>
        <v>0</v>
      </c>
      <c r="AN217" s="506">
        <f>0</f>
        <v>0</v>
      </c>
      <c r="AO217" s="506">
        <f>0</f>
        <v>0</v>
      </c>
      <c r="AP217" s="506">
        <f>i_P_BIO</f>
        <v>0.02</v>
      </c>
      <c r="AQ217" s="506">
        <f>0</f>
        <v>0</v>
      </c>
      <c r="AR217" s="506">
        <f>0</f>
        <v>0</v>
      </c>
      <c r="AS217" s="506">
        <f>0</f>
        <v>0</v>
      </c>
      <c r="AT217" s="506">
        <f>0</f>
        <v>0</v>
      </c>
      <c r="AU217" s="506">
        <f>0</f>
        <v>0</v>
      </c>
      <c r="AV217" s="506">
        <f>i_CIT_BIO-i_CIT_SB</f>
        <v>6.6000000000000003E-2</v>
      </c>
      <c r="AW217" s="506">
        <f>0</f>
        <v>0</v>
      </c>
      <c r="AX217" s="506">
        <f>0</f>
        <v>0</v>
      </c>
      <c r="AY217" s="506">
        <f>0</f>
        <v>0</v>
      </c>
      <c r="AZ217" s="506">
        <f>0</f>
        <v>0</v>
      </c>
      <c r="BA217" s="506">
        <f>0</f>
        <v>0</v>
      </c>
      <c r="BB217" s="506">
        <f>0</f>
        <v>0</v>
      </c>
      <c r="BC217" s="506">
        <f>0</f>
        <v>0</v>
      </c>
      <c r="BD217" s="506">
        <f>0</f>
        <v>0</v>
      </c>
      <c r="BE217" s="506">
        <f>0</f>
        <v>0</v>
      </c>
      <c r="BF217" s="506">
        <f>0</f>
        <v>0</v>
      </c>
      <c r="BG217" s="506">
        <f>0</f>
        <v>0</v>
      </c>
      <c r="BH217" s="506">
        <f>0</f>
        <v>0</v>
      </c>
      <c r="BI217" s="506">
        <f>0</f>
        <v>0</v>
      </c>
      <c r="BJ217" s="506">
        <f>0</f>
        <v>0</v>
      </c>
      <c r="BK217" s="506">
        <f>0</f>
        <v>0</v>
      </c>
      <c r="BL217" s="506">
        <f>0</f>
        <v>0</v>
      </c>
      <c r="BM217" s="506">
        <f>0</f>
        <v>0</v>
      </c>
      <c r="BN217" s="506">
        <f>0</f>
        <v>0</v>
      </c>
      <c r="BO217" s="506">
        <f>0</f>
        <v>0</v>
      </c>
      <c r="BP217" s="506">
        <f>0</f>
        <v>0</v>
      </c>
      <c r="BQ217" s="506">
        <f>0</f>
        <v>0</v>
      </c>
      <c r="BR217" s="506">
        <f>0</f>
        <v>0</v>
      </c>
      <c r="BS217" s="506">
        <f>0</f>
        <v>0</v>
      </c>
      <c r="BT217" s="506">
        <f>0</f>
        <v>0</v>
      </c>
      <c r="BU217" s="506">
        <f>0</f>
        <v>0</v>
      </c>
      <c r="BV217" s="506">
        <f>0</f>
        <v>0</v>
      </c>
      <c r="BW217" s="2367">
        <f>0</f>
        <v>0</v>
      </c>
      <c r="BX217" s="2367">
        <f>0</f>
        <v>0</v>
      </c>
      <c r="BY217" s="2367">
        <f>0</f>
        <v>0</v>
      </c>
      <c r="BZ217" s="2367">
        <f>0</f>
        <v>0</v>
      </c>
      <c r="CA217" s="506">
        <f>0</f>
        <v>0</v>
      </c>
      <c r="CB217" s="506">
        <f>0</f>
        <v>0</v>
      </c>
      <c r="CC217" s="506">
        <f>0</f>
        <v>0</v>
      </c>
      <c r="CD217" s="506">
        <f>0</f>
        <v>0</v>
      </c>
      <c r="CE217" s="506">
        <f>0</f>
        <v>0</v>
      </c>
      <c r="CF217" s="506">
        <f>0</f>
        <v>0</v>
      </c>
      <c r="CG217" s="506">
        <f>0</f>
        <v>0</v>
      </c>
      <c r="CH217" s="506">
        <f>0</f>
        <v>0</v>
      </c>
      <c r="CI217" s="506">
        <f>0</f>
        <v>0</v>
      </c>
      <c r="CJ217" s="506">
        <f>0</f>
        <v>0</v>
      </c>
      <c r="CK217" s="506">
        <f>0</f>
        <v>0</v>
      </c>
      <c r="CL217" s="506">
        <f>0</f>
        <v>0</v>
      </c>
      <c r="CM217" s="506">
        <f>0</f>
        <v>0</v>
      </c>
      <c r="CN217" s="506">
        <f>0</f>
        <v>0</v>
      </c>
      <c r="CO217" s="506">
        <f>0</f>
        <v>0</v>
      </c>
      <c r="CP217" s="506">
        <f>0</f>
        <v>0</v>
      </c>
      <c r="CQ217" s="506">
        <f>0</f>
        <v>0</v>
      </c>
      <c r="CR217" s="506">
        <f>0</f>
        <v>0</v>
      </c>
      <c r="CS217" s="506">
        <f>0</f>
        <v>0</v>
      </c>
      <c r="CT217" s="2491">
        <f>q_XE_T*X_E</f>
        <v>2.1</v>
      </c>
      <c r="CV217" s="2502">
        <f>E266*E217+F266*F217+G266*G217+H266*H217+I266*I217+J266*J217+K266*K217+L266*L217+M266*M217+N266*N217+O266*O217+P266*P217+Q266*Q217+R266*R217+S266*S217+T266*T217+U266*U217+V266*V217+W266*W217+X266*X217+Y266*Y217+Z266*Z217+AA266*AA217+AB266*AB217+AC266*AC217+AD266*AD217+AE266*AE217+AF266*AF217+AG266*AG217+AH266*AH217+AI266*AI217+AJ266*AJ217+AK266*AK217+AL266*AL217+AM266*AM217+AN266*AN217+AO266*AO217+AP266*AP217+AQ266*AQ217+AR266*AR217+AS266*AS217+AT266*AT217+AU266*AU217+AV266*AV217+AW266*AW217+AX266*AX217+AY266*AY217+AZ266*AZ217+BA266*BA217+BB266*BB217+BC266*BC217+BD266*BD217+BE266*BE217+BF266*BF217+BG266*BG217+BH266*BH217+BI266*BI217+BJ266*BJ217+BK266*BK217+BL266*BL217+BM266*BM217+BN266*BN217+BO266*BO217+BP266*BP217+BQ266*BQ217+BR266*BR217+BS266*BS217+BT266*BT217+BU266*BU217+BV266*BV217+BW266*BW217+BX266*BX217+BY266*BY217+BZ266*BZ217+CA266*CA217+CB266*CB217+CC266*CC217+CD266*CD217+CE266*CE217+CF266*CF217+CG266*CG217+CH266*CH217+CI266*CI217+CJ266*CJ217+CK266*CK217+CL266*CL217+CM266*CM217+CN266*CN217+CO266*CO217+CP266*CP217+CQ266*CQ217+CR266*CR217+CS266*CS217</f>
        <v>0</v>
      </c>
      <c r="CW217" s="2502">
        <f>E267*E217+F267*F217+G267*G217+H267*H217+I267*I217+J267*J217+K267*K217+L267*L217+M267*M217+N267*N217+O267*O217+P267*P217+Q267*Q217+R267*R217+S267*S217+T267*T217+U267*U217+V267*V217+W267*W217+X267*X217+Y267*Y217+Z267*Z217+AA267*AA217+AB267*AB217+AC267*AC217+AD267*AD217+AE267*AE217+AF267*AF217+AG267*AG217+AH267*AH217+AI267*AI217+AJ267*AJ217+AK267*AK217+AL267*AL217+AM267*AM217+AN267*AN217+AO267*AO217+AP267*AP217+AQ267*AQ217+AR267*AR217+AS267*AS217+AT267*AT217+AU267*AU217+AV267*AV217+AW267*AW217+AX267*AX217+AY267*AY217+AZ267*AZ217+BA267*BA217+BB267*BB217+BC267*BC217+BD267*BD217+BE267*BE217+BF267*BF217+BG267*BG217+BH267*BH217+BI267*BI217+BJ267*BJ217+BK267*BK217+BL267*BL217+BM267*BM217+BN267*BN217+BO267*BO217+BP267*BP217+BQ267*BQ217+BR267*BR217+BS267*BS217+BT267*BT217+BU267*BU217+BV267*BV217+BW267*BW217+BX267*BX217+BY267*BY217+BZ267*BZ217+CA267*CA217+CB267*CB217+CC267*CC217+CD267*CD217+CE267*CE217+CF267*CF217+CG267*CG217+CH267*CH217+CI267*CI217+CJ267*CJ217+CK267*CK217+CL267*CL217+CM267*CM217+CN267*CN217+CO267*CO217+CP267*CP217+CQ267*CQ217+CR267*CR217+CS267*CS217</f>
        <v>0</v>
      </c>
      <c r="CX217" s="2503">
        <f>E268*E217+F268*F217+G268*G217+H268*H217+I268*I217+J268*J217+K268*K217+L268*L217+M268*M217+N268*N217+O268*O217+P268*P217+Q268*Q217+R268*R217+S268*S217+T268*T217+U268*U217+V268*V217+W268*W217+X268*X217+Y268*Y217+Z268*Z217+AA268*AA217+AB268*AB217+AC268*AC217+AD268*AD217+AE268*AE217+AF268*AF217+AG268*AG217+AH268*AH217+AI268*AI217+AJ268*AJ217+AK268*AK217+AL268*AL217+AM268*AM217+AN268*AN217+AO268*AO217+AP268*AP217+AQ268*AQ217+AR268*AR217+AS268*AS217+AT268*AT217+AU268*AU217+AV268*AV217+AW268*AW217+AX268*AX217+AY268*AY217+AZ268*AZ217+BA268*BA217+BB268*BB217+BC268*BC217+BD268*BD217+BE268*BE217+BF268*BF217+BG268*BG217+BH268*BH217+BI268*BI217+BJ268*BJ217+BK268*BK217+BL268*BL217+BM268*BM217+BN268*BN217+BO268*BO217+BP268*BP217+BQ268*BQ217+BR268*BR217+BS268*BS217+BT268*BT217+BU268*BU217+BV268*BV217+BW268*BW217+BX268*BX217+BY268*BY217+BZ268*BZ217+CA268*CA217+CB268*CB217+CC268*CC217+CD268*CD217+CE268*CE217+CF268*CF217+CG268*CG217+CH268*CH217+CI268*CI217+CJ268*CJ217+CK268*CK217+CL268*CL217+CM268*CM217+CN268*CN217+CO268*CO217+CP268*CP217+CQ268*CQ217+CR268*CR217+CS268*CS217</f>
        <v>0</v>
      </c>
      <c r="CY217" s="2504">
        <f>E269*E217+F269*F217+G269*G217+H269*H217+I269*I217+J269*J217+K269*K217+L269*L217+M269*M217+N269*N217+O269*O217+P269*P217+Q269*Q217+R269*R217+S269*S217+T269*T217+U269*U217+V269*V217+W269*W217+X269*X217+Y269*Y217+Z269*Z217+AA269*AA217+AB269*AB217+AC269*AC217+AD269*AD217+AE269*AE217+AF269*AF217+AG269*AG217+AH269*AH217+AI269*AI217+AJ269*AJ217+AK269*AK217+AL269*AL217+AM269*AM217+AN269*AN217+AO269*AO217+AP269*AP217+AQ269*AQ217+AR269*AR217+AS269*AS217+AT269*AT217+AU269*AU217+AV269*AV217+AW269*AW217+AX269*AX217+AY269*AY217+AZ269*AZ217+BA269*BA217+BB269*BB217+BC269*BC217+BD269*BD217+BE269*BE217+BF269*BF217+BG269*BG217+BH269*BH217+BI269*BI217+BJ269*BJ217+BK269*BK217+BL269*BL217+BM269*BM217+BN269*BN217+BO269*BO217+BP269*BP217+BQ269*BQ217+BR269*BR217+BS269*BS217+BT269*BT217+BU269*BU217+BV269*BV217+BW269*BW217+BX269*BX217+BY269*BY217+BZ269*BZ217+CA269*CA217+CB269*CB217+CC269*CC217+CD269*CD217+CE269*CE217+CF269*CF217+CG269*CG217+CH269*CH217+CI269*CI217+CJ269*CJ217+CK269*CK217+CL269*CL217+CM269*CM217+CN269*CN217+CO269*CO217+CP269*CP217+CQ269*CQ217+CR269*CR217+CS269*CS217</f>
        <v>0</v>
      </c>
      <c r="CZ217" s="2504">
        <f>E270*E217+F270*F217+G270*G217+H270*H217+I270*I217+J270*J217+K270*K217+L270*L217+M270*M217+N270*N217+O270*O217+P270*P217+Q270*Q217+R270*R217+S270*S217+T270*T217+U270*U217+V270*V217+W270*W217+X270*X217+Y270*Y217+Z270*Z217+AA270*AA217+AB270*AB217+AC270*AC217+AD270*AD217+AE270*AE217+AF270*AF217+AG270*AG217+AH270*AH217+AI270*AI217+AJ270*AJ217+AK270*AK217+AL270*AL217+AM270*AM217+AN270*AN217+AO270*AO217+AP270*AP217+AQ270*AQ217+AR270*AR217+AS270*AS217+AT270*AT217+AU270*AU217+AV270*AV217+AW270*AW217+AX270*AX217+AY270*AY217+AZ270*AZ217+BA270*BA217+BB270*BB217+BC270*BC217+BD270*BD217+BE270*BE217+BF270*BF217+BG270*BG217+BH270*BH217+BI270*BI217+BJ270*BJ217+BK270*BK217+BL270*BL217+BM270*BM217+BN270*BN217+BO270*BO217+BP270*BP217+BQ270*BQ217+BR270*BR217+BS270*BS217+BT270*BT217+BU270*BU217+BV270*BV217+BW270*BW217+BX270*BX217+BY270*BY217+BZ270*BZ217+CA270*CA217+CB270*CB217+CC270*CC217+CD270*CD217+CE270*CE217+CF270*CF217+CG270*CG217+CH270*CH217+CI270*CI217+CJ270*CJ217+CK270*CK217+CL270*CL217+CM270*CM217+CN270*CN217+CO270*CO217+CP270*CP217+CQ270*CQ217+CR270*CR217+CS270*CS217</f>
        <v>0</v>
      </c>
      <c r="DA217" s="2504">
        <f>E271*E217+F271*F217+G271*G217+H271*H217+I271*I217+J271*J217+K271*K217+L271*L217+M271*M217+N271*N217+O271*O217+P271*P217+Q271*Q217+R271*R217+S271*S217+T271*T217+U271*U217+V271*V217+W271*W217+X271*X217+Y271*Y217+Z271*Z217+AA271*AA217+AB271*AB217+AC271*AC217+AD271*AD217+AE271*AE217+AF271*AF217+AG271*AG217+AH271*AH217+AI271*AI217+AJ271*AJ217+AK271*AK217+AL271*AL217+AM271*AM217+AN271*AN217+AO271*AO217+AP271*AP217+AQ271*AQ217+AR271*AR217+AS271*AS217+AT271*AT217+AU271*AU217+AV271*AV217+AW271*AW217+AX271*AX217+AY271*AY217+AZ271*AZ217+BA271*BA217+BB271*BB217+BC271*BC217+BD271*BD217+BE271*BE217+BF271*BF217+BG271*BG217+BH271*BH217+BI271*BI217+BJ271*BJ217+BK271*BK217+BL271*BL217+BM271*BM217+BN271*BN217+BO271*BO217+BP271*BP217+BQ271*BQ217+BR271*BR217+BS271*BS217+BT271*BT217+BU271*BU217+BV271*BV217+BW271*BW217+BX271*BX217+BY271*BY217+BZ271*BZ217+CA271*CA217+CB271*CB217+CC271*CC217+CD271*CD217+CE271*CE217+CF271*CF217+CG271*CG217+CH271*CH217+CI271*CI217+CJ271*CJ217+CK271*CK217+CL271*CL217+CM271*CM217+CN271*CN217+CO271*CO217+CP271*CP217+CQ271*CQ217+CR271*CR217+CS271*CS217</f>
        <v>0</v>
      </c>
      <c r="DB217" s="2504">
        <f>E272*E217+F272*F217+G272*G217+H272*H217+I272*I217+J272*J217+K272*K217+L272*L217+M272*M217+N272*N217+O272*O217+P272*P217+Q272*Q217+R272*R217+S272*S217+T272*T217+U272*U217+V272*V217+W272*W217+X272*X217+Y272*Y217+Z272*Z217+AA272*AA217+AB272*AB217+AC272*AC217+AD272*AD217+AE272*AE217+AF272*AF217+AG272*AG217+AH272*AH217+AI272*AI217+AJ272*AJ217+AK272*AK217+AL272*AL217+AM272*AM217+AN272*AN217+AO272*AO217+AP272*AP217+AQ272*AQ217+AR272*AR217+AS272*AS217+AT272*AT217+AU272*AU217+AV272*AV217+AW272*AW217+AX272*AX217+AY272*AY217+AZ272*AZ217+BA272*BA217+BB272*BB217+BC272*BC217+BD272*BD217+BE272*BE217+BF272*BF217+BG272*BG217+BH272*BH217+BI272*BI217+BJ272*BJ217+BK272*BK217+BL272*BL217+BM272*BM217+BN272*BN217+BO272*BO217+BP272*BP217+BQ272*BQ217+BR272*BR217+BS272*BS217+BT272*BT217+BU272*BU217+BV272*BV217+BW272*BW217+BX272*BX217+BY272*BY217+BZ272*BZ217+CA272*CA217+CB272*CB217+CC272*CC217+CD272*CD217+CE272*CE217+CF272*CF217+CG272*CG217+CH272*CH217+CI272*CI217+CJ272*CJ217+CK272*CK217+CL272*CL217+CM272*CM217+CN272*CN217+CO272*CO217+CP272*CP217+CQ272*CQ217+CR272*CR217+CS272*CS217</f>
        <v>0</v>
      </c>
      <c r="DC217" s="2504">
        <f>E273*E217+F273*F217+G273*G217+H273*H217+I273*I217+J273*J217+K273*K217+L273*L217+M273*M217+N273*N217+O273*O217+P273*P217+Q273*Q217+R273*R217+S273*S217+T273*T217+U273*U217+V273*V217+W273*W217+X273*X217+Y273*Y217+Z273*Z217+AA273*AA217+AB273*AB217+AC273*AC217+AD273*AD217+AE273*AE217+AF273*AF217+AG273*AG217+AH273*AH217+AI273*AI217+AJ273*AJ217+AK273*AK217+AL273*AL217+AM273*AM217+AN273*AN217+AO273*AO217+AP273*AP217+AQ273*AQ217+AR273*AR217+AS273*AS217+AT273*AT217+AU273*AU217+AV273*AV217+AW273*AW217+AX273*AX217+AY273*AY217+AZ273*AZ217+BA273*BA217+BB273*BB217+BC273*BC217+BD273*BD217+BE273*BE217+BF273*BF217+BG273*BG217+BH273*BH217+BI273*BI217+BJ273*BJ217+BK273*BK217+BL273*BL217+BM273*BM217+BN273*BN217+BO273*BO217+BP273*BP217+BQ273*BQ217+BR273*BR217+BS273*BS217+BT273*BT217+BU273*BU217+BV273*BV217+BW273*BW217+BX273*BX217+BY273*BY217+BZ273*BZ217+CA273*CA217+CB273*CB217+CC273*CC217+CD273*CD217+CE273*CE217+CF273*CF217+CG273*CG217+CH273*CH217+CI273*CI217+CJ273*CJ217+CK273*CK217+CL273*CL217+CM273*CM217+CN273*CN217+CO273*CO217+CP273*CP217+CQ273*CQ217+CR273*CR217+CS273*CS217</f>
        <v>0</v>
      </c>
      <c r="DD217" s="2504">
        <f>E274*E217+F274*F217+G274*G217+H274*H217+I274*I217+J274*J217+K274*K217+L274*L217+M274*M217+N274*N217+O274*O217+P274*P217+Q274*Q217+R274*R217+S274*S217+T274*T217+U274*U217+V274*V217+W274*W217+X274*X217+Y274*Y217+Z274*Z217+AA274*AA217+AB274*AB217+AC274*AC217+AD274*AD217+AE274*AE217+AF274*AF217+AG274*AG217+AH274*AH217+AI274*AI217+AJ274*AJ217+AK274*AK217+AL274*AL217+AM274*AM217+AN274*AN217+AO274*AO217+AP274*AP217+AQ274*AQ217+AR274*AR217+AS274*AS217+AT274*AT217+AU274*AU217+AV274*AV217+AW274*AW217+AX274*AX217+AY274*AY217+AZ274*AZ217+BA274*BA217+BB274*BB217+BC274*BC217+BD274*BD217+BE274*BE217+BF274*BF217+BG274*BG217+BH274*BH217+BI274*BI217+BJ274*BJ217+BK274*BK217+BL274*BL217+BM274*BM217+BN274*BN217+BO274*BO217+BP274*BP217+BQ274*BQ217+BR274*BR217+BS274*BS217+BT274*BT217+BU274*BU217+BV274*BV217+BW274*BW217+BX274*BX217+BY274*BY217+BZ274*BZ217+CA274*CA217+CB274*CB217+CC274*CC217+CD274*CD217+CE274*CE217+CF274*CF217+CG274*CG217+CH274*CH217+CI274*CI217+CJ274*CJ217+CK274*CK217+CL274*CL217+CM274*CM217+CN274*CN217+CO274*CO217+CP274*CP217+CQ274*CQ217+CR274*CR217+CS274*CS217</f>
        <v>0</v>
      </c>
      <c r="DE217" s="2504">
        <f>E275*E217+F275*F217+G275*G217+H275*H217+I275*I217+J275*J217+K275*K217+L275*L217+M275*M217+N275*N217+O275*O217+P275*P217+Q275*Q217+R275*R217+S275*S217+T275*T217+U275*U217+V275*V217+W275*W217+X275*X217+Y275*Y217+Z275*Z217+AA275*AA217+AB275*AB217+AC275*AC217+AD275*AD217+AE275*AE217+AF275*AF217+AG275*AG217+AH275*AH217+AI275*AI217+AJ275*AJ217+AK275*AK217+AL275*AL217+AM275*AM217+AN275*AN217+AO275*AO217+AP275*AP217+AQ275*AQ217+AR275*AR217+AS275*AS217+AT275*AT217+AU275*AU217+AV275*AV217+AW275*AW217+AX275*AX217+AY275*AY217+AZ275*AZ217+BA275*BA217+BB275*BB217+BC275*BC217+BD275*BD217+BE275*BE217+BF275*BF217+BG275*BG217+BH275*BH217+BI275*BI217+BJ275*BJ217+BK275*BK217+BL275*BL217+BM275*BM217+BN275*BN217+BO275*BO217+BP275*BP217+BQ275*BQ217+BR275*BR217+BS275*BS217+BT275*BT217+BU275*BU217+BV275*BV217+BW275*BW217+BX275*BX217+BY275*BY217+BZ275*BZ217+CA275*CA217+CB275*CB217+CC275*CC217+CD275*CD217+CE275*CE217+CF275*CF217+CG275*CG217+CH275*CH217+CI275*CI217+CJ275*CJ217+CK275*CK217+CL275*CL217+CM275*CM217+CN275*CN217+CO275*CO217+CP275*CP217+CQ275*CQ217+CR275*CR217+CS275*CS217</f>
        <v>0</v>
      </c>
      <c r="DF217" s="2504">
        <f>E276*E217+F276*F217+G276*G217+H276*H217+I276*I217+J276*J217+K276*K217+L276*L217+M276*M217+N276*N217+O276*O217+P276*P217+Q276*Q217+R276*R217+S276*S217+T276*T217+U276*U217+V276*V217+W276*W217+X276*X217+Y276*Y217+Z276*Z217+AA276*AA217+AB276*AB217+AC276*AC217+AD276*AD217+AE276*AE217+AF276*AF217+AG276*AG217+AH276*AH217+AI276*AI217+AJ276*AJ217+AK276*AK217+AL276*AL217+AM276*AM217+AN276*AN217+AO276*AO217+AP276*AP217+AQ276*AQ217+AR276*AR217+AS276*AS217+AT276*AT217+AU276*AU217+AV276*AV217+AW276*AW217+AX276*AX217+AY276*AY217+AZ276*AZ217+BA276*BA217+BB276*BB217+BC276*BC217+BD276*BD217+BE276*BE217+BF276*BF217+BG276*BG217+BH276*BH217+BI276*BI217+BJ276*BJ217+BK276*BK217+BL276*BL217+BM276*BM217+BN276*BN217+BO276*BO217+BP276*BP217+BQ276*BQ217+BR276*BR217+BS276*BS217+BT276*BT217+BU276*BU217+BV276*BV217+BW276*BW217+BX276*BX217+BY276*BY217+BZ276*BZ217+CA276*CA217+CB276*CB217+CC276*CC217+CD276*CD217+CE276*CE217+CF276*CF217+CG276*CG217+CH276*CH217+CI276*CI217+CJ276*CJ217+CK276*CK217+CL276*CL217+CM276*CM217+CN276*CN217+CO276*CO217+CP276*CP217+CQ276*CQ217+CR276*CR217+CS276*CS217</f>
        <v>0</v>
      </c>
    </row>
    <row r="218" spans="2:110" ht="18" x14ac:dyDescent="0.35">
      <c r="B218" s="1583">
        <v>76</v>
      </c>
      <c r="C218" s="551" t="s">
        <v>2942</v>
      </c>
      <c r="D218" s="552" t="s">
        <v>5396</v>
      </c>
      <c r="E218" s="506">
        <f>0</f>
        <v>0</v>
      </c>
      <c r="F218" s="506">
        <f>1</f>
        <v>1</v>
      </c>
      <c r="G218" s="506">
        <f>0</f>
        <v>0</v>
      </c>
      <c r="H218" s="506">
        <f>0</f>
        <v>0</v>
      </c>
      <c r="I218" s="506">
        <f>0</f>
        <v>0</v>
      </c>
      <c r="J218" s="506">
        <f>0</f>
        <v>0</v>
      </c>
      <c r="K218" s="506">
        <f>0</f>
        <v>0</v>
      </c>
      <c r="L218" s="506">
        <f>0</f>
        <v>0</v>
      </c>
      <c r="M218" s="506">
        <f>0</f>
        <v>0</v>
      </c>
      <c r="N218" s="506">
        <f>0</f>
        <v>0</v>
      </c>
      <c r="O218" s="506">
        <f>0</f>
        <v>0</v>
      </c>
      <c r="P218" s="506">
        <f>0</f>
        <v>0</v>
      </c>
      <c r="Q218" s="506">
        <f>-1</f>
        <v>-1</v>
      </c>
      <c r="R218" s="506">
        <f>0</f>
        <v>0</v>
      </c>
      <c r="S218" s="506">
        <f>0</f>
        <v>0</v>
      </c>
      <c r="T218" s="506">
        <f>0</f>
        <v>0</v>
      </c>
      <c r="U218" s="506">
        <f>0</f>
        <v>0</v>
      </c>
      <c r="V218" s="506">
        <f>0</f>
        <v>0</v>
      </c>
      <c r="W218" s="506">
        <f>0</f>
        <v>0</v>
      </c>
      <c r="X218" s="506">
        <f>0</f>
        <v>0</v>
      </c>
      <c r="Y218" s="506">
        <f>0</f>
        <v>0</v>
      </c>
      <c r="Z218" s="506">
        <f>0</f>
        <v>0</v>
      </c>
      <c r="AA218" s="506">
        <f>0</f>
        <v>0</v>
      </c>
      <c r="AB218" s="506">
        <f>0</f>
        <v>0</v>
      </c>
      <c r="AC218" s="506">
        <f>0</f>
        <v>0</v>
      </c>
      <c r="AD218" s="506">
        <f>0</f>
        <v>0</v>
      </c>
      <c r="AE218" s="506">
        <f>0</f>
        <v>0</v>
      </c>
      <c r="AF218" s="506">
        <f>0</f>
        <v>0</v>
      </c>
      <c r="AG218" s="506">
        <f>0</f>
        <v>0</v>
      </c>
      <c r="AH218" s="506">
        <f>0</f>
        <v>0</v>
      </c>
      <c r="AI218" s="506">
        <f>0</f>
        <v>0</v>
      </c>
      <c r="AJ218" s="506">
        <f>i_N_XE</f>
        <v>0.06</v>
      </c>
      <c r="AK218" s="506">
        <f>0</f>
        <v>0</v>
      </c>
      <c r="AL218" s="506">
        <f>0</f>
        <v>0</v>
      </c>
      <c r="AM218" s="506">
        <f>0</f>
        <v>0</v>
      </c>
      <c r="AN218" s="506">
        <f>0</f>
        <v>0</v>
      </c>
      <c r="AO218" s="506">
        <f>0</f>
        <v>0</v>
      </c>
      <c r="AP218" s="506">
        <f>i_P_BIO</f>
        <v>0.02</v>
      </c>
      <c r="AQ218" s="506">
        <f>0</f>
        <v>0</v>
      </c>
      <c r="AR218" s="506">
        <f>0</f>
        <v>0</v>
      </c>
      <c r="AS218" s="506">
        <f>0</f>
        <v>0</v>
      </c>
      <c r="AT218" s="506">
        <f>0</f>
        <v>0</v>
      </c>
      <c r="AU218" s="506">
        <f>0</f>
        <v>0</v>
      </c>
      <c r="AV218" s="506">
        <f>i_CIT_BIO-i_CIT_SB</f>
        <v>6.6000000000000003E-2</v>
      </c>
      <c r="AW218" s="506">
        <f>0</f>
        <v>0</v>
      </c>
      <c r="AX218" s="506">
        <f>0</f>
        <v>0</v>
      </c>
      <c r="AY218" s="506">
        <f>0</f>
        <v>0</v>
      </c>
      <c r="AZ218" s="506">
        <f>0</f>
        <v>0</v>
      </c>
      <c r="BA218" s="506">
        <f>0</f>
        <v>0</v>
      </c>
      <c r="BB218" s="506">
        <f>0</f>
        <v>0</v>
      </c>
      <c r="BC218" s="506">
        <f>0</f>
        <v>0</v>
      </c>
      <c r="BD218" s="506">
        <f>0</f>
        <v>0</v>
      </c>
      <c r="BE218" s="506">
        <f>0</f>
        <v>0</v>
      </c>
      <c r="BF218" s="506">
        <f>0</f>
        <v>0</v>
      </c>
      <c r="BG218" s="506">
        <f>0</f>
        <v>0</v>
      </c>
      <c r="BH218" s="506">
        <f>0</f>
        <v>0</v>
      </c>
      <c r="BI218" s="506">
        <f>0</f>
        <v>0</v>
      </c>
      <c r="BJ218" s="506">
        <f>0</f>
        <v>0</v>
      </c>
      <c r="BK218" s="506">
        <f>0</f>
        <v>0</v>
      </c>
      <c r="BL218" s="506">
        <f>0</f>
        <v>0</v>
      </c>
      <c r="BM218" s="506">
        <f>0</f>
        <v>0</v>
      </c>
      <c r="BN218" s="506">
        <f>0</f>
        <v>0</v>
      </c>
      <c r="BO218" s="506">
        <f>0</f>
        <v>0</v>
      </c>
      <c r="BP218" s="506">
        <f>0</f>
        <v>0</v>
      </c>
      <c r="BQ218" s="506">
        <f>0</f>
        <v>0</v>
      </c>
      <c r="BR218" s="506">
        <f>0</f>
        <v>0</v>
      </c>
      <c r="BS218" s="506">
        <f>0</f>
        <v>0</v>
      </c>
      <c r="BT218" s="506">
        <f>0</f>
        <v>0</v>
      </c>
      <c r="BU218" s="506">
        <f>0</f>
        <v>0</v>
      </c>
      <c r="BV218" s="506">
        <f>0</f>
        <v>0</v>
      </c>
      <c r="BW218" s="2367">
        <f>0</f>
        <v>0</v>
      </c>
      <c r="BX218" s="2367">
        <f>0</f>
        <v>0</v>
      </c>
      <c r="BY218" s="2367">
        <f>0</f>
        <v>0</v>
      </c>
      <c r="BZ218" s="2367">
        <f>0</f>
        <v>0</v>
      </c>
      <c r="CA218" s="506">
        <f>0</f>
        <v>0</v>
      </c>
      <c r="CB218" s="506">
        <f>0</f>
        <v>0</v>
      </c>
      <c r="CC218" s="506">
        <f>0</f>
        <v>0</v>
      </c>
      <c r="CD218" s="506">
        <f>0</f>
        <v>0</v>
      </c>
      <c r="CE218" s="506">
        <f>0</f>
        <v>0</v>
      </c>
      <c r="CF218" s="506">
        <f>0</f>
        <v>0</v>
      </c>
      <c r="CG218" s="506">
        <f>0</f>
        <v>0</v>
      </c>
      <c r="CH218" s="506">
        <f>0</f>
        <v>0</v>
      </c>
      <c r="CI218" s="506">
        <f>0</f>
        <v>0</v>
      </c>
      <c r="CJ218" s="506">
        <f>0</f>
        <v>0</v>
      </c>
      <c r="CK218" s="506">
        <f>0</f>
        <v>0</v>
      </c>
      <c r="CL218" s="506">
        <f>0</f>
        <v>0</v>
      </c>
      <c r="CM218" s="506">
        <f>0</f>
        <v>0</v>
      </c>
      <c r="CN218" s="506">
        <f>0</f>
        <v>0</v>
      </c>
      <c r="CO218" s="506">
        <f>0</f>
        <v>0</v>
      </c>
      <c r="CP218" s="506">
        <f>0</f>
        <v>0</v>
      </c>
      <c r="CQ218" s="506">
        <f>0</f>
        <v>0</v>
      </c>
      <c r="CR218" s="506">
        <f>0</f>
        <v>0</v>
      </c>
      <c r="CS218" s="506">
        <f>0</f>
        <v>0</v>
      </c>
      <c r="CT218" s="2491">
        <f>q_HYD_XBe_T*X_HET*(L_ogsatXHET_HYD_lim*M_RsatXEana_XHET_KHYD+L_oginhXHET_HYD_lim*M_satXEana_KXEana_HYD)*(M_satSO2_KO2_OHO+η_HYD_anox*(M_satSNO2_KNO2_OHO+M_inhSNO2_KNO2_OHO*M_satSNO3_KNO3_OHO)*M_inhSO2_KO2_OHO)</f>
        <v>1.9245956125598067</v>
      </c>
      <c r="CV218" s="2502">
        <f>E266*E218+F266*F218+G266*G218+H266*H218+I266*I218+J266*J218+K266*K218+L266*L218+M266*M218+N266*N218+O266*O218+P266*P218+Q266*Q218+R266*R218+S266*S218+T266*T218+U266*U218+V266*V218+W266*W218+X266*X218+Y266*Y218+Z266*Z218+AA266*AA218+AB266*AB218+AC266*AC218+AD266*AD218+AE266*AE218+AF266*AF218+AG266*AG218+AH266*AH218+AI266*AI218+AJ266*AJ218+AK266*AK218+AL266*AL218+AM266*AM218+AN266*AN218+AO266*AO218+AP266*AP218+AQ266*AQ218+AR266*AR218+AS266*AS218+AT266*AT218+AU266*AU218+AV266*AV218+AW266*AW218+AX266*AX218+AY266*AY218+AZ266*AZ218+BA266*BA218+BB266*BB218+BC266*BC218+BD266*BD218+BE266*BE218+BF266*BF218+BG266*BG218+BH266*BH218+BI266*BI218+BJ266*BJ218+BK266*BK218+BL266*BL218+BM266*BM218+BN266*BN218+BO266*BO218+BP266*BP218+BQ266*BQ218+BR266*BR218+BS266*BS218+BT266*BT218+BU266*BU218+BV266*BV218+BW266*BW218+BX266*BX218+BY266*BY218+BZ266*BZ218+CA266*CA218+CB266*CB218+CC266*CC218+CD266*CD218+CE266*CE218+CF266*CF218+CG266*CG218+CH266*CH218+CI266*CI218+CJ266*CJ218+CK266*CK218+CL266*CL218+CM266*CM218+CN266*CN218+CO266*CO218+CP266*CP218+CQ266*CQ218+CR266*CR218+CS266*CS218</f>
        <v>0</v>
      </c>
      <c r="CW218" s="2502">
        <f>E267*E218+F267*F218+G267*G218+H267*H218+I267*I218+J267*J218+K267*K218+L267*L218+M267*M218+N267*N218+O267*O218+P267*P218+Q267*Q218+R267*R218+S267*S218+T267*T218+U267*U218+V267*V218+W267*W218+X267*X218+Y267*Y218+Z267*Z218+AA267*AA218+AB267*AB218+AC267*AC218+AD267*AD218+AE267*AE218+AF267*AF218+AG267*AG218+AH267*AH218+AI267*AI218+AJ267*AJ218+AK267*AK218+AL267*AL218+AM267*AM218+AN267*AN218+AO267*AO218+AP267*AP218+AQ267*AQ218+AR267*AR218+AS267*AS218+AT267*AT218+AU267*AU218+AV267*AV218+AW267*AW218+AX267*AX218+AY267*AY218+AZ267*AZ218+BA267*BA218+BB267*BB218+BC267*BC218+BD267*BD218+BE267*BE218+BF267*BF218+BG267*BG218+BH267*BH218+BI267*BI218+BJ267*BJ218+BK267*BK218+BL267*BL218+BM267*BM218+BN267*BN218+BO267*BO218+BP267*BP218+BQ267*BQ218+BR267*BR218+BS267*BS218+BT267*BT218+BU267*BU218+BV267*BV218+BW267*BW218+BX267*BX218+BY267*BY218+BZ267*BZ218+CA267*CA218+CB267*CB218+CC267*CC218+CD267*CD218+CE267*CE218+CF267*CF218+CG267*CG218+CH267*CH218+CI267*CI218+CJ267*CJ218+CK267*CK218+CL267*CL218+CM267*CM218+CN267*CN218+CO267*CO218+CP267*CP218+CQ267*CQ218+CR267*CR218+CS267*CS218</f>
        <v>0</v>
      </c>
      <c r="CX218" s="2503">
        <f>E268*E218+F268*F218+G268*G218+H268*H218+I268*I218+J268*J218+K268*K218+L268*L218+M268*M218+N268*N218+O268*O218+P268*P218+Q268*Q218+R268*R218+S268*S218+T268*T218+U268*U218+V268*V218+W268*W218+X268*X218+Y268*Y218+Z268*Z218+AA268*AA218+AB268*AB218+AC268*AC218+AD268*AD218+AE268*AE218+AF268*AF218+AG268*AG218+AH268*AH218+AI268*AI218+AJ268*AJ218+AK268*AK218+AL268*AL218+AM268*AM218+AN268*AN218+AO268*AO218+AP268*AP218+AQ268*AQ218+AR268*AR218+AS268*AS218+AT268*AT218+AU268*AU218+AV268*AV218+AW268*AW218+AX268*AX218+AY268*AY218+AZ268*AZ218+BA268*BA218+BB268*BB218+BC268*BC218+BD268*BD218+BE268*BE218+BF268*BF218+BG268*BG218+BH268*BH218+BI268*BI218+BJ268*BJ218+BK268*BK218+BL268*BL218+BM268*BM218+BN268*BN218+BO268*BO218+BP268*BP218+BQ268*BQ218+BR268*BR218+BS268*BS218+BT268*BT218+BU268*BU218+BV268*BV218+BW268*BW218+BX268*BX218+BY268*BY218+BZ268*BZ218+CA268*CA218+CB268*CB218+CC268*CC218+CD268*CD218+CE268*CE218+CF268*CF218+CG268*CG218+CH268*CH218+CI268*CI218+CJ268*CJ218+CK268*CK218+CL268*CL218+CM268*CM218+CN268*CN218+CO268*CO218+CP268*CP218+CQ268*CQ218+CR268*CR218+CS268*CS218</f>
        <v>0</v>
      </c>
      <c r="CY218" s="2504">
        <f>E269*E218+F269*F218+G269*G218+H269*H218+I269*I218+J269*J218+K269*K218+L269*L218+M269*M218+N269*N218+O269*O218+P269*P218+Q269*Q218+R269*R218+S269*S218+T269*T218+U269*U218+V269*V218+W269*W218+X269*X218+Y269*Y218+Z269*Z218+AA269*AA218+AB269*AB218+AC269*AC218+AD269*AD218+AE269*AE218+AF269*AF218+AG269*AG218+AH269*AH218+AI269*AI218+AJ269*AJ218+AK269*AK218+AL269*AL218+AM269*AM218+AN269*AN218+AO269*AO218+AP269*AP218+AQ269*AQ218+AR269*AR218+AS269*AS218+AT269*AT218+AU269*AU218+AV269*AV218+AW269*AW218+AX269*AX218+AY269*AY218+AZ269*AZ218+BA269*BA218+BB269*BB218+BC269*BC218+BD269*BD218+BE269*BE218+BF269*BF218+BG269*BG218+BH269*BH218+BI269*BI218+BJ269*BJ218+BK269*BK218+BL269*BL218+BM269*BM218+BN269*BN218+BO269*BO218+BP269*BP218+BQ269*BQ218+BR269*BR218+BS269*BS218+BT269*BT218+BU269*BU218+BV269*BV218+BW269*BW218+BX269*BX218+BY269*BY218+BZ269*BZ218+CA269*CA218+CB269*CB218+CC269*CC218+CD269*CD218+CE269*CE218+CF269*CF218+CG269*CG218+CH269*CH218+CI269*CI218+CJ269*CJ218+CK269*CK218+CL269*CL218+CM269*CM218+CN269*CN218+CO269*CO218+CP269*CP218+CQ269*CQ218+CR269*CR218+CS269*CS218</f>
        <v>0</v>
      </c>
      <c r="CZ218" s="2504">
        <f>E270*E218+F270*F218+G270*G218+H270*H218+I270*I218+J270*J218+K270*K218+L270*L218+M270*M218+N270*N218+O270*O218+P270*P218+Q270*Q218+R270*R218+S270*S218+T270*T218+U270*U218+V270*V218+W270*W218+X270*X218+Y270*Y218+Z270*Z218+AA270*AA218+AB270*AB218+AC270*AC218+AD270*AD218+AE270*AE218+AF270*AF218+AG270*AG218+AH270*AH218+AI270*AI218+AJ270*AJ218+AK270*AK218+AL270*AL218+AM270*AM218+AN270*AN218+AO270*AO218+AP270*AP218+AQ270*AQ218+AR270*AR218+AS270*AS218+AT270*AT218+AU270*AU218+AV270*AV218+AW270*AW218+AX270*AX218+AY270*AY218+AZ270*AZ218+BA270*BA218+BB270*BB218+BC270*BC218+BD270*BD218+BE270*BE218+BF270*BF218+BG270*BG218+BH270*BH218+BI270*BI218+BJ270*BJ218+BK270*BK218+BL270*BL218+BM270*BM218+BN270*BN218+BO270*BO218+BP270*BP218+BQ270*BQ218+BR270*BR218+BS270*BS218+BT270*BT218+BU270*BU218+BV270*BV218+BW270*BW218+BX270*BX218+BY270*BY218+BZ270*BZ218+CA270*CA218+CB270*CB218+CC270*CC218+CD270*CD218+CE270*CE218+CF270*CF218+CG270*CG218+CH270*CH218+CI270*CI218+CJ270*CJ218+CK270*CK218+CL270*CL218+CM270*CM218+CN270*CN218+CO270*CO218+CP270*CP218+CQ270*CQ218+CR270*CR218+CS270*CS218</f>
        <v>0</v>
      </c>
      <c r="DA218" s="2504">
        <f>E271*E218+F271*F218+G271*G218+H271*H218+I271*I218+J271*J218+K271*K218+L271*L218+M271*M218+N271*N218+O271*O218+P271*P218+Q271*Q218+R271*R218+S271*S218+T271*T218+U271*U218+V271*V218+W271*W218+X271*X218+Y271*Y218+Z271*Z218+AA271*AA218+AB271*AB218+AC271*AC218+AD271*AD218+AE271*AE218+AF271*AF218+AG271*AG218+AH271*AH218+AI271*AI218+AJ271*AJ218+AK271*AK218+AL271*AL218+AM271*AM218+AN271*AN218+AO271*AO218+AP271*AP218+AQ271*AQ218+AR271*AR218+AS271*AS218+AT271*AT218+AU271*AU218+AV271*AV218+AW271*AW218+AX271*AX218+AY271*AY218+AZ271*AZ218+BA271*BA218+BB271*BB218+BC271*BC218+BD271*BD218+BE271*BE218+BF271*BF218+BG271*BG218+BH271*BH218+BI271*BI218+BJ271*BJ218+BK271*BK218+BL271*BL218+BM271*BM218+BN271*BN218+BO271*BO218+BP271*BP218+BQ271*BQ218+BR271*BR218+BS271*BS218+BT271*BT218+BU271*BU218+BV271*BV218+BW271*BW218+BX271*BX218+BY271*BY218+BZ271*BZ218+CA271*CA218+CB271*CB218+CC271*CC218+CD271*CD218+CE271*CE218+CF271*CF218+CG271*CG218+CH271*CH218+CI271*CI218+CJ271*CJ218+CK271*CK218+CL271*CL218+CM271*CM218+CN271*CN218+CO271*CO218+CP271*CP218+CQ271*CQ218+CR271*CR218+CS271*CS218</f>
        <v>0</v>
      </c>
      <c r="DB218" s="2504">
        <f>E272*E218+F272*F218+G272*G218+H272*H218+I272*I218+J272*J218+K272*K218+L272*L218+M272*M218+N272*N218+O272*O218+P272*P218+Q272*Q218+R272*R218+S272*S218+T272*T218+U272*U218+V272*V218+W272*W218+X272*X218+Y272*Y218+Z272*Z218+AA272*AA218+AB272*AB218+AC272*AC218+AD272*AD218+AE272*AE218+AF272*AF218+AG272*AG218+AH272*AH218+AI272*AI218+AJ272*AJ218+AK272*AK218+AL272*AL218+AM272*AM218+AN272*AN218+AO272*AO218+AP272*AP218+AQ272*AQ218+AR272*AR218+AS272*AS218+AT272*AT218+AU272*AU218+AV272*AV218+AW272*AW218+AX272*AX218+AY272*AY218+AZ272*AZ218+BA272*BA218+BB272*BB218+BC272*BC218+BD272*BD218+BE272*BE218+BF272*BF218+BG272*BG218+BH272*BH218+BI272*BI218+BJ272*BJ218+BK272*BK218+BL272*BL218+BM272*BM218+BN272*BN218+BO272*BO218+BP272*BP218+BQ272*BQ218+BR272*BR218+BS272*BS218+BT272*BT218+BU272*BU218+BV272*BV218+BW272*BW218+BX272*BX218+BY272*BY218+BZ272*BZ218+CA272*CA218+CB272*CB218+CC272*CC218+CD272*CD218+CE272*CE218+CF272*CF218+CG272*CG218+CH272*CH218+CI272*CI218+CJ272*CJ218+CK272*CK218+CL272*CL218+CM272*CM218+CN272*CN218+CO272*CO218+CP272*CP218+CQ272*CQ218+CR272*CR218+CS272*CS218</f>
        <v>0</v>
      </c>
      <c r="DC218" s="2504">
        <f>E273*E218+F273*F218+G273*G218+H273*H218+I273*I218+J273*J218+K273*K218+L273*L218+M273*M218+N273*N218+O273*O218+P273*P218+Q273*Q218+R273*R218+S273*S218+T273*T218+U273*U218+V273*V218+W273*W218+X273*X218+Y273*Y218+Z273*Z218+AA273*AA218+AB273*AB218+AC273*AC218+AD273*AD218+AE273*AE218+AF273*AF218+AG273*AG218+AH273*AH218+AI273*AI218+AJ273*AJ218+AK273*AK218+AL273*AL218+AM273*AM218+AN273*AN218+AO273*AO218+AP273*AP218+AQ273*AQ218+AR273*AR218+AS273*AS218+AT273*AT218+AU273*AU218+AV273*AV218+AW273*AW218+AX273*AX218+AY273*AY218+AZ273*AZ218+BA273*BA218+BB273*BB218+BC273*BC218+BD273*BD218+BE273*BE218+BF273*BF218+BG273*BG218+BH273*BH218+BI273*BI218+BJ273*BJ218+BK273*BK218+BL273*BL218+BM273*BM218+BN273*BN218+BO273*BO218+BP273*BP218+BQ273*BQ218+BR273*BR218+BS273*BS218+BT273*BT218+BU273*BU218+BV273*BV218+BW273*BW218+BX273*BX218+BY273*BY218+BZ273*BZ218+CA273*CA218+CB273*CB218+CC273*CC218+CD273*CD218+CE273*CE218+CF273*CF218+CG273*CG218+CH273*CH218+CI273*CI218+CJ273*CJ218+CK273*CK218+CL273*CL218+CM273*CM218+CN273*CN218+CO273*CO218+CP273*CP218+CQ273*CQ218+CR273*CR218+CS273*CS218</f>
        <v>0</v>
      </c>
      <c r="DD218" s="2504">
        <f>E274*E218+F274*F218+G274*G218+H274*H218+I274*I218+J274*J218+K274*K218+L274*L218+M274*M218+N274*N218+O274*O218+P274*P218+Q274*Q218+R274*R218+S274*S218+T274*T218+U274*U218+V274*V218+W274*W218+X274*X218+Y274*Y218+Z274*Z218+AA274*AA218+AB274*AB218+AC274*AC218+AD274*AD218+AE274*AE218+AF274*AF218+AG274*AG218+AH274*AH218+AI274*AI218+AJ274*AJ218+AK274*AK218+AL274*AL218+AM274*AM218+AN274*AN218+AO274*AO218+AP274*AP218+AQ274*AQ218+AR274*AR218+AS274*AS218+AT274*AT218+AU274*AU218+AV274*AV218+AW274*AW218+AX274*AX218+AY274*AY218+AZ274*AZ218+BA274*BA218+BB274*BB218+BC274*BC218+BD274*BD218+BE274*BE218+BF274*BF218+BG274*BG218+BH274*BH218+BI274*BI218+BJ274*BJ218+BK274*BK218+BL274*BL218+BM274*BM218+BN274*BN218+BO274*BO218+BP274*BP218+BQ274*BQ218+BR274*BR218+BS274*BS218+BT274*BT218+BU274*BU218+BV274*BV218+BW274*BW218+BX274*BX218+BY274*BY218+BZ274*BZ218+CA274*CA218+CB274*CB218+CC274*CC218+CD274*CD218+CE274*CE218+CF274*CF218+CG274*CG218+CH274*CH218+CI274*CI218+CJ274*CJ218+CK274*CK218+CL274*CL218+CM274*CM218+CN274*CN218+CO274*CO218+CP274*CP218+CQ274*CQ218+CR274*CR218+CS274*CS218</f>
        <v>0</v>
      </c>
      <c r="DE218" s="2504">
        <f>E275*E218+F275*F218+G275*G218+H275*H218+I275*I218+J275*J218+K275*K218+L275*L218+M275*M218+N275*N218+O275*O218+P275*P218+Q275*Q218+R275*R218+S275*S218+T275*T218+U275*U218+V275*V218+W275*W218+X275*X218+Y275*Y218+Z275*Z218+AA275*AA218+AB275*AB218+AC275*AC218+AD275*AD218+AE275*AE218+AF275*AF218+AG275*AG218+AH275*AH218+AI275*AI218+AJ275*AJ218+AK275*AK218+AL275*AL218+AM275*AM218+AN275*AN218+AO275*AO218+AP275*AP218+AQ275*AQ218+AR275*AR218+AS275*AS218+AT275*AT218+AU275*AU218+AV275*AV218+AW275*AW218+AX275*AX218+AY275*AY218+AZ275*AZ218+BA275*BA218+BB275*BB218+BC275*BC218+BD275*BD218+BE275*BE218+BF275*BF218+BG275*BG218+BH275*BH218+BI275*BI218+BJ275*BJ218+BK275*BK218+BL275*BL218+BM275*BM218+BN275*BN218+BO275*BO218+BP275*BP218+BQ275*BQ218+BR275*BR218+BS275*BS218+BT275*BT218+BU275*BU218+BV275*BV218+BW275*BW218+BX275*BX218+BY275*BY218+BZ275*BZ218+CA275*CA218+CB275*CB218+CC275*CC218+CD275*CD218+CE275*CE218+CF275*CF218+CG275*CG218+CH275*CH218+CI275*CI218+CJ275*CJ218+CK275*CK218+CL275*CL218+CM275*CM218+CN275*CN218+CO275*CO218+CP275*CP218+CQ275*CQ218+CR275*CR218+CS275*CS218</f>
        <v>0</v>
      </c>
      <c r="DF218" s="2504">
        <f>E276*E218+F276*F218+G276*G218+H276*H218+I276*I218+J276*J218+K276*K218+L276*L218+M276*M218+N276*N218+O276*O218+P276*P218+Q276*Q218+R276*R218+S276*S218+T276*T218+U276*U218+V276*V218+W276*W218+X276*X218+Y276*Y218+Z276*Z218+AA276*AA218+AB276*AB218+AC276*AC218+AD276*AD218+AE276*AE218+AF276*AF218+AG276*AG218+AH276*AH218+AI276*AI218+AJ276*AJ218+AK276*AK218+AL276*AL218+AM276*AM218+AN276*AN218+AO276*AO218+AP276*AP218+AQ276*AQ218+AR276*AR218+AS276*AS218+AT276*AT218+AU276*AU218+AV276*AV218+AW276*AW218+AX276*AX218+AY276*AY218+AZ276*AZ218+BA276*BA218+BB276*BB218+BC276*BC218+BD276*BD218+BE276*BE218+BF276*BF218+BG276*BG218+BH276*BH218+BI276*BI218+BJ276*BJ218+BK276*BK218+BL276*BL218+BM276*BM218+BN276*BN218+BO276*BO218+BP276*BP218+BQ276*BQ218+BR276*BR218+BS276*BS218+BT276*BT218+BU276*BU218+BV276*BV218+BW276*BW218+BX276*BX218+BY276*BY218+BZ276*BZ218+CA276*CA218+CB276*CB218+CC276*CC218+CD276*CD218+CE276*CE218+CF276*CF218+CG276*CG218+CH276*CH218+CI276*CI218+CJ276*CJ218+CK276*CK218+CL276*CL218+CM276*CM218+CN276*CN218+CO276*CO218+CP276*CP218+CQ276*CQ218+CR276*CR218+CS276*CS218</f>
        <v>0</v>
      </c>
    </row>
    <row r="219" spans="2:110" ht="18" x14ac:dyDescent="0.25">
      <c r="B219" s="1583">
        <v>77</v>
      </c>
      <c r="C219" s="551" t="s">
        <v>2943</v>
      </c>
      <c r="D219" s="553" t="s">
        <v>5397</v>
      </c>
      <c r="E219" s="506">
        <f>0</f>
        <v>0</v>
      </c>
      <c r="F219" s="506">
        <f>0</f>
        <v>0</v>
      </c>
      <c r="G219" s="506">
        <f>0</f>
        <v>0</v>
      </c>
      <c r="H219" s="506">
        <f>0</f>
        <v>0</v>
      </c>
      <c r="I219" s="506">
        <f>1</f>
        <v>1</v>
      </c>
      <c r="J219" s="506">
        <f>0</f>
        <v>0</v>
      </c>
      <c r="K219" s="506">
        <f>0</f>
        <v>0</v>
      </c>
      <c r="L219" s="506">
        <f>0</f>
        <v>0</v>
      </c>
      <c r="M219" s="506">
        <f>-1</f>
        <v>-1</v>
      </c>
      <c r="N219" s="506">
        <f>0</f>
        <v>0</v>
      </c>
      <c r="O219" s="506">
        <f>0</f>
        <v>0</v>
      </c>
      <c r="P219" s="506">
        <f>0</f>
        <v>0</v>
      </c>
      <c r="Q219" s="506">
        <f>0</f>
        <v>0</v>
      </c>
      <c r="R219" s="506">
        <f>0</f>
        <v>0</v>
      </c>
      <c r="S219" s="506">
        <f>0</f>
        <v>0</v>
      </c>
      <c r="T219" s="506">
        <f>0</f>
        <v>0</v>
      </c>
      <c r="U219" s="506">
        <f>0</f>
        <v>0</v>
      </c>
      <c r="V219" s="506">
        <f>0</f>
        <v>0</v>
      </c>
      <c r="W219" s="506">
        <f>0</f>
        <v>0</v>
      </c>
      <c r="X219" s="506">
        <f>0</f>
        <v>0</v>
      </c>
      <c r="Y219" s="506">
        <f>0</f>
        <v>0</v>
      </c>
      <c r="Z219" s="506">
        <f>0</f>
        <v>0</v>
      </c>
      <c r="AA219" s="506">
        <f>0</f>
        <v>0</v>
      </c>
      <c r="AB219" s="506">
        <f>0</f>
        <v>0</v>
      </c>
      <c r="AC219" s="506">
        <f>0</f>
        <v>0</v>
      </c>
      <c r="AD219" s="506">
        <f>0</f>
        <v>0</v>
      </c>
      <c r="AE219" s="506">
        <f>0</f>
        <v>0</v>
      </c>
      <c r="AF219" s="506">
        <f>0</f>
        <v>0</v>
      </c>
      <c r="AG219" s="506">
        <f>0</f>
        <v>0</v>
      </c>
      <c r="AH219" s="506">
        <f>0</f>
        <v>0</v>
      </c>
      <c r="AI219" s="506">
        <f>0</f>
        <v>0</v>
      </c>
      <c r="AJ219" s="556">
        <f>X_N_U/X_U</f>
        <v>0.01</v>
      </c>
      <c r="AK219" s="556">
        <f>0</f>
        <v>0</v>
      </c>
      <c r="AL219" s="556">
        <f>-X_N_U/X_U</f>
        <v>-0.01</v>
      </c>
      <c r="AM219" s="506">
        <f>0</f>
        <v>0</v>
      </c>
      <c r="AN219" s="506">
        <f>0</f>
        <v>0</v>
      </c>
      <c r="AO219" s="506">
        <f>0</f>
        <v>0</v>
      </c>
      <c r="AP219" s="556">
        <f>X_P_U/X_U</f>
        <v>2E-3</v>
      </c>
      <c r="AQ219" s="556">
        <f>0</f>
        <v>0</v>
      </c>
      <c r="AR219" s="556">
        <f>-X_P_U/X_U</f>
        <v>-2E-3</v>
      </c>
      <c r="AS219" s="506">
        <f>0</f>
        <v>0</v>
      </c>
      <c r="AT219" s="506">
        <f>0</f>
        <v>0</v>
      </c>
      <c r="AU219" s="506">
        <f>0</f>
        <v>0</v>
      </c>
      <c r="AV219" s="506">
        <f>0</f>
        <v>0</v>
      </c>
      <c r="AW219" s="506">
        <f>0</f>
        <v>0</v>
      </c>
      <c r="AX219" s="506">
        <f>0</f>
        <v>0</v>
      </c>
      <c r="AY219" s="506">
        <f>0</f>
        <v>0</v>
      </c>
      <c r="AZ219" s="506">
        <f>0</f>
        <v>0</v>
      </c>
      <c r="BA219" s="506">
        <f>0</f>
        <v>0</v>
      </c>
      <c r="BB219" s="506">
        <f>0</f>
        <v>0</v>
      </c>
      <c r="BC219" s="506">
        <f>0</f>
        <v>0</v>
      </c>
      <c r="BD219" s="506">
        <f>0</f>
        <v>0</v>
      </c>
      <c r="BE219" s="506">
        <f>0</f>
        <v>0</v>
      </c>
      <c r="BF219" s="506">
        <f>0</f>
        <v>0</v>
      </c>
      <c r="BG219" s="506">
        <f>0</f>
        <v>0</v>
      </c>
      <c r="BH219" s="506">
        <f>0</f>
        <v>0</v>
      </c>
      <c r="BI219" s="506">
        <f>0</f>
        <v>0</v>
      </c>
      <c r="BJ219" s="506">
        <f>0</f>
        <v>0</v>
      </c>
      <c r="BK219" s="506">
        <f>0</f>
        <v>0</v>
      </c>
      <c r="BL219" s="506">
        <f>0</f>
        <v>0</v>
      </c>
      <c r="BM219" s="506">
        <f>0</f>
        <v>0</v>
      </c>
      <c r="BN219" s="506">
        <f>0</f>
        <v>0</v>
      </c>
      <c r="BO219" s="506">
        <f>0</f>
        <v>0</v>
      </c>
      <c r="BP219" s="506">
        <f>0</f>
        <v>0</v>
      </c>
      <c r="BQ219" s="506">
        <f>0</f>
        <v>0</v>
      </c>
      <c r="BR219" s="506">
        <f>0</f>
        <v>0</v>
      </c>
      <c r="BS219" s="506">
        <f>0</f>
        <v>0</v>
      </c>
      <c r="BT219" s="506">
        <f>0</f>
        <v>0</v>
      </c>
      <c r="BU219" s="506">
        <f>0</f>
        <v>0</v>
      </c>
      <c r="BV219" s="506">
        <f>0</f>
        <v>0</v>
      </c>
      <c r="BW219" s="2367">
        <f>0</f>
        <v>0</v>
      </c>
      <c r="BX219" s="2367">
        <f>0</f>
        <v>0</v>
      </c>
      <c r="BY219" s="2367">
        <f>0</f>
        <v>0</v>
      </c>
      <c r="BZ219" s="2367">
        <f>0</f>
        <v>0</v>
      </c>
      <c r="CA219" s="506">
        <f>0</f>
        <v>0</v>
      </c>
      <c r="CB219" s="506">
        <f>0</f>
        <v>0</v>
      </c>
      <c r="CC219" s="506">
        <f>0</f>
        <v>0</v>
      </c>
      <c r="CD219" s="506">
        <f>0</f>
        <v>0</v>
      </c>
      <c r="CE219" s="506">
        <f>0</f>
        <v>0</v>
      </c>
      <c r="CF219" s="506">
        <f>0</f>
        <v>0</v>
      </c>
      <c r="CG219" s="506">
        <f>0</f>
        <v>0</v>
      </c>
      <c r="CH219" s="506">
        <f>0</f>
        <v>0</v>
      </c>
      <c r="CI219" s="506">
        <f>0</f>
        <v>0</v>
      </c>
      <c r="CJ219" s="506">
        <f>0</f>
        <v>0</v>
      </c>
      <c r="CK219" s="506">
        <f>0</f>
        <v>0</v>
      </c>
      <c r="CL219" s="506">
        <f>0</f>
        <v>0</v>
      </c>
      <c r="CM219" s="506">
        <f>0</f>
        <v>0</v>
      </c>
      <c r="CN219" s="506">
        <f>0</f>
        <v>0</v>
      </c>
      <c r="CO219" s="506">
        <f>0</f>
        <v>0</v>
      </c>
      <c r="CP219" s="506">
        <f>0</f>
        <v>0</v>
      </c>
      <c r="CQ219" s="506">
        <f>0</f>
        <v>0</v>
      </c>
      <c r="CR219" s="506">
        <f>0</f>
        <v>0</v>
      </c>
      <c r="CS219" s="506">
        <f>0</f>
        <v>0</v>
      </c>
      <c r="CT219" s="2491">
        <f>q_XU_T*X_U*M_satXU_KXU</f>
        <v>9.9009900990099011E-4</v>
      </c>
      <c r="CV219" s="2502">
        <f>E266*E219+F266*F219+G266*G219+H266*H219+I266*I219+J266*J219+K266*K219+L266*L219+M266*M219+N266*N219+O266*O219+P266*P219+Q266*Q219+R266*R219+S266*S219+T266*T219+U266*U219+V266*V219+W266*W219+X266*X219+Y266*Y219+Z266*Z219+AA266*AA219+AB266*AB219+AC266*AC219+AD266*AD219+AE266*AE219+AF266*AF219+AG266*AG219+AH266*AH219+AI266*AI219+AJ266*AJ219+AK266*AK219+AL266*AL219+AM266*AM219+AN266*AN219+AO266*AO219+AP266*AP219+AQ266*AQ219+AR266*AR219+AS266*AS219+AT266*AT219+AU266*AU219+AV266*AV219+AW266*AW219+AX266*AX219+AY266*AY219+AZ266*AZ219+BA266*BA219+BB266*BB219+BC266*BC219+BD266*BD219+BE266*BE219+BF266*BF219+BG266*BG219+BH266*BH219+BI266*BI219+BJ266*BJ219+BK266*BK219+BL266*BL219+BM266*BM219+BN266*BN219+BO266*BO219+BP266*BP219+BQ266*BQ219+BR266*BR219+BS266*BS219+BT266*BT219+BU266*BU219+BV266*BV219+BW266*BW219+BX266*BX219+BY266*BY219+BZ266*BZ219+CA266*CA219+CB266*CB219+CC266*CC219+CD266*CD219+CE266*CE219+CF266*CF219+CG266*CG219+CH266*CH219+CI266*CI219+CJ266*CJ219+CK266*CK219+CL266*CL219+CM266*CM219+CN266*CN219+CO266*CO219+CP266*CP219+CQ266*CQ219+CR266*CR219+CS266*CS219</f>
        <v>0</v>
      </c>
      <c r="CW219" s="2502">
        <f>E267*E219+F267*F219+G267*G219+H267*H219+I267*I219+J267*J219+K267*K219+L267*L219+M267*M219+N267*N219+O267*O219+P267*P219+Q267*Q219+R267*R219+S267*S219+T267*T219+U267*U219+V267*V219+W267*W219+X267*X219+Y267*Y219+Z267*Z219+AA267*AA219+AB267*AB219+AC267*AC219+AD267*AD219+AE267*AE219+AF267*AF219+AG267*AG219+AH267*AH219+AI267*AI219+AJ267*AJ219+AK267*AK219+AL267*AL219+AM267*AM219+AN267*AN219+AO267*AO219+AP267*AP219+AQ267*AQ219+AR267*AR219+AS267*AS219+AT267*AT219+AU267*AU219+AV267*AV219+AW267*AW219+AX267*AX219+AY267*AY219+AZ267*AZ219+BA267*BA219+BB267*BB219+BC267*BC219+BD267*BD219+BE267*BE219+BF267*BF219+BG267*BG219+BH267*BH219+BI267*BI219+BJ267*BJ219+BK267*BK219+BL267*BL219+BM267*BM219+BN267*BN219+BO267*BO219+BP267*BP219+BQ267*BQ219+BR267*BR219+BS267*BS219+BT267*BT219+BU267*BU219+BV267*BV219+BW267*BW219+BX267*BX219+BY267*BY219+BZ267*BZ219+CA267*CA219+CB267*CB219+CC267*CC219+CD267*CD219+CE267*CE219+CF267*CF219+CG267*CG219+CH267*CH219+CI267*CI219+CJ267*CJ219+CK267*CK219+CL267*CL219+CM267*CM219+CN267*CN219+CO267*CO219+CP267*CP219+CQ267*CQ219+CR267*CR219+CS267*CS219</f>
        <v>0</v>
      </c>
      <c r="CX219" s="2503">
        <f>E268*E219+F268*F219+G268*G219+H268*H219+I268*I219+J268*J219+K268*K219+L268*L219+M268*M219+N268*N219+O268*O219+P268*P219+Q268*Q219+R268*R219+S268*S219+T268*T219+U268*U219+V268*V219+W268*W219+X268*X219+Y268*Y219+Z268*Z219+AA268*AA219+AB268*AB219+AC268*AC219+AD268*AD219+AE268*AE219+AF268*AF219+AG268*AG219+AH268*AH219+AI268*AI219+AJ268*AJ219+AK268*AK219+AL268*AL219+AM268*AM219+AN268*AN219+AO268*AO219+AP268*AP219+AQ268*AQ219+AR268*AR219+AS268*AS219+AT268*AT219+AU268*AU219+AV268*AV219+AW268*AW219+AX268*AX219+AY268*AY219+AZ268*AZ219+BA268*BA219+BB268*BB219+BC268*BC219+BD268*BD219+BE268*BE219+BF268*BF219+BG268*BG219+BH268*BH219+BI268*BI219+BJ268*BJ219+BK268*BK219+BL268*BL219+BM268*BM219+BN268*BN219+BO268*BO219+BP268*BP219+BQ268*BQ219+BR268*BR219+BS268*BS219+BT268*BT219+BU268*BU219+BV268*BV219+BW268*BW219+BX268*BX219+BY268*BY219+BZ268*BZ219+CA268*CA219+CB268*CB219+CC268*CC219+CD268*CD219+CE268*CE219+CF268*CF219+CG268*CG219+CH268*CH219+CI268*CI219+CJ268*CJ219+CK268*CK219+CL268*CL219+CM268*CM219+CN268*CN219+CO268*CO219+CP268*CP219+CQ268*CQ219+CR268*CR219+CS268*CS219</f>
        <v>0</v>
      </c>
      <c r="CY219" s="2504">
        <f>E269*E219+F269*F219+G269*G219+H269*H219+I269*I219+J269*J219+K269*K219+L269*L219+M269*M219+N269*N219+O269*O219+P269*P219+Q269*Q219+R269*R219+S269*S219+T269*T219+U269*U219+V269*V219+W269*W219+X269*X219+Y269*Y219+Z269*Z219+AA269*AA219+AB269*AB219+AC269*AC219+AD269*AD219+AE269*AE219+AF269*AF219+AG269*AG219+AH269*AH219+AI269*AI219+AJ269*AJ219+AK269*AK219+AL269*AL219+AM269*AM219+AN269*AN219+AO269*AO219+AP269*AP219+AQ269*AQ219+AR269*AR219+AS269*AS219+AT269*AT219+AU269*AU219+AV269*AV219+AW269*AW219+AX269*AX219+AY269*AY219+AZ269*AZ219+BA269*BA219+BB269*BB219+BC269*BC219+BD269*BD219+BE269*BE219+BF269*BF219+BG269*BG219+BH269*BH219+BI269*BI219+BJ269*BJ219+BK269*BK219+BL269*BL219+BM269*BM219+BN269*BN219+BO269*BO219+BP269*BP219+BQ269*BQ219+BR269*BR219+BS269*BS219+BT269*BT219+BU269*BU219+BV269*BV219+BW269*BW219+BX269*BX219+BY269*BY219+BZ269*BZ219+CA269*CA219+CB269*CB219+CC269*CC219+CD269*CD219+CE269*CE219+CF269*CF219+CG269*CG219+CH269*CH219+CI269*CI219+CJ269*CJ219+CK269*CK219+CL269*CL219+CM269*CM219+CN269*CN219+CO269*CO219+CP269*CP219+CQ269*CQ219+CR269*CR219+CS269*CS219</f>
        <v>0</v>
      </c>
      <c r="CZ219" s="2504">
        <f>E270*E219+F270*F219+G270*G219+H270*H219+I270*I219+J270*J219+K270*K219+L270*L219+M270*M219+N270*N219+O270*O219+P270*P219+Q270*Q219+R270*R219+S270*S219+T270*T219+U270*U219+V270*V219+W270*W219+X270*X219+Y270*Y219+Z270*Z219+AA270*AA219+AB270*AB219+AC270*AC219+AD270*AD219+AE270*AE219+AF270*AF219+AG270*AG219+AH270*AH219+AI270*AI219+AJ270*AJ219+AK270*AK219+AL270*AL219+AM270*AM219+AN270*AN219+AO270*AO219+AP270*AP219+AQ270*AQ219+AR270*AR219+AS270*AS219+AT270*AT219+AU270*AU219+AV270*AV219+AW270*AW219+AX270*AX219+AY270*AY219+AZ270*AZ219+BA270*BA219+BB270*BB219+BC270*BC219+BD270*BD219+BE270*BE219+BF270*BF219+BG270*BG219+BH270*BH219+BI270*BI219+BJ270*BJ219+BK270*BK219+BL270*BL219+BM270*BM219+BN270*BN219+BO270*BO219+BP270*BP219+BQ270*BQ219+BR270*BR219+BS270*BS219+BT270*BT219+BU270*BU219+BV270*BV219+BW270*BW219+BX270*BX219+BY270*BY219+BZ270*BZ219+CA270*CA219+CB270*CB219+CC270*CC219+CD270*CD219+CE270*CE219+CF270*CF219+CG270*CG219+CH270*CH219+CI270*CI219+CJ270*CJ219+CK270*CK219+CL270*CL219+CM270*CM219+CN270*CN219+CO270*CO219+CP270*CP219+CQ270*CQ219+CR270*CR219+CS270*CS219</f>
        <v>0</v>
      </c>
      <c r="DA219" s="2504">
        <f>E271*E219+F271*F219+G271*G219+H271*H219+I271*I219+J271*J219+K271*K219+L271*L219+M271*M219+N271*N219+O271*O219+P271*P219+Q271*Q219+R271*R219+S271*S219+T271*T219+U271*U219+V271*V219+W271*W219+X271*X219+Y271*Y219+Z271*Z219+AA271*AA219+AB271*AB219+AC271*AC219+AD271*AD219+AE271*AE219+AF271*AF219+AG271*AG219+AH271*AH219+AI271*AI219+AJ271*AJ219+AK271*AK219+AL271*AL219+AM271*AM219+AN271*AN219+AO271*AO219+AP271*AP219+AQ271*AQ219+AR271*AR219+AS271*AS219+AT271*AT219+AU271*AU219+AV271*AV219+AW271*AW219+AX271*AX219+AY271*AY219+AZ271*AZ219+BA271*BA219+BB271*BB219+BC271*BC219+BD271*BD219+BE271*BE219+BF271*BF219+BG271*BG219+BH271*BH219+BI271*BI219+BJ271*BJ219+BK271*BK219+BL271*BL219+BM271*BM219+BN271*BN219+BO271*BO219+BP271*BP219+BQ271*BQ219+BR271*BR219+BS271*BS219+BT271*BT219+BU271*BU219+BV271*BV219+BW271*BW219+BX271*BX219+BY271*BY219+BZ271*BZ219+CA271*CA219+CB271*CB219+CC271*CC219+CD271*CD219+CE271*CE219+CF271*CF219+CG271*CG219+CH271*CH219+CI271*CI219+CJ271*CJ219+CK271*CK219+CL271*CL219+CM271*CM219+CN271*CN219+CO271*CO219+CP271*CP219+CQ271*CQ219+CR271*CR219+CS271*CS219</f>
        <v>0</v>
      </c>
      <c r="DB219" s="2504">
        <f>E272*E219+F272*F219+G272*G219+H272*H219+I272*I219+J272*J219+K272*K219+L272*L219+M272*M219+N272*N219+O272*O219+P272*P219+Q272*Q219+R272*R219+S272*S219+T272*T219+U272*U219+V272*V219+W272*W219+X272*X219+Y272*Y219+Z272*Z219+AA272*AA219+AB272*AB219+AC272*AC219+AD272*AD219+AE272*AE219+AF272*AF219+AG272*AG219+AH272*AH219+AI272*AI219+AJ272*AJ219+AK272*AK219+AL272*AL219+AM272*AM219+AN272*AN219+AO272*AO219+AP272*AP219+AQ272*AQ219+AR272*AR219+AS272*AS219+AT272*AT219+AU272*AU219+AV272*AV219+AW272*AW219+AX272*AX219+AY272*AY219+AZ272*AZ219+BA272*BA219+BB272*BB219+BC272*BC219+BD272*BD219+BE272*BE219+BF272*BF219+BG272*BG219+BH272*BH219+BI272*BI219+BJ272*BJ219+BK272*BK219+BL272*BL219+BM272*BM219+BN272*BN219+BO272*BO219+BP272*BP219+BQ272*BQ219+BR272*BR219+BS272*BS219+BT272*BT219+BU272*BU219+BV272*BV219+BW272*BW219+BX272*BX219+BY272*BY219+BZ272*BZ219+CA272*CA219+CB272*CB219+CC272*CC219+CD272*CD219+CE272*CE219+CF272*CF219+CG272*CG219+CH272*CH219+CI272*CI219+CJ272*CJ219+CK272*CK219+CL272*CL219+CM272*CM219+CN272*CN219+CO272*CO219+CP272*CP219+CQ272*CQ219+CR272*CR219+CS272*CS219</f>
        <v>0</v>
      </c>
      <c r="DC219" s="2504">
        <f>E273*E219+F273*F219+G273*G219+H273*H219+I273*I219+J273*J219+K273*K219+L273*L219+M273*M219+N273*N219+O273*O219+P273*P219+Q273*Q219+R273*R219+S273*S219+T273*T219+U273*U219+V273*V219+W273*W219+X273*X219+Y273*Y219+Z273*Z219+AA273*AA219+AB273*AB219+AC273*AC219+AD273*AD219+AE273*AE219+AF273*AF219+AG273*AG219+AH273*AH219+AI273*AI219+AJ273*AJ219+AK273*AK219+AL273*AL219+AM273*AM219+AN273*AN219+AO273*AO219+AP273*AP219+AQ273*AQ219+AR273*AR219+AS273*AS219+AT273*AT219+AU273*AU219+AV273*AV219+AW273*AW219+AX273*AX219+AY273*AY219+AZ273*AZ219+BA273*BA219+BB273*BB219+BC273*BC219+BD273*BD219+BE273*BE219+BF273*BF219+BG273*BG219+BH273*BH219+BI273*BI219+BJ273*BJ219+BK273*BK219+BL273*BL219+BM273*BM219+BN273*BN219+BO273*BO219+BP273*BP219+BQ273*BQ219+BR273*BR219+BS273*BS219+BT273*BT219+BU273*BU219+BV273*BV219+BW273*BW219+BX273*BX219+BY273*BY219+BZ273*BZ219+CA273*CA219+CB273*CB219+CC273*CC219+CD273*CD219+CE273*CE219+CF273*CF219+CG273*CG219+CH273*CH219+CI273*CI219+CJ273*CJ219+CK273*CK219+CL273*CL219+CM273*CM219+CN273*CN219+CO273*CO219+CP273*CP219+CQ273*CQ219+CR273*CR219+CS273*CS219</f>
        <v>0</v>
      </c>
      <c r="DD219" s="2504">
        <f>E274*E219+F274*F219+G274*G219+H274*H219+I274*I219+J274*J219+K274*K219+L274*L219+M274*M219+N274*N219+O274*O219+P274*P219+Q274*Q219+R274*R219+S274*S219+T274*T219+U274*U219+V274*V219+W274*W219+X274*X219+Y274*Y219+Z274*Z219+AA274*AA219+AB274*AB219+AC274*AC219+AD274*AD219+AE274*AE219+AF274*AF219+AG274*AG219+AH274*AH219+AI274*AI219+AJ274*AJ219+AK274*AK219+AL274*AL219+AM274*AM219+AN274*AN219+AO274*AO219+AP274*AP219+AQ274*AQ219+AR274*AR219+AS274*AS219+AT274*AT219+AU274*AU219+AV274*AV219+AW274*AW219+AX274*AX219+AY274*AY219+AZ274*AZ219+BA274*BA219+BB274*BB219+BC274*BC219+BD274*BD219+BE274*BE219+BF274*BF219+BG274*BG219+BH274*BH219+BI274*BI219+BJ274*BJ219+BK274*BK219+BL274*BL219+BM274*BM219+BN274*BN219+BO274*BO219+BP274*BP219+BQ274*BQ219+BR274*BR219+BS274*BS219+BT274*BT219+BU274*BU219+BV274*BV219+BW274*BW219+BX274*BX219+BY274*BY219+BZ274*BZ219+CA274*CA219+CB274*CB219+CC274*CC219+CD274*CD219+CE274*CE219+CF274*CF219+CG274*CG219+CH274*CH219+CI274*CI219+CJ274*CJ219+CK274*CK219+CL274*CL219+CM274*CM219+CN274*CN219+CO274*CO219+CP274*CP219+CQ274*CQ219+CR274*CR219+CS274*CS219</f>
        <v>0</v>
      </c>
      <c r="DE219" s="2504">
        <f>E275*E219+F275*F219+G275*G219+H275*H219+I275*I219+J275*J219+K275*K219+L275*L219+M275*M219+N275*N219+O275*O219+P275*P219+Q275*Q219+R275*R219+S275*S219+T275*T219+U275*U219+V275*V219+W275*W219+X275*X219+Y275*Y219+Z275*Z219+AA275*AA219+AB275*AB219+AC275*AC219+AD275*AD219+AE275*AE219+AF275*AF219+AG275*AG219+AH275*AH219+AI275*AI219+AJ275*AJ219+AK275*AK219+AL275*AL219+AM275*AM219+AN275*AN219+AO275*AO219+AP275*AP219+AQ275*AQ219+AR275*AR219+AS275*AS219+AT275*AT219+AU275*AU219+AV275*AV219+AW275*AW219+AX275*AX219+AY275*AY219+AZ275*AZ219+BA275*BA219+BB275*BB219+BC275*BC219+BD275*BD219+BE275*BE219+BF275*BF219+BG275*BG219+BH275*BH219+BI275*BI219+BJ275*BJ219+BK275*BK219+BL275*BL219+BM275*BM219+BN275*BN219+BO275*BO219+BP275*BP219+BQ275*BQ219+BR275*BR219+BS275*BS219+BT275*BT219+BU275*BU219+BV275*BV219+BW275*BW219+BX275*BX219+BY275*BY219+BZ275*BZ219+CA275*CA219+CB275*CB219+CC275*CC219+CD275*CD219+CE275*CE219+CF275*CF219+CG275*CG219+CH275*CH219+CI275*CI219+CJ275*CJ219+CK275*CK219+CL275*CL219+CM275*CM219+CN275*CN219+CO275*CO219+CP275*CP219+CQ275*CQ219+CR275*CR219+CS275*CS219</f>
        <v>0</v>
      </c>
      <c r="DF219" s="2504">
        <f>E276*E219+F276*F219+G276*G219+H276*H219+I276*I219+J276*J219+K276*K219+L276*L219+M276*M219+N276*N219+O276*O219+P276*P219+Q276*Q219+R276*R219+S276*S219+T276*T219+U276*U219+V276*V219+W276*W219+X276*X219+Y276*Y219+Z276*Z219+AA276*AA219+AB276*AB219+AC276*AC219+AD276*AD219+AE276*AE219+AF276*AF219+AG276*AG219+AH276*AH219+AI276*AI219+AJ276*AJ219+AK276*AK219+AL276*AL219+AM276*AM219+AN276*AN219+AO276*AO219+AP276*AP219+AQ276*AQ219+AR276*AR219+AS276*AS219+AT276*AT219+AU276*AU219+AV276*AV219+AW276*AW219+AX276*AX219+AY276*AY219+AZ276*AZ219+BA276*BA219+BB276*BB219+BC276*BC219+BD276*BD219+BE276*BE219+BF276*BF219+BG276*BG219+BH276*BH219+BI276*BI219+BJ276*BJ219+BK276*BK219+BL276*BL219+BM276*BM219+BN276*BN219+BO276*BO219+BP276*BP219+BQ276*BQ219+BR276*BR219+BS276*BS219+BT276*BT219+BU276*BU219+BV276*BV219+BW276*BW219+BX276*BX219+BY276*BY219+BZ276*BZ219+CA276*CA219+CB276*CB219+CC276*CC219+CD276*CD219+CE276*CE219+CF276*CF219+CG276*CG219+CH276*CH219+CI276*CI219+CJ276*CJ219+CK276*CK219+CL276*CL219+CM276*CM219+CN276*CN219+CO276*CO219+CP276*CP219+CQ276*CQ219+CR276*CR219+CS276*CS219</f>
        <v>0</v>
      </c>
    </row>
    <row r="220" spans="2:110" x14ac:dyDescent="0.25">
      <c r="B220" s="1583">
        <v>78</v>
      </c>
      <c r="C220" s="551" t="s">
        <v>2944</v>
      </c>
      <c r="D220" s="552" t="s">
        <v>294</v>
      </c>
      <c r="E220" s="556">
        <f>2/3</f>
        <v>0.66666666666666663</v>
      </c>
      <c r="F220" s="506">
        <f>0</f>
        <v>0</v>
      </c>
      <c r="G220" s="506">
        <f>-1</f>
        <v>-1</v>
      </c>
      <c r="H220" s="506">
        <f>0</f>
        <v>0</v>
      </c>
      <c r="I220" s="506">
        <f>0</f>
        <v>0</v>
      </c>
      <c r="J220" s="506">
        <f>0</f>
        <v>0</v>
      </c>
      <c r="K220" s="506">
        <f>0</f>
        <v>0</v>
      </c>
      <c r="L220" s="506">
        <f>0</f>
        <v>0</v>
      </c>
      <c r="M220" s="506">
        <f>0</f>
        <v>0</v>
      </c>
      <c r="N220" s="506">
        <f>0</f>
        <v>0</v>
      </c>
      <c r="O220" s="506">
        <f>0</f>
        <v>0</v>
      </c>
      <c r="P220" s="506">
        <f>0</f>
        <v>0</v>
      </c>
      <c r="Q220" s="506">
        <f>0</f>
        <v>0</v>
      </c>
      <c r="R220" s="506">
        <f>0</f>
        <v>0</v>
      </c>
      <c r="S220" s="506">
        <f>0</f>
        <v>0</v>
      </c>
      <c r="T220" s="506">
        <f>0</f>
        <v>0</v>
      </c>
      <c r="U220" s="506">
        <f>0</f>
        <v>0</v>
      </c>
      <c r="V220" s="506">
        <f>0</f>
        <v>0</v>
      </c>
      <c r="W220" s="506">
        <f>0</f>
        <v>0</v>
      </c>
      <c r="X220" s="506">
        <f>0</f>
        <v>0</v>
      </c>
      <c r="Y220" s="506">
        <f>0</f>
        <v>0</v>
      </c>
      <c r="Z220" s="506">
        <f>0</f>
        <v>0</v>
      </c>
      <c r="AA220" s="506">
        <f>0</f>
        <v>0</v>
      </c>
      <c r="AB220" s="506">
        <f>0</f>
        <v>0</v>
      </c>
      <c r="AC220" s="506">
        <f>0</f>
        <v>0</v>
      </c>
      <c r="AD220" s="506">
        <f>0</f>
        <v>0</v>
      </c>
      <c r="AE220" s="506">
        <f>0</f>
        <v>0</v>
      </c>
      <c r="AF220" s="506">
        <f>0</f>
        <v>0</v>
      </c>
      <c r="AG220" s="506">
        <f>0</f>
        <v>0</v>
      </c>
      <c r="AH220" s="506">
        <f>0</f>
        <v>0</v>
      </c>
      <c r="AI220" s="506">
        <f>0</f>
        <v>0</v>
      </c>
      <c r="AJ220" s="506">
        <f>0</f>
        <v>0</v>
      </c>
      <c r="AK220" s="506">
        <f>0</f>
        <v>0</v>
      </c>
      <c r="AL220" s="506">
        <f>0</f>
        <v>0</v>
      </c>
      <c r="AM220" s="506">
        <f>0</f>
        <v>0</v>
      </c>
      <c r="AN220" s="506">
        <f>0</f>
        <v>0</v>
      </c>
      <c r="AO220" s="506">
        <f>0</f>
        <v>0</v>
      </c>
      <c r="AP220" s="506">
        <f>0</f>
        <v>0</v>
      </c>
      <c r="AQ220" s="506">
        <f>0</f>
        <v>0</v>
      </c>
      <c r="AR220" s="506">
        <f>0</f>
        <v>0</v>
      </c>
      <c r="AS220" s="506">
        <f>0</f>
        <v>0</v>
      </c>
      <c r="AT220" s="506">
        <f>0</f>
        <v>0</v>
      </c>
      <c r="AU220" s="556">
        <f>1/3</f>
        <v>0.33333333333333331</v>
      </c>
      <c r="AV220" s="506">
        <f>i_CIT_MEOL-i_CIT_VFA*2/3</f>
        <v>0</v>
      </c>
      <c r="AW220" s="506">
        <f>0</f>
        <v>0</v>
      </c>
      <c r="AX220" s="506">
        <f>0</f>
        <v>0</v>
      </c>
      <c r="AY220" s="506">
        <f>0</f>
        <v>0</v>
      </c>
      <c r="AZ220" s="506">
        <f>0</f>
        <v>0</v>
      </c>
      <c r="BA220" s="506">
        <f>0</f>
        <v>0</v>
      </c>
      <c r="BB220" s="506">
        <f>0</f>
        <v>0</v>
      </c>
      <c r="BC220" s="506">
        <f>0</f>
        <v>0</v>
      </c>
      <c r="BD220" s="506">
        <f>0</f>
        <v>0</v>
      </c>
      <c r="BE220" s="506">
        <f>0</f>
        <v>0</v>
      </c>
      <c r="BF220" s="506">
        <f>0</f>
        <v>0</v>
      </c>
      <c r="BG220" s="506">
        <f>0</f>
        <v>0</v>
      </c>
      <c r="BH220" s="506">
        <f>0</f>
        <v>0</v>
      </c>
      <c r="BI220" s="506">
        <f>0</f>
        <v>0</v>
      </c>
      <c r="BJ220" s="506">
        <f>0</f>
        <v>0</v>
      </c>
      <c r="BK220" s="506">
        <f>0</f>
        <v>0</v>
      </c>
      <c r="BL220" s="506">
        <f>0</f>
        <v>0</v>
      </c>
      <c r="BM220" s="506">
        <f>0</f>
        <v>0</v>
      </c>
      <c r="BN220" s="506">
        <f>0</f>
        <v>0</v>
      </c>
      <c r="BO220" s="506">
        <f>0</f>
        <v>0</v>
      </c>
      <c r="BP220" s="506">
        <f>0</f>
        <v>0</v>
      </c>
      <c r="BQ220" s="506">
        <f>0</f>
        <v>0</v>
      </c>
      <c r="BR220" s="506">
        <f>0</f>
        <v>0</v>
      </c>
      <c r="BS220" s="506">
        <f>0</f>
        <v>0</v>
      </c>
      <c r="BT220" s="506">
        <f>0</f>
        <v>0</v>
      </c>
      <c r="BU220" s="506">
        <f>0</f>
        <v>0</v>
      </c>
      <c r="BV220" s="506">
        <f>0</f>
        <v>0</v>
      </c>
      <c r="BW220" s="2367">
        <f>0</f>
        <v>0</v>
      </c>
      <c r="BX220" s="2367">
        <f>0</f>
        <v>0</v>
      </c>
      <c r="BY220" s="2367">
        <f>0</f>
        <v>0</v>
      </c>
      <c r="BZ220" s="2367">
        <f>0</f>
        <v>0</v>
      </c>
      <c r="CA220" s="506">
        <f>0</f>
        <v>0</v>
      </c>
      <c r="CB220" s="506">
        <f>0</f>
        <v>0</v>
      </c>
      <c r="CC220" s="506">
        <f>0</f>
        <v>0</v>
      </c>
      <c r="CD220" s="506">
        <f>0</f>
        <v>0</v>
      </c>
      <c r="CE220" s="506">
        <f>0</f>
        <v>0</v>
      </c>
      <c r="CF220" s="506">
        <f>0</f>
        <v>0</v>
      </c>
      <c r="CG220" s="506">
        <f>0</f>
        <v>0</v>
      </c>
      <c r="CH220" s="506">
        <f>0</f>
        <v>0</v>
      </c>
      <c r="CI220" s="506">
        <f>0</f>
        <v>0</v>
      </c>
      <c r="CJ220" s="506">
        <f>0</f>
        <v>0</v>
      </c>
      <c r="CK220" s="506">
        <f>0</f>
        <v>0</v>
      </c>
      <c r="CL220" s="506">
        <f>0</f>
        <v>0</v>
      </c>
      <c r="CM220" s="506">
        <f>0</f>
        <v>0</v>
      </c>
      <c r="CN220" s="506">
        <f>0</f>
        <v>0</v>
      </c>
      <c r="CO220" s="506">
        <f>0</f>
        <v>0</v>
      </c>
      <c r="CP220" s="506">
        <f>0</f>
        <v>0</v>
      </c>
      <c r="CQ220" s="506">
        <f>0</f>
        <v>0</v>
      </c>
      <c r="CR220" s="506">
        <f>0</f>
        <v>0</v>
      </c>
      <c r="CS220" s="506">
        <f>0</f>
        <v>0</v>
      </c>
      <c r="CT220" s="2491">
        <f>q_MEOL*S_MEOL*M_satSCO2_KCO2_BIO*M_inhSO2_KO2_OHO*M_inhSNO3_KNO3_OHO*M_inhSNO2_KNO2_OHO</f>
        <v>1.7603623491797663E-52</v>
      </c>
      <c r="CV220" s="2502">
        <f>E266*E220+F266*F220+G266*G220+H266*H220+I266*I220+J266*J220+K266*K220+L266*L220+M266*M220+N266*N220+O266*O220+P266*P220+Q266*Q220+R266*R220+S266*S220+T266*T220+U266*U220+V266*V220+W266*W220+X266*X220+Y266*Y220+Z266*Z220+AA266*AA220+AB266*AB220+AC266*AC220+AD266*AD220+AE266*AE220+AF266*AF220+AG266*AG220+AH266*AH220+AI266*AI220+AJ266*AJ220+AK266*AK220+AL266*AL220+AM266*AM220+AN266*AN220+AO266*AO220+AP266*AP220+AQ266*AQ220+AR266*AR220+AS266*AS220+AT266*AT220+AU266*AU220+AV266*AV220+AW266*AW220+AX266*AX220+AY266*AY220+AZ266*AZ220+BA266*BA220+BB266*BB220+BC266*BC220+BD266*BD220+BE266*BE220+BF266*BF220+BG266*BG220+BH266*BH220+BI266*BI220+BJ266*BJ220+BK266*BK220+BL266*BL220+BM266*BM220+BN266*BN220+BO266*BO220+BP266*BP220+BQ266*BQ220+BR266*BR220+BS266*BS220+BT266*BT220+BU266*BU220+BV266*BV220+BW266*BW220+BX266*BX220+BY266*BY220+BZ266*BZ220+CA266*CA220+CB266*CB220+CC266*CC220+CD266*CD220+CE266*CE220+CF266*CF220+CG266*CG220+CH266*CH220+CI266*CI220+CJ266*CJ220+CK266*CK220+CL266*CL220+CM266*CM220+CN266*CN220+CO266*CO220+CP266*CP220+CQ266*CQ220+CR266*CR220+CS266*CS220</f>
        <v>-5.5511151231257827E-17</v>
      </c>
      <c r="CW220" s="2502">
        <f>E267*E220+F267*F220+G267*G220+H267*H220+I267*I220+J267*J220+K267*K220+L267*L220+M267*M220+N267*N220+O267*O220+P267*P220+Q267*Q220+R267*R220+S267*S220+T267*T220+U267*U220+V267*V220+W267*W220+X267*X220+Y267*Y220+Z267*Z220+AA267*AA220+AB267*AB220+AC267*AC220+AD267*AD220+AE267*AE220+AF267*AF220+AG267*AG220+AH267*AH220+AI267*AI220+AJ267*AJ220+AK267*AK220+AL267*AL220+AM267*AM220+AN267*AN220+AO267*AO220+AP267*AP220+AQ267*AQ220+AR267*AR220+AS267*AS220+AT267*AT220+AU267*AU220+AV267*AV220+AW267*AW220+AX267*AX220+AY267*AY220+AZ267*AZ220+BA267*BA220+BB267*BB220+BC267*BC220+BD267*BD220+BE267*BE220+BF267*BF220+BG267*BG220+BH267*BH220+BI267*BI220+BJ267*BJ220+BK267*BK220+BL267*BL220+BM267*BM220+BN267*BN220+BO267*BO220+BP267*BP220+BQ267*BQ220+BR267*BR220+BS267*BS220+BT267*BT220+BU267*BU220+BV267*BV220+BW267*BW220+BX267*BX220+BY267*BY220+BZ267*BZ220+CA267*CA220+CB267*CB220+CC267*CC220+CD267*CD220+CE267*CE220+CF267*CF220+CG267*CG220+CH267*CH220+CI267*CI220+CJ267*CJ220+CK267*CK220+CL267*CL220+CM267*CM220+CN267*CN220+CO267*CO220+CP267*CP220+CQ267*CQ220+CR267*CR220+CS267*CS220</f>
        <v>0</v>
      </c>
      <c r="CX220" s="2503">
        <f>E268*E220+F268*F220+G268*G220+H268*H220+I268*I220+J268*J220+K268*K220+L268*L220+M268*M220+N268*N220+O268*O220+P268*P220+Q268*Q220+R268*R220+S268*S220+T268*T220+U268*U220+V268*V220+W268*W220+X268*X220+Y268*Y220+Z268*Z220+AA268*AA220+AB268*AB220+AC268*AC220+AD268*AD220+AE268*AE220+AF268*AF220+AG268*AG220+AH268*AH220+AI268*AI220+AJ268*AJ220+AK268*AK220+AL268*AL220+AM268*AM220+AN268*AN220+AO268*AO220+AP268*AP220+AQ268*AQ220+AR268*AR220+AS268*AS220+AT268*AT220+AU268*AU220+AV268*AV220+AW268*AW220+AX268*AX220+AY268*AY220+AZ268*AZ220+BA268*BA220+BB268*BB220+BC268*BC220+BD268*BD220+BE268*BE220+BF268*BF220+BG268*BG220+BH268*BH220+BI268*BI220+BJ268*BJ220+BK268*BK220+BL268*BL220+BM268*BM220+BN268*BN220+BO268*BO220+BP268*BP220+BQ268*BQ220+BR268*BR220+BS268*BS220+BT268*BT220+BU268*BU220+BV268*BV220+BW268*BW220+BX268*BX220+BY268*BY220+BZ268*BZ220+CA268*CA220+CB268*CB220+CC268*CC220+CD268*CD220+CE268*CE220+CF268*CF220+CG268*CG220+CH268*CH220+CI268*CI220+CJ268*CJ220+CK268*CK220+CL268*CL220+CM268*CM220+CN268*CN220+CO268*CO220+CP268*CP220+CQ268*CQ220+CR268*CR220+CS268*CS220</f>
        <v>0</v>
      </c>
      <c r="CY220" s="2504">
        <f>E269*E220+F269*F220+G269*G220+H269*H220+I269*I220+J269*J220+K269*K220+L269*L220+M269*M220+N269*N220+O269*O220+P269*P220+Q269*Q220+R269*R220+S269*S220+T269*T220+U269*U220+V269*V220+W269*W220+X269*X220+Y269*Y220+Z269*Z220+AA269*AA220+AB269*AB220+AC269*AC220+AD269*AD220+AE269*AE220+AF269*AF220+AG269*AG220+AH269*AH220+AI269*AI220+AJ269*AJ220+AK269*AK220+AL269*AL220+AM269*AM220+AN269*AN220+AO269*AO220+AP269*AP220+AQ269*AQ220+AR269*AR220+AS269*AS220+AT269*AT220+AU269*AU220+AV269*AV220+AW269*AW220+AX269*AX220+AY269*AY220+AZ269*AZ220+BA269*BA220+BB269*BB220+BC269*BC220+BD269*BD220+BE269*BE220+BF269*BF220+BG269*BG220+BH269*BH220+BI269*BI220+BJ269*BJ220+BK269*BK220+BL269*BL220+BM269*BM220+BN269*BN220+BO269*BO220+BP269*BP220+BQ269*BQ220+BR269*BR220+BS269*BS220+BT269*BT220+BU269*BU220+BV269*BV220+BW269*BW220+BX269*BX220+BY269*BY220+BZ269*BZ220+CA269*CA220+CB269*CB220+CC269*CC220+CD269*CD220+CE269*CE220+CF269*CF220+CG269*CG220+CH269*CH220+CI269*CI220+CJ269*CJ220+CK269*CK220+CL269*CL220+CM269*CM220+CN269*CN220+CO269*CO220+CP269*CP220+CQ269*CQ220+CR269*CR220+CS269*CS220</f>
        <v>0</v>
      </c>
      <c r="CZ220" s="2504">
        <f>E270*E220+F270*F220+G270*G220+H270*H220+I270*I220+J270*J220+K270*K220+L270*L220+M270*M220+N270*N220+O270*O220+P270*P220+Q270*Q220+R270*R220+S270*S220+T270*T220+U270*U220+V270*V220+W270*W220+X270*X220+Y270*Y220+Z270*Z220+AA270*AA220+AB270*AB220+AC270*AC220+AD270*AD220+AE270*AE220+AF270*AF220+AG270*AG220+AH270*AH220+AI270*AI220+AJ270*AJ220+AK270*AK220+AL270*AL220+AM270*AM220+AN270*AN220+AO270*AO220+AP270*AP220+AQ270*AQ220+AR270*AR220+AS270*AS220+AT270*AT220+AU270*AU220+AV270*AV220+AW270*AW220+AX270*AX220+AY270*AY220+AZ270*AZ220+BA270*BA220+BB270*BB220+BC270*BC220+BD270*BD220+BE270*BE220+BF270*BF220+BG270*BG220+BH270*BH220+BI270*BI220+BJ270*BJ220+BK270*BK220+BL270*BL220+BM270*BM220+BN270*BN220+BO270*BO220+BP270*BP220+BQ270*BQ220+BR270*BR220+BS270*BS220+BT270*BT220+BU270*BU220+BV270*BV220+BW270*BW220+BX270*BX220+BY270*BY220+BZ270*BZ220+CA270*CA220+CB270*CB220+CC270*CC220+CD270*CD220+CE270*CE220+CF270*CF220+CG270*CG220+CH270*CH220+CI270*CI220+CJ270*CJ220+CK270*CK220+CL270*CL220+CM270*CM220+CN270*CN220+CO270*CO220+CP270*CP220+CQ270*CQ220+CR270*CR220+CS270*CS220</f>
        <v>0</v>
      </c>
      <c r="DA220" s="2504">
        <f>E271*E220+F271*F220+G271*G220+H271*H220+I271*I220+J271*J220+K271*K220+L271*L220+M271*M220+N271*N220+O271*O220+P271*P220+Q271*Q220+R271*R220+S271*S220+T271*T220+U271*U220+V271*V220+W271*W220+X271*X220+Y271*Y220+Z271*Z220+AA271*AA220+AB271*AB220+AC271*AC220+AD271*AD220+AE271*AE220+AF271*AF220+AG271*AG220+AH271*AH220+AI271*AI220+AJ271*AJ220+AK271*AK220+AL271*AL220+AM271*AM220+AN271*AN220+AO271*AO220+AP271*AP220+AQ271*AQ220+AR271*AR220+AS271*AS220+AT271*AT220+AU271*AU220+AV271*AV220+AW271*AW220+AX271*AX220+AY271*AY220+AZ271*AZ220+BA271*BA220+BB271*BB220+BC271*BC220+BD271*BD220+BE271*BE220+BF271*BF220+BG271*BG220+BH271*BH220+BI271*BI220+BJ271*BJ220+BK271*BK220+BL271*BL220+BM271*BM220+BN271*BN220+BO271*BO220+BP271*BP220+BQ271*BQ220+BR271*BR220+BS271*BS220+BT271*BT220+BU271*BU220+BV271*BV220+BW271*BW220+BX271*BX220+BY271*BY220+BZ271*BZ220+CA271*CA220+CB271*CB220+CC271*CC220+CD271*CD220+CE271*CE220+CF271*CF220+CG271*CG220+CH271*CH220+CI271*CI220+CJ271*CJ220+CK271*CK220+CL271*CL220+CM271*CM220+CN271*CN220+CO271*CO220+CP271*CP220+CQ271*CQ220+CR271*CR220+CS271*CS220</f>
        <v>0</v>
      </c>
      <c r="DB220" s="2504">
        <f>E272*E220+F272*F220+G272*G220+H272*H220+I272*I220+J272*J220+K272*K220+L272*L220+M272*M220+N272*N220+O272*O220+P272*P220+Q272*Q220+R272*R220+S272*S220+T272*T220+U272*U220+V272*V220+W272*W220+X272*X220+Y272*Y220+Z272*Z220+AA272*AA220+AB272*AB220+AC272*AC220+AD272*AD220+AE272*AE220+AF272*AF220+AG272*AG220+AH272*AH220+AI272*AI220+AJ272*AJ220+AK272*AK220+AL272*AL220+AM272*AM220+AN272*AN220+AO272*AO220+AP272*AP220+AQ272*AQ220+AR272*AR220+AS272*AS220+AT272*AT220+AU272*AU220+AV272*AV220+AW272*AW220+AX272*AX220+AY272*AY220+AZ272*AZ220+BA272*BA220+BB272*BB220+BC272*BC220+BD272*BD220+BE272*BE220+BF272*BF220+BG272*BG220+BH272*BH220+BI272*BI220+BJ272*BJ220+BK272*BK220+BL272*BL220+BM272*BM220+BN272*BN220+BO272*BO220+BP272*BP220+BQ272*BQ220+BR272*BR220+BS272*BS220+BT272*BT220+BU272*BU220+BV272*BV220+BW272*BW220+BX272*BX220+BY272*BY220+BZ272*BZ220+CA272*CA220+CB272*CB220+CC272*CC220+CD272*CD220+CE272*CE220+CF272*CF220+CG272*CG220+CH272*CH220+CI272*CI220+CJ272*CJ220+CK272*CK220+CL272*CL220+CM272*CM220+CN272*CN220+CO272*CO220+CP272*CP220+CQ272*CQ220+CR272*CR220+CS272*CS220</f>
        <v>0</v>
      </c>
      <c r="DC220" s="2504">
        <f>E273*E220+F273*F220+G273*G220+H273*H220+I273*I220+J273*J220+K273*K220+L273*L220+M273*M220+N273*N220+O273*O220+P273*P220+Q273*Q220+R273*R220+S273*S220+T273*T220+U273*U220+V273*V220+W273*W220+X273*X220+Y273*Y220+Z273*Z220+AA273*AA220+AB273*AB220+AC273*AC220+AD273*AD220+AE273*AE220+AF273*AF220+AG273*AG220+AH273*AH220+AI273*AI220+AJ273*AJ220+AK273*AK220+AL273*AL220+AM273*AM220+AN273*AN220+AO273*AO220+AP273*AP220+AQ273*AQ220+AR273*AR220+AS273*AS220+AT273*AT220+AU273*AU220+AV273*AV220+AW273*AW220+AX273*AX220+AY273*AY220+AZ273*AZ220+BA273*BA220+BB273*BB220+BC273*BC220+BD273*BD220+BE273*BE220+BF273*BF220+BG273*BG220+BH273*BH220+BI273*BI220+BJ273*BJ220+BK273*BK220+BL273*BL220+BM273*BM220+BN273*BN220+BO273*BO220+BP273*BP220+BQ273*BQ220+BR273*BR220+BS273*BS220+BT273*BT220+BU273*BU220+BV273*BV220+BW273*BW220+BX273*BX220+BY273*BY220+BZ273*BZ220+CA273*CA220+CB273*CB220+CC273*CC220+CD273*CD220+CE273*CE220+CF273*CF220+CG273*CG220+CH273*CH220+CI273*CI220+CJ273*CJ220+CK273*CK220+CL273*CL220+CM273*CM220+CN273*CN220+CO273*CO220+CP273*CP220+CQ273*CQ220+CR273*CR220+CS273*CS220</f>
        <v>0</v>
      </c>
      <c r="DD220" s="2504">
        <f>E274*E220+F274*F220+G274*G220+H274*H220+I274*I220+J274*J220+K274*K220+L274*L220+M274*M220+N274*N220+O274*O220+P274*P220+Q274*Q220+R274*R220+S274*S220+T274*T220+U274*U220+V274*V220+W274*W220+X274*X220+Y274*Y220+Z274*Z220+AA274*AA220+AB274*AB220+AC274*AC220+AD274*AD220+AE274*AE220+AF274*AF220+AG274*AG220+AH274*AH220+AI274*AI220+AJ274*AJ220+AK274*AK220+AL274*AL220+AM274*AM220+AN274*AN220+AO274*AO220+AP274*AP220+AQ274*AQ220+AR274*AR220+AS274*AS220+AT274*AT220+AU274*AU220+AV274*AV220+AW274*AW220+AX274*AX220+AY274*AY220+AZ274*AZ220+BA274*BA220+BB274*BB220+BC274*BC220+BD274*BD220+BE274*BE220+BF274*BF220+BG274*BG220+BH274*BH220+BI274*BI220+BJ274*BJ220+BK274*BK220+BL274*BL220+BM274*BM220+BN274*BN220+BO274*BO220+BP274*BP220+BQ274*BQ220+BR274*BR220+BS274*BS220+BT274*BT220+BU274*BU220+BV274*BV220+BW274*BW220+BX274*BX220+BY274*BY220+BZ274*BZ220+CA274*CA220+CB274*CB220+CC274*CC220+CD274*CD220+CE274*CE220+CF274*CF220+CG274*CG220+CH274*CH220+CI274*CI220+CJ274*CJ220+CK274*CK220+CL274*CL220+CM274*CM220+CN274*CN220+CO274*CO220+CP274*CP220+CQ274*CQ220+CR274*CR220+CS274*CS220</f>
        <v>0</v>
      </c>
      <c r="DE220" s="2504">
        <f>E275*E220+F275*F220+G275*G220+H275*H220+I275*I220+J275*J220+K275*K220+L275*L220+M275*M220+N275*N220+O275*O220+P275*P220+Q275*Q220+R275*R220+S275*S220+T275*T220+U275*U220+V275*V220+W275*W220+X275*X220+Y275*Y220+Z275*Z220+AA275*AA220+AB275*AB220+AC275*AC220+AD275*AD220+AE275*AE220+AF275*AF220+AG275*AG220+AH275*AH220+AI275*AI220+AJ275*AJ220+AK275*AK220+AL275*AL220+AM275*AM220+AN275*AN220+AO275*AO220+AP275*AP220+AQ275*AQ220+AR275*AR220+AS275*AS220+AT275*AT220+AU275*AU220+AV275*AV220+AW275*AW220+AX275*AX220+AY275*AY220+AZ275*AZ220+BA275*BA220+BB275*BB220+BC275*BC220+BD275*BD220+BE275*BE220+BF275*BF220+BG275*BG220+BH275*BH220+BI275*BI220+BJ275*BJ220+BK275*BK220+BL275*BL220+BM275*BM220+BN275*BN220+BO275*BO220+BP275*BP220+BQ275*BQ220+BR275*BR220+BS275*BS220+BT275*BT220+BU275*BU220+BV275*BV220+BW275*BW220+BX275*BX220+BY275*BY220+BZ275*BZ220+CA275*CA220+CB275*CB220+CC275*CC220+CD275*CD220+CE275*CE220+CF275*CF220+CG275*CG220+CH275*CH220+CI275*CI220+CJ275*CJ220+CK275*CK220+CL275*CL220+CM275*CM220+CN275*CN220+CO275*CO220+CP275*CP220+CQ275*CQ220+CR275*CR220+CS275*CS220</f>
        <v>0</v>
      </c>
      <c r="DF220" s="2504">
        <f>E276*E220+F276*F220+G276*G220+H276*H220+I276*I220+J276*J220+K276*K220+L276*L220+M276*M220+N276*N220+O276*O220+P276*P220+Q276*Q220+R276*R220+S276*S220+T276*T220+U276*U220+V276*V220+W276*W220+X276*X220+Y276*Y220+Z276*Z220+AA276*AA220+AB276*AB220+AC276*AC220+AD276*AD220+AE276*AE220+AF276*AF220+AG276*AG220+AH276*AH220+AI276*AI220+AJ276*AJ220+AK276*AK220+AL276*AL220+AM276*AM220+AN276*AN220+AO276*AO220+AP276*AP220+AQ276*AQ220+AR276*AR220+AS276*AS220+AT276*AT220+AU276*AU220+AV276*AV220+AW276*AW220+AX276*AX220+AY276*AY220+AZ276*AZ220+BA276*BA220+BB276*BB220+BC276*BC220+BD276*BD220+BE276*BE220+BF276*BF220+BG276*BG220+BH276*BH220+BI276*BI220+BJ276*BJ220+BK276*BK220+BL276*BL220+BM276*BM220+BN276*BN220+BO276*BO220+BP276*BP220+BQ276*BQ220+BR276*BR220+BS276*BS220+BT276*BT220+BU276*BU220+BV276*BV220+BW276*BW220+BX276*BX220+BY276*BY220+BZ276*BZ220+CA276*CA220+CB276*CB220+CC276*CC220+CD276*CD220+CE276*CE220+CF276*CF220+CG276*CG220+CH276*CH220+CI276*CI220+CJ276*CJ220+CK276*CK220+CL276*CL220+CM276*CM220+CN276*CN220+CO276*CO220+CP276*CP220+CQ276*CQ220+CR276*CR220+CS276*CS220</f>
        <v>0</v>
      </c>
    </row>
    <row r="221" spans="2:110" ht="18" x14ac:dyDescent="0.35">
      <c r="B221" s="1583">
        <v>79</v>
      </c>
      <c r="C221" s="551" t="s">
        <v>2945</v>
      </c>
      <c r="D221" s="552" t="s">
        <v>2292</v>
      </c>
      <c r="E221" s="506">
        <f>0</f>
        <v>0</v>
      </c>
      <c r="F221" s="506">
        <f>0</f>
        <v>0</v>
      </c>
      <c r="G221" s="506">
        <f>0</f>
        <v>0</v>
      </c>
      <c r="H221" s="506">
        <f>0</f>
        <v>0</v>
      </c>
      <c r="I221" s="506">
        <f>0</f>
        <v>0</v>
      </c>
      <c r="J221" s="506">
        <f>0</f>
        <v>0</v>
      </c>
      <c r="K221" s="506">
        <f>0</f>
        <v>0</v>
      </c>
      <c r="L221" s="506">
        <f>0</f>
        <v>0</v>
      </c>
      <c r="M221" s="506">
        <f>0</f>
        <v>0</v>
      </c>
      <c r="N221" s="506">
        <f>0</f>
        <v>0</v>
      </c>
      <c r="O221" s="506">
        <f>0</f>
        <v>0</v>
      </c>
      <c r="P221" s="506">
        <f>0</f>
        <v>0</v>
      </c>
      <c r="Q221" s="506">
        <f>0</f>
        <v>0</v>
      </c>
      <c r="R221" s="556">
        <f>-E_EQNO2*X_OHO/X_BIO</f>
        <v>-1.6233078575034114</v>
      </c>
      <c r="S221" s="556">
        <f>-E_EQNO2*X_CASTO/X_BIO</f>
        <v>-1.6233078575034114</v>
      </c>
      <c r="T221" s="556">
        <f>-E_EQNO2*X_MEOLO/X_BIO</f>
        <v>-3.2466157150068229E-3</v>
      </c>
      <c r="U221" s="556">
        <f>-E_EQNO2*X_AOB/X_BIO</f>
        <v>-0.10713831859522514</v>
      </c>
      <c r="V221" s="556">
        <f>-E_EQNO2*X_NOB/X_BIO</f>
        <v>-6.4932314300136462E-2</v>
      </c>
      <c r="W221" s="556">
        <f>-E_EQNO2*X_AMX/X_BIO</f>
        <v>-3.2466157150068229E-3</v>
      </c>
      <c r="X221" s="556">
        <f>-E_EQNO2*X_AMETO/X_BIO</f>
        <v>-9.7398471450204683E-4</v>
      </c>
      <c r="Y221" s="556">
        <f>-E_EQNO2*X_HMETO/X_BIO</f>
        <v>-6.4932314300136459E-4</v>
      </c>
      <c r="Z221" s="556">
        <f>-E_EQNO2*X_ALGAE/X_BIO</f>
        <v>0</v>
      </c>
      <c r="AA221" s="506">
        <f>1+(i_N_BIO*E_EQNO2*(X_BIO-X_ALGAE)+i_N_ALGAE*E_EQNO2*X_ALGAE)/X_BIO</f>
        <v>1.2398762021032792</v>
      </c>
      <c r="AB221" s="506">
        <f>0</f>
        <v>0</v>
      </c>
      <c r="AC221" s="506">
        <f>0</f>
        <v>0</v>
      </c>
      <c r="AD221" s="506">
        <f>-1</f>
        <v>-1</v>
      </c>
      <c r="AE221" s="506">
        <f>0</f>
        <v>0</v>
      </c>
      <c r="AF221" s="506">
        <f>0</f>
        <v>0</v>
      </c>
      <c r="AG221" s="506">
        <f>0</f>
        <v>0</v>
      </c>
      <c r="AH221" s="506">
        <f>0</f>
        <v>0</v>
      </c>
      <c r="AI221" s="506">
        <f>0</f>
        <v>0</v>
      </c>
      <c r="AJ221" s="506">
        <f>0</f>
        <v>0</v>
      </c>
      <c r="AK221" s="506">
        <f>0</f>
        <v>0</v>
      </c>
      <c r="AL221" s="506">
        <f>0</f>
        <v>0</v>
      </c>
      <c r="AM221" s="506">
        <f>(i_P_BIO*E_EQNO2*(X_BIO-X_ALGAE)+i_P_ALGAE*E_EQNO2*X_ALGAE)/X_BIO</f>
        <v>6.8536057743794038E-2</v>
      </c>
      <c r="AN221" s="506">
        <f>0</f>
        <v>0</v>
      </c>
      <c r="AO221" s="506">
        <f>0</f>
        <v>0</v>
      </c>
      <c r="AP221" s="506">
        <f>0</f>
        <v>0</v>
      </c>
      <c r="AQ221" s="506">
        <f>0</f>
        <v>0</v>
      </c>
      <c r="AR221" s="506">
        <f>0</f>
        <v>0</v>
      </c>
      <c r="AS221" s="506">
        <f>0</f>
        <v>0</v>
      </c>
      <c r="AT221" s="506">
        <f>0</f>
        <v>0</v>
      </c>
      <c r="AU221" s="506">
        <f>0</f>
        <v>0</v>
      </c>
      <c r="AV221" s="506">
        <f>(i_CIT_BIO*E_EQNO2*(X_BIO-X_ALGAE)+i_CIT_ALGAE*E_EQNO2*X_ALGAE)/X_BIO</f>
        <v>1.2062346162907749</v>
      </c>
      <c r="AW221" s="506">
        <f>0</f>
        <v>0</v>
      </c>
      <c r="AX221" s="506">
        <f>0</f>
        <v>0</v>
      </c>
      <c r="AY221" s="506">
        <f>0</f>
        <v>0</v>
      </c>
      <c r="AZ221" s="506">
        <f>0</f>
        <v>0</v>
      </c>
      <c r="BA221" s="506">
        <f>0</f>
        <v>0</v>
      </c>
      <c r="BB221" s="506">
        <f>0</f>
        <v>0</v>
      </c>
      <c r="BC221" s="506">
        <f>0</f>
        <v>0</v>
      </c>
      <c r="BD221" s="506">
        <f>0</f>
        <v>0</v>
      </c>
      <c r="BE221" s="506">
        <f>0</f>
        <v>0</v>
      </c>
      <c r="BF221" s="506">
        <f>0</f>
        <v>0</v>
      </c>
      <c r="BG221" s="506">
        <f>0</f>
        <v>0</v>
      </c>
      <c r="BH221" s="506">
        <f>0</f>
        <v>0</v>
      </c>
      <c r="BI221" s="506">
        <f>0</f>
        <v>0</v>
      </c>
      <c r="BJ221" s="506">
        <f>0</f>
        <v>0</v>
      </c>
      <c r="BK221" s="506">
        <f>0</f>
        <v>0</v>
      </c>
      <c r="BL221" s="506">
        <f>0</f>
        <v>0</v>
      </c>
      <c r="BM221" s="506">
        <f>0</f>
        <v>0</v>
      </c>
      <c r="BN221" s="506">
        <f>0</f>
        <v>0</v>
      </c>
      <c r="BO221" s="506">
        <f>0</f>
        <v>0</v>
      </c>
      <c r="BP221" s="506">
        <f>0</f>
        <v>0</v>
      </c>
      <c r="BQ221" s="506">
        <f>0</f>
        <v>0</v>
      </c>
      <c r="BR221" s="506">
        <f>0</f>
        <v>0</v>
      </c>
      <c r="BS221" s="506">
        <f>0</f>
        <v>0</v>
      </c>
      <c r="BT221" s="506">
        <f>0</f>
        <v>0</v>
      </c>
      <c r="BU221" s="506">
        <f>0</f>
        <v>0</v>
      </c>
      <c r="BV221" s="506">
        <f>0</f>
        <v>0</v>
      </c>
      <c r="BW221" s="2367">
        <f>0</f>
        <v>0</v>
      </c>
      <c r="BX221" s="2367">
        <f>0</f>
        <v>0</v>
      </c>
      <c r="BY221" s="2367">
        <f>0</f>
        <v>0</v>
      </c>
      <c r="BZ221" s="2367">
        <f>0</f>
        <v>0</v>
      </c>
      <c r="CA221" s="506">
        <f>0</f>
        <v>0</v>
      </c>
      <c r="CB221" s="506">
        <f>0</f>
        <v>0</v>
      </c>
      <c r="CC221" s="506">
        <f>0</f>
        <v>0</v>
      </c>
      <c r="CD221" s="506">
        <f>0</f>
        <v>0</v>
      </c>
      <c r="CE221" s="506">
        <f>0</f>
        <v>0</v>
      </c>
      <c r="CF221" s="506">
        <f>0</f>
        <v>0</v>
      </c>
      <c r="CG221" s="506">
        <f>0</f>
        <v>0</v>
      </c>
      <c r="CH221" s="506">
        <f>0</f>
        <v>0</v>
      </c>
      <c r="CI221" s="506">
        <f>0</f>
        <v>0</v>
      </c>
      <c r="CJ221" s="506">
        <f>0</f>
        <v>0</v>
      </c>
      <c r="CK221" s="506">
        <f>0</f>
        <v>0</v>
      </c>
      <c r="CL221" s="506">
        <f>0</f>
        <v>0</v>
      </c>
      <c r="CM221" s="506">
        <f>0</f>
        <v>0</v>
      </c>
      <c r="CN221" s="506">
        <f>0</f>
        <v>0</v>
      </c>
      <c r="CO221" s="506">
        <f>0</f>
        <v>0</v>
      </c>
      <c r="CP221" s="506">
        <f>0</f>
        <v>0</v>
      </c>
      <c r="CQ221" s="506">
        <f>0</f>
        <v>0</v>
      </c>
      <c r="CR221" s="506">
        <f>0</f>
        <v>0</v>
      </c>
      <c r="CS221" s="506">
        <f>0</f>
        <v>0</v>
      </c>
      <c r="CT221" s="2491">
        <f>q_ASSIM_T*X_BIO*M_satSNO2_KNO2_ASSIM*M_inhSNHx_KiNHx_ASSIM</f>
        <v>0.52226362066491516</v>
      </c>
      <c r="CV221" s="2502">
        <f>E266*E221+F266*F221+G266*G221+H266*H221+I266*I221+J266*J221+K266*K221+L266*L221+M266*M221+N266*N221+O266*O221+P266*P221+Q266*Q221+R266*R221+S266*S221+T266*T221+U266*U221+V266*V221+W266*W221+X266*X221+Y266*Y221+Z266*Z221+AA266*AA221+AB266*AB221+AC266*AC221+AD266*AD221+AE266*AE221+AF266*AF221+AG266*AG221+AH266*AH221+AI266*AI221+AJ266*AJ221+AK266*AK221+AL266*AL221+AM266*AM221+AN266*AN221+AO266*AO221+AP266*AP221+AQ266*AQ221+AR266*AR221+AS266*AS221+AT266*AT221+AU266*AU221+AV266*AV221+AW266*AW221+AX266*AX221+AY266*AY221+AZ266*AZ221+BA266*BA221+BB266*BB221+BC266*BC221+BD266*BD221+BE266*BE221+BF266*BF221+BG266*BG221+BH266*BH221+BI266*BI221+BJ266*BJ221+BK266*BK221+BL266*BL221+BM266*BM221+BN266*BN221+BO266*BO221+BP266*BP221+BQ266*BQ221+BR266*BR221+BS266*BS221+BT266*BT221+BU266*BU221+BV266*BV221+BW266*BW221+BX266*BX221+BY266*BY221+BZ266*BZ221+CA266*CA221+CB266*CB221+CC266*CC221+CD266*CD221+CE266*CE221+CF266*CF221+CG266*CG221+CH266*CH221+CI266*CI221+CJ266*CJ221+CK266*CK221+CL266*CL221+CM266*CM221+CN266*CN221+CO266*CO221+CP266*CP221+CQ266*CQ221+CR266*CR221+CS266*CS221</f>
        <v>0</v>
      </c>
      <c r="CW221" s="2502">
        <f>E267*E221+F267*F221+G267*G221+H267*H221+I267*I221+J267*J221+K267*K221+L267*L221+M267*M221+N267*N221+O267*O221+P267*P221+Q267*Q221+R267*R221+S267*S221+T267*T221+U267*U221+V267*V221+W267*W221+X267*X221+Y267*Y221+Z267*Z221+AA267*AA221+AB267*AB221+AC267*AC221+AD267*AD221+AE267*AE221+AF267*AF221+AG267*AG221+AH267*AH221+AI267*AI221+AJ267*AJ221+AK267*AK221+AL267*AL221+AM267*AM221+AN267*AN221+AO267*AO221+AP267*AP221+AQ267*AQ221+AR267*AR221+AS267*AS221+AT267*AT221+AU267*AU221+AV267*AV221+AW267*AW221+AX267*AX221+AY267*AY221+AZ267*AZ221+BA267*BA221+BB267*BB221+BC267*BC221+BD267*BD221+BE267*BE221+BF267*BF221+BG267*BG221+BH267*BH221+BI267*BI221+BJ267*BJ221+BK267*BK221+BL267*BL221+BM267*BM221+BN267*BN221+BO267*BO221+BP267*BP221+BQ267*BQ221+BR267*BR221+BS267*BS221+BT267*BT221+BU267*BU221+BV267*BV221+BW267*BW221+BX267*BX221+BY267*BY221+BZ267*BZ221+CA267*CA221+CB267*CB221+CC267*CC221+CD267*CD221+CE267*CE221+CF267*CF221+CG267*CG221+CH267*CH221+CI267*CI221+CJ267*CJ221+CK267*CK221+CL267*CL221+CM267*CM221+CN267*CN221+CO267*CO221+CP267*CP221+CQ267*CQ221+CR267*CR221+CS267*CS221</f>
        <v>0</v>
      </c>
      <c r="CX221" s="2503">
        <f>E268*E221+F268*F221+G268*G221+H268*H221+I268*I221+J268*J221+K268*K221+L268*L221+M268*M221+N268*N221+O268*O221+P268*P221+Q268*Q221+R268*R221+S268*S221+T268*T221+U268*U221+V268*V221+W268*W221+X268*X221+Y268*Y221+Z268*Z221+AA268*AA221+AB268*AB221+AC268*AC221+AD268*AD221+AE268*AE221+AF268*AF221+AG268*AG221+AH268*AH221+AI268*AI221+AJ268*AJ221+AK268*AK221+AL268*AL221+AM268*AM221+AN268*AN221+AO268*AO221+AP268*AP221+AQ268*AQ221+AR268*AR221+AS268*AS221+AT268*AT221+AU268*AU221+AV268*AV221+AW268*AW221+AX268*AX221+AY268*AY221+AZ268*AZ221+BA268*BA221+BB268*BB221+BC268*BC221+BD268*BD221+BE268*BE221+BF268*BF221+BG268*BG221+BH268*BH221+BI268*BI221+BJ268*BJ221+BK268*BK221+BL268*BL221+BM268*BM221+BN268*BN221+BO268*BO221+BP268*BP221+BQ268*BQ221+BR268*BR221+BS268*BS221+BT268*BT221+BU268*BU221+BV268*BV221+BW268*BW221+BX268*BX221+BY268*BY221+BZ268*BZ221+CA268*CA221+CB268*CB221+CC268*CC221+CD268*CD221+CE268*CE221+CF268*CF221+CG268*CG221+CH268*CH221+CI268*CI221+CJ268*CJ221+CK268*CK221+CL268*CL221+CM268*CM221+CN268*CN221+CO268*CO221+CP268*CP221+CQ268*CQ221+CR268*CR221+CS268*CS221</f>
        <v>0</v>
      </c>
      <c r="CY221" s="2504">
        <f>E269*E221+F269*F221+G269*G221+H269*H221+I269*I221+J269*J221+K269*K221+L269*L221+M269*M221+N269*N221+O269*O221+P269*P221+Q269*Q221+R269*R221+S269*S221+T269*T221+U269*U221+V269*V221+W269*W221+X269*X221+Y269*Y221+Z269*Z221+AA269*AA221+AB269*AB221+AC269*AC221+AD269*AD221+AE269*AE221+AF269*AF221+AG269*AG221+AH269*AH221+AI269*AI221+AJ269*AJ221+AK269*AK221+AL269*AL221+AM269*AM221+AN269*AN221+AO269*AO221+AP269*AP221+AQ269*AQ221+AR269*AR221+AS269*AS221+AT269*AT221+AU269*AU221+AV269*AV221+AW269*AW221+AX269*AX221+AY269*AY221+AZ269*AZ221+BA269*BA221+BB269*BB221+BC269*BC221+BD269*BD221+BE269*BE221+BF269*BF221+BG269*BG221+BH269*BH221+BI269*BI221+BJ269*BJ221+BK269*BK221+BL269*BL221+BM269*BM221+BN269*BN221+BO269*BO221+BP269*BP221+BQ269*BQ221+BR269*BR221+BS269*BS221+BT269*BT221+BU269*BU221+BV269*BV221+BW269*BW221+BX269*BX221+BY269*BY221+BZ269*BZ221+CA269*CA221+CB269*CB221+CC269*CC221+CD269*CD221+CE269*CE221+CF269*CF221+CG269*CG221+CH269*CH221+CI269*CI221+CJ269*CJ221+CK269*CK221+CL269*CL221+CM269*CM221+CN269*CN221+CO269*CO221+CP269*CP221+CQ269*CQ221+CR269*CR221+CS269*CS221</f>
        <v>1.3877787807814457E-17</v>
      </c>
      <c r="CZ221" s="2504">
        <f>E270*E221+F270*F221+G270*G221+H270*H221+I270*I221+J270*J221+K270*K221+L270*L221+M270*M221+N270*N221+O270*O221+P270*P221+Q270*Q221+R270*R221+S270*S221+T270*T221+U270*U221+V270*V221+W270*W221+X270*X221+Y270*Y221+Z270*Z221+AA270*AA221+AB270*AB221+AC270*AC221+AD270*AD221+AE270*AE221+AF270*AF221+AG270*AG221+AH270*AH221+AI270*AI221+AJ270*AJ221+AK270*AK221+AL270*AL221+AM270*AM221+AN270*AN221+AO270*AO221+AP270*AP221+AQ270*AQ221+AR270*AR221+AS270*AS221+AT270*AT221+AU270*AU221+AV270*AV221+AW270*AW221+AX270*AX221+AY270*AY221+AZ270*AZ221+BA270*BA221+BB270*BB221+BC270*BC221+BD270*BD221+BE270*BE221+BF270*BF221+BG270*BG221+BH270*BH221+BI270*BI221+BJ270*BJ221+BK270*BK221+BL270*BL221+BM270*BM221+BN270*BN221+BO270*BO221+BP270*BP221+BQ270*BQ221+BR270*BR221+BS270*BS221+BT270*BT221+BU270*BU221+BV270*BV221+BW270*BW221+BX270*BX221+BY270*BY221+BZ270*BZ221+CA270*CA221+CB270*CB221+CC270*CC221+CD270*CD221+CE270*CE221+CF270*CF221+CG270*CG221+CH270*CH221+CI270*CI221+CJ270*CJ221+CK270*CK221+CL270*CL221+CM270*CM221+CN270*CN221+CO270*CO221+CP270*CP221+CQ270*CQ221+CR270*CR221+CS270*CS221</f>
        <v>0</v>
      </c>
      <c r="DA221" s="2504">
        <f>E271*E221+F271*F221+G271*G221+H271*H221+I271*I221+J271*J221+K271*K221+L271*L221+M271*M221+N271*N221+O271*O221+P271*P221+Q271*Q221+R271*R221+S271*S221+T271*T221+U271*U221+V271*V221+W271*W221+X271*X221+Y271*Y221+Z271*Z221+AA271*AA221+AB271*AB221+AC271*AC221+AD271*AD221+AE271*AE221+AF271*AF221+AG271*AG221+AH271*AH221+AI271*AI221+AJ271*AJ221+AK271*AK221+AL271*AL221+AM271*AM221+AN271*AN221+AO271*AO221+AP271*AP221+AQ271*AQ221+AR271*AR221+AS271*AS221+AT271*AT221+AU271*AU221+AV271*AV221+AW271*AW221+AX271*AX221+AY271*AY221+AZ271*AZ221+BA271*BA221+BB271*BB221+BC271*BC221+BD271*BD221+BE271*BE221+BF271*BF221+BG271*BG221+BH271*BH221+BI271*BI221+BJ271*BJ221+BK271*BK221+BL271*BL221+BM271*BM221+BN271*BN221+BO271*BO221+BP271*BP221+BQ271*BQ221+BR271*BR221+BS271*BS221+BT271*BT221+BU271*BU221+BV271*BV221+BW271*BW221+BX271*BX221+BY271*BY221+BZ271*BZ221+CA271*CA221+CB271*CB221+CC271*CC221+CD271*CD221+CE271*CE221+CF271*CF221+CG271*CG221+CH271*CH221+CI271*CI221+CJ271*CJ221+CK271*CK221+CL271*CL221+CM271*CM221+CN271*CN221+CO271*CO221+CP271*CP221+CQ271*CQ221+CR271*CR221+CS271*CS221</f>
        <v>0</v>
      </c>
      <c r="DB221" s="2504">
        <f>E272*E221+F272*F221+G272*G221+H272*H221+I272*I221+J272*J221+K272*K221+L272*L221+M272*M221+N272*N221+O272*O221+P272*P221+Q272*Q221+R272*R221+S272*S221+T272*T221+U272*U221+V272*V221+W272*W221+X272*X221+Y272*Y221+Z272*Z221+AA272*AA221+AB272*AB221+AC272*AC221+AD272*AD221+AE272*AE221+AF272*AF221+AG272*AG221+AH272*AH221+AI272*AI221+AJ272*AJ221+AK272*AK221+AL272*AL221+AM272*AM221+AN272*AN221+AO272*AO221+AP272*AP221+AQ272*AQ221+AR272*AR221+AS272*AS221+AT272*AT221+AU272*AU221+AV272*AV221+AW272*AW221+AX272*AX221+AY272*AY221+AZ272*AZ221+BA272*BA221+BB272*BB221+BC272*BC221+BD272*BD221+BE272*BE221+BF272*BF221+BG272*BG221+BH272*BH221+BI272*BI221+BJ272*BJ221+BK272*BK221+BL272*BL221+BM272*BM221+BN272*BN221+BO272*BO221+BP272*BP221+BQ272*BQ221+BR272*BR221+BS272*BS221+BT272*BT221+BU272*BU221+BV272*BV221+BW272*BW221+BX272*BX221+BY272*BY221+BZ272*BZ221+CA272*CA221+CB272*CB221+CC272*CC221+CD272*CD221+CE272*CE221+CF272*CF221+CG272*CG221+CH272*CH221+CI272*CI221+CJ272*CJ221+CK272*CK221+CL272*CL221+CM272*CM221+CN272*CN221+CO272*CO221+CP272*CP221+CQ272*CQ221+CR272*CR221+CS272*CS221</f>
        <v>0</v>
      </c>
      <c r="DC221" s="2504">
        <f>E273*E221+F273*F221+G273*G221+H273*H221+I273*I221+J273*J221+K273*K221+L273*L221+M273*M221+N273*N221+O273*O221+P273*P221+Q273*Q221+R273*R221+S273*S221+T273*T221+U273*U221+V273*V221+W273*W221+X273*X221+Y273*Y221+Z273*Z221+AA273*AA221+AB273*AB221+AC273*AC221+AD273*AD221+AE273*AE221+AF273*AF221+AG273*AG221+AH273*AH221+AI273*AI221+AJ273*AJ221+AK273*AK221+AL273*AL221+AM273*AM221+AN273*AN221+AO273*AO221+AP273*AP221+AQ273*AQ221+AR273*AR221+AS273*AS221+AT273*AT221+AU273*AU221+AV273*AV221+AW273*AW221+AX273*AX221+AY273*AY221+AZ273*AZ221+BA273*BA221+BB273*BB221+BC273*BC221+BD273*BD221+BE273*BE221+BF273*BF221+BG273*BG221+BH273*BH221+BI273*BI221+BJ273*BJ221+BK273*BK221+BL273*BL221+BM273*BM221+BN273*BN221+BO273*BO221+BP273*BP221+BQ273*BQ221+BR273*BR221+BS273*BS221+BT273*BT221+BU273*BU221+BV273*BV221+BW273*BW221+BX273*BX221+BY273*BY221+BZ273*BZ221+CA273*CA221+CB273*CB221+CC273*CC221+CD273*CD221+CE273*CE221+CF273*CF221+CG273*CG221+CH273*CH221+CI273*CI221+CJ273*CJ221+CK273*CK221+CL273*CL221+CM273*CM221+CN273*CN221+CO273*CO221+CP273*CP221+CQ273*CQ221+CR273*CR221+CS273*CS221</f>
        <v>0</v>
      </c>
      <c r="DD221" s="2504">
        <f>E274*E221+F274*F221+G274*G221+H274*H221+I274*I221+J274*J221+K274*K221+L274*L221+M274*M221+N274*N221+O274*O221+P274*P221+Q274*Q221+R274*R221+S274*S221+T274*T221+U274*U221+V274*V221+W274*W221+X274*X221+Y274*Y221+Z274*Z221+AA274*AA221+AB274*AB221+AC274*AC221+AD274*AD221+AE274*AE221+AF274*AF221+AG274*AG221+AH274*AH221+AI274*AI221+AJ274*AJ221+AK274*AK221+AL274*AL221+AM274*AM221+AN274*AN221+AO274*AO221+AP274*AP221+AQ274*AQ221+AR274*AR221+AS274*AS221+AT274*AT221+AU274*AU221+AV274*AV221+AW274*AW221+AX274*AX221+AY274*AY221+AZ274*AZ221+BA274*BA221+BB274*BB221+BC274*BC221+BD274*BD221+BE274*BE221+BF274*BF221+BG274*BG221+BH274*BH221+BI274*BI221+BJ274*BJ221+BK274*BK221+BL274*BL221+BM274*BM221+BN274*BN221+BO274*BO221+BP274*BP221+BQ274*BQ221+BR274*BR221+BS274*BS221+BT274*BT221+BU274*BU221+BV274*BV221+BW274*BW221+BX274*BX221+BY274*BY221+BZ274*BZ221+CA274*CA221+CB274*CB221+CC274*CC221+CD274*CD221+CE274*CE221+CF274*CF221+CG274*CG221+CH274*CH221+CI274*CI221+CJ274*CJ221+CK274*CK221+CL274*CL221+CM274*CM221+CN274*CN221+CO274*CO221+CP274*CP221+CQ274*CQ221+CR274*CR221+CS274*CS221</f>
        <v>0</v>
      </c>
      <c r="DE221" s="2504">
        <f>E275*E221+F275*F221+G275*G221+H275*H221+I275*I221+J275*J221+K275*K221+L275*L221+M275*M221+N275*N221+O275*O221+P275*P221+Q275*Q221+R275*R221+S275*S221+T275*T221+U275*U221+V275*V221+W275*W221+X275*X221+Y275*Y221+Z275*Z221+AA275*AA221+AB275*AB221+AC275*AC221+AD275*AD221+AE275*AE221+AF275*AF221+AG275*AG221+AH275*AH221+AI275*AI221+AJ275*AJ221+AK275*AK221+AL275*AL221+AM275*AM221+AN275*AN221+AO275*AO221+AP275*AP221+AQ275*AQ221+AR275*AR221+AS275*AS221+AT275*AT221+AU275*AU221+AV275*AV221+AW275*AW221+AX275*AX221+AY275*AY221+AZ275*AZ221+BA275*BA221+BB275*BB221+BC275*BC221+BD275*BD221+BE275*BE221+BF275*BF221+BG275*BG221+BH275*BH221+BI275*BI221+BJ275*BJ221+BK275*BK221+BL275*BL221+BM275*BM221+BN275*BN221+BO275*BO221+BP275*BP221+BQ275*BQ221+BR275*BR221+BS275*BS221+BT275*BT221+BU275*BU221+BV275*BV221+BW275*BW221+BX275*BX221+BY275*BY221+BZ275*BZ221+CA275*CA221+CB275*CB221+CC275*CC221+CD275*CD221+CE275*CE221+CF275*CF221+CG275*CG221+CH275*CH221+CI275*CI221+CJ275*CJ221+CK275*CK221+CL275*CL221+CM275*CM221+CN275*CN221+CO275*CO221+CP275*CP221+CQ275*CQ221+CR275*CR221+CS275*CS221</f>
        <v>0</v>
      </c>
      <c r="DF221" s="2504">
        <f>E276*E221+F276*F221+G276*G221+H276*H221+I276*I221+J276*J221+K276*K221+L276*L221+M276*M221+N276*N221+O276*O221+P276*P221+Q276*Q221+R276*R221+S276*S221+T276*T221+U276*U221+V276*V221+W276*W221+X276*X221+Y276*Y221+Z276*Z221+AA276*AA221+AB276*AB221+AC276*AC221+AD276*AD221+AE276*AE221+AF276*AF221+AG276*AG221+AH276*AH221+AI276*AI221+AJ276*AJ221+AK276*AK221+AL276*AL221+AM276*AM221+AN276*AN221+AO276*AO221+AP276*AP221+AQ276*AQ221+AR276*AR221+AS276*AS221+AT276*AT221+AU276*AU221+AV276*AV221+AW276*AW221+AX276*AX221+AY276*AY221+AZ276*AZ221+BA276*BA221+BB276*BB221+BC276*BC221+BD276*BD221+BE276*BE221+BF276*BF221+BG276*BG221+BH276*BH221+BI276*BI221+BJ276*BJ221+BK276*BK221+BL276*BL221+BM276*BM221+BN276*BN221+BO276*BO221+BP276*BP221+BQ276*BQ221+BR276*BR221+BS276*BS221+BT276*BT221+BU276*BU221+BV276*BV221+BW276*BW221+BX276*BX221+BY276*BY221+BZ276*BZ221+CA276*CA221+CB276*CB221+CC276*CC221+CD276*CD221+CE276*CE221+CF276*CF221+CG276*CG221+CH276*CH221+CI276*CI221+CJ276*CJ221+CK276*CK221+CL276*CL221+CM276*CM221+CN276*CN221+CO276*CO221+CP276*CP221+CQ276*CQ221+CR276*CR221+CS276*CS221</f>
        <v>0</v>
      </c>
    </row>
    <row r="222" spans="2:110" ht="18" x14ac:dyDescent="0.35">
      <c r="B222" s="1583">
        <v>80</v>
      </c>
      <c r="C222" s="551" t="s">
        <v>2946</v>
      </c>
      <c r="D222" s="552" t="s">
        <v>1683</v>
      </c>
      <c r="E222" s="506">
        <f>0</f>
        <v>0</v>
      </c>
      <c r="F222" s="506">
        <f>0</f>
        <v>0</v>
      </c>
      <c r="G222" s="506">
        <f>0</f>
        <v>0</v>
      </c>
      <c r="H222" s="506">
        <f>0</f>
        <v>0</v>
      </c>
      <c r="I222" s="506">
        <f>0</f>
        <v>0</v>
      </c>
      <c r="J222" s="506">
        <f>0</f>
        <v>0</v>
      </c>
      <c r="K222" s="506">
        <f>0</f>
        <v>0</v>
      </c>
      <c r="L222" s="506">
        <f>0</f>
        <v>0</v>
      </c>
      <c r="M222" s="506">
        <f>0</f>
        <v>0</v>
      </c>
      <c r="N222" s="506">
        <f>0</f>
        <v>0</v>
      </c>
      <c r="O222" s="506">
        <f>0</f>
        <v>0</v>
      </c>
      <c r="P222" s="506">
        <f>0</f>
        <v>0</v>
      </c>
      <c r="Q222" s="506">
        <f>0</f>
        <v>0</v>
      </c>
      <c r="R222" s="556">
        <f>-E_EQNO3*X_OHO/X_BIO</f>
        <v>-2.1644104766712156</v>
      </c>
      <c r="S222" s="556">
        <f>-E_EQNO3*X_CASTO/X_BIO</f>
        <v>-2.1644104766712156</v>
      </c>
      <c r="T222" s="556">
        <f>-E_EQNO3*X_MEOLO/X_BIO</f>
        <v>-4.3288209533424308E-3</v>
      </c>
      <c r="U222" s="556">
        <f>-E_EQNO3*X_AOB/X_BIO</f>
        <v>-0.1428510914603002</v>
      </c>
      <c r="V222" s="556">
        <f>-E_EQNO3*X_NOB/X_BIO</f>
        <v>-8.6576419066848612E-2</v>
      </c>
      <c r="W222" s="556">
        <f>-E_EQNO3*X_AMX/X_BIO</f>
        <v>-4.3288209533424308E-3</v>
      </c>
      <c r="X222" s="556">
        <f>-E_EQNO3*X_AMETO/X_BIO</f>
        <v>-1.2986462860027292E-3</v>
      </c>
      <c r="Y222" s="556">
        <f>-E_EQNO3*X_HMETO/X_BIO</f>
        <v>-8.6576419066848609E-4</v>
      </c>
      <c r="Z222" s="556">
        <f>-E_EQNO3*X_ALGAE/X_BIO</f>
        <v>0</v>
      </c>
      <c r="AA222" s="506">
        <f>1+(i_N_BIO*E_EQNO3*(X_BIO-X_ALGAE)+i_N_ALGAE*E_EQNO3*X_ALGAE)/X_BIO</f>
        <v>1.3198349361377055</v>
      </c>
      <c r="AB222" s="506">
        <f>0</f>
        <v>0</v>
      </c>
      <c r="AC222" s="506">
        <f>-1</f>
        <v>-1</v>
      </c>
      <c r="AD222" s="506">
        <f>0</f>
        <v>0</v>
      </c>
      <c r="AE222" s="506">
        <f>0</f>
        <v>0</v>
      </c>
      <c r="AF222" s="506">
        <f>0</f>
        <v>0</v>
      </c>
      <c r="AG222" s="506">
        <f>0</f>
        <v>0</v>
      </c>
      <c r="AH222" s="506">
        <f>0</f>
        <v>0</v>
      </c>
      <c r="AI222" s="506">
        <f>0</f>
        <v>0</v>
      </c>
      <c r="AJ222" s="506">
        <f>0</f>
        <v>0</v>
      </c>
      <c r="AK222" s="506">
        <f>0</f>
        <v>0</v>
      </c>
      <c r="AL222" s="506">
        <f>0</f>
        <v>0</v>
      </c>
      <c r="AM222" s="506">
        <f>(i_P_BIO*E_EQNO3*(X_BIO-X_ALGAE)+i_P_ALGAE*E_EQNO3*X_ALGAE)/X_BIO</f>
        <v>9.1381410325058712E-2</v>
      </c>
      <c r="AN222" s="506">
        <f>0</f>
        <v>0</v>
      </c>
      <c r="AO222" s="506">
        <f>0</f>
        <v>0</v>
      </c>
      <c r="AP222" s="506">
        <f>0</f>
        <v>0</v>
      </c>
      <c r="AQ222" s="506">
        <f>0</f>
        <v>0</v>
      </c>
      <c r="AR222" s="506">
        <f>0</f>
        <v>0</v>
      </c>
      <c r="AS222" s="506">
        <f>0</f>
        <v>0</v>
      </c>
      <c r="AT222" s="506">
        <f>0</f>
        <v>0</v>
      </c>
      <c r="AU222" s="506">
        <f>0</f>
        <v>0</v>
      </c>
      <c r="AV222" s="506">
        <f>(i_CIT_BIO*E_EQNO3*(X_BIO-X_ALGAE)+i_CIT_ALGAE*E_EQNO3*X_ALGAE)/X_BIO</f>
        <v>1.6083128217210332</v>
      </c>
      <c r="AW222" s="506">
        <f>0</f>
        <v>0</v>
      </c>
      <c r="AX222" s="506">
        <f>0</f>
        <v>0</v>
      </c>
      <c r="AY222" s="506">
        <f>0</f>
        <v>0</v>
      </c>
      <c r="AZ222" s="506">
        <f>0</f>
        <v>0</v>
      </c>
      <c r="BA222" s="506">
        <f>0</f>
        <v>0</v>
      </c>
      <c r="BB222" s="506">
        <f>0</f>
        <v>0</v>
      </c>
      <c r="BC222" s="506">
        <f>0</f>
        <v>0</v>
      </c>
      <c r="BD222" s="506">
        <f>0</f>
        <v>0</v>
      </c>
      <c r="BE222" s="506">
        <f>0</f>
        <v>0</v>
      </c>
      <c r="BF222" s="506">
        <f>0</f>
        <v>0</v>
      </c>
      <c r="BG222" s="506">
        <f>0</f>
        <v>0</v>
      </c>
      <c r="BH222" s="506">
        <f>0</f>
        <v>0</v>
      </c>
      <c r="BI222" s="506">
        <f>0</f>
        <v>0</v>
      </c>
      <c r="BJ222" s="506">
        <f>0</f>
        <v>0</v>
      </c>
      <c r="BK222" s="506">
        <f>0</f>
        <v>0</v>
      </c>
      <c r="BL222" s="506">
        <f>0</f>
        <v>0</v>
      </c>
      <c r="BM222" s="506">
        <f>0</f>
        <v>0</v>
      </c>
      <c r="BN222" s="506">
        <f>0</f>
        <v>0</v>
      </c>
      <c r="BO222" s="506">
        <f>0</f>
        <v>0</v>
      </c>
      <c r="BP222" s="506">
        <f>0</f>
        <v>0</v>
      </c>
      <c r="BQ222" s="506">
        <f>0</f>
        <v>0</v>
      </c>
      <c r="BR222" s="506">
        <f>0</f>
        <v>0</v>
      </c>
      <c r="BS222" s="506">
        <f>0</f>
        <v>0</v>
      </c>
      <c r="BT222" s="506">
        <f>0</f>
        <v>0</v>
      </c>
      <c r="BU222" s="506">
        <f>0</f>
        <v>0</v>
      </c>
      <c r="BV222" s="506">
        <f>0</f>
        <v>0</v>
      </c>
      <c r="BW222" s="2367">
        <f>0</f>
        <v>0</v>
      </c>
      <c r="BX222" s="2367">
        <f>0</f>
        <v>0</v>
      </c>
      <c r="BY222" s="2367">
        <f>0</f>
        <v>0</v>
      </c>
      <c r="BZ222" s="2367">
        <f>0</f>
        <v>0</v>
      </c>
      <c r="CA222" s="506">
        <f>0</f>
        <v>0</v>
      </c>
      <c r="CB222" s="506">
        <f>0</f>
        <v>0</v>
      </c>
      <c r="CC222" s="506">
        <f>0</f>
        <v>0</v>
      </c>
      <c r="CD222" s="506">
        <f>0</f>
        <v>0</v>
      </c>
      <c r="CE222" s="506">
        <f>0</f>
        <v>0</v>
      </c>
      <c r="CF222" s="506">
        <f>0</f>
        <v>0</v>
      </c>
      <c r="CG222" s="506">
        <f>0</f>
        <v>0</v>
      </c>
      <c r="CH222" s="506">
        <f>0</f>
        <v>0</v>
      </c>
      <c r="CI222" s="506">
        <f>0</f>
        <v>0</v>
      </c>
      <c r="CJ222" s="506">
        <f>0</f>
        <v>0</v>
      </c>
      <c r="CK222" s="506">
        <f>0</f>
        <v>0</v>
      </c>
      <c r="CL222" s="506">
        <f>0</f>
        <v>0</v>
      </c>
      <c r="CM222" s="506">
        <f>0</f>
        <v>0</v>
      </c>
      <c r="CN222" s="506">
        <f>0</f>
        <v>0</v>
      </c>
      <c r="CO222" s="506">
        <f>0</f>
        <v>0</v>
      </c>
      <c r="CP222" s="506">
        <f>0</f>
        <v>0</v>
      </c>
      <c r="CQ222" s="506">
        <f>0</f>
        <v>0</v>
      </c>
      <c r="CR222" s="506">
        <f>0</f>
        <v>0</v>
      </c>
      <c r="CS222" s="506">
        <f>0</f>
        <v>0</v>
      </c>
      <c r="CT222" s="2491">
        <f>q_ASSIM_T*X_BIO*M_satSNO3_KNO3_ASSIM*M_inhSNO2_KNO2_ASSIM*M_inhSNHx_KiNHx_ASSIM</f>
        <v>5.2215918882714974E-3</v>
      </c>
      <c r="CV222" s="2502">
        <f>E266*E222+F266*F222+G266*G222+H266*H222+I266*I222+J266*J222+K266*K222+L266*L222+M266*M222+N266*N222+O266*O222+P266*P222+Q266*Q222+R266*R222+S266*S222+T266*T222+U266*U222+V266*V222+W266*W222+X266*X222+Y266*Y222+Z266*Z222+AA266*AA222+AB266*AB222+AC266*AC222+AD266*AD222+AE266*AE222+AF266*AF222+AG266*AG222+AH266*AH222+AI266*AI222+AJ266*AJ222+AK266*AK222+AL266*AL222+AM266*AM222+AN266*AN222+AO266*AO222+AP266*AP222+AQ266*AQ222+AR266*AR222+AS266*AS222+AT266*AT222+AU266*AU222+AV266*AV222+AW266*AW222+AX266*AX222+AY266*AY222+AZ266*AZ222+BA266*BA222+BB266*BB222+BC266*BC222+BD266*BD222+BE266*BE222+BF266*BF222+BG266*BG222+BH266*BH222+BI266*BI222+BJ266*BJ222+BK266*BK222+BL266*BL222+BM266*BM222+BN266*BN222+BO266*BO222+BP266*BP222+BQ266*BQ222+BR266*BR222+BS266*BS222+BT266*BT222+BU266*BU222+BV266*BV222+BW266*BW222+BX266*BX222+BY266*BY222+BZ266*BZ222+CA266*CA222+CB266*CB222+CC266*CC222+CD266*CD222+CE266*CE222+CF266*CF222+CG266*CG222+CH266*CH222+CI266*CI222+CJ266*CJ222+CK266*CK222+CL266*CL222+CM266*CM222+CN266*CN222+CO266*CO222+CP266*CP222+CQ266*CQ222+CR266*CR222+CS266*CS222</f>
        <v>-8.8817841970012523E-16</v>
      </c>
      <c r="CW222" s="2502">
        <f>E267*E222+F267*F222+G267*G222+H267*H222+I267*I222+J267*J222+K267*K222+L267*L222+M267*M222+N267*N222+O267*O222+P267*P222+Q267*Q222+R267*R222+S267*S222+T267*T222+U267*U222+V267*V222+W267*W222+X267*X222+Y267*Y222+Z267*Z222+AA267*AA222+AB267*AB222+AC267*AC222+AD267*AD222+AE267*AE222+AF267*AF222+AG267*AG222+AH267*AH222+AI267*AI222+AJ267*AJ222+AK267*AK222+AL267*AL222+AM267*AM222+AN267*AN222+AO267*AO222+AP267*AP222+AQ267*AQ222+AR267*AR222+AS267*AS222+AT267*AT222+AU267*AU222+AV267*AV222+AW267*AW222+AX267*AX222+AY267*AY222+AZ267*AZ222+BA267*BA222+BB267*BB222+BC267*BC222+BD267*BD222+BE267*BE222+BF267*BF222+BG267*BG222+BH267*BH222+BI267*BI222+BJ267*BJ222+BK267*BK222+BL267*BL222+BM267*BM222+BN267*BN222+BO267*BO222+BP267*BP222+BQ267*BQ222+BR267*BR222+BS267*BS222+BT267*BT222+BU267*BU222+BV267*BV222+BW267*BW222+BX267*BX222+BY267*BY222+BZ267*BZ222+CA267*CA222+CB267*CB222+CC267*CC222+CD267*CD222+CE267*CE222+CF267*CF222+CG267*CG222+CH267*CH222+CI267*CI222+CJ267*CJ222+CK267*CK222+CL267*CL222+CM267*CM222+CN267*CN222+CO267*CO222+CP267*CP222+CQ267*CQ222+CR267*CR222+CS267*CS222</f>
        <v>-2.2204460492503131E-16</v>
      </c>
      <c r="CX222" s="2503">
        <f>E268*E222+F268*F222+G268*G222+H268*H222+I268*I222+J268*J222+K268*K222+L268*L222+M268*M222+N268*N222+O268*O222+P268*P222+Q268*Q222+R268*R222+S268*S222+T268*T222+U268*U222+V268*V222+W268*W222+X268*X222+Y268*Y222+Z268*Z222+AA268*AA222+AB268*AB222+AC268*AC222+AD268*AD222+AE268*AE222+AF268*AF222+AG268*AG222+AH268*AH222+AI268*AI222+AJ268*AJ222+AK268*AK222+AL268*AL222+AM268*AM222+AN268*AN222+AO268*AO222+AP268*AP222+AQ268*AQ222+AR268*AR222+AS268*AS222+AT268*AT222+AU268*AU222+AV268*AV222+AW268*AW222+AX268*AX222+AY268*AY222+AZ268*AZ222+BA268*BA222+BB268*BB222+BC268*BC222+BD268*BD222+BE268*BE222+BF268*BF222+BG268*BG222+BH268*BH222+BI268*BI222+BJ268*BJ222+BK268*BK222+BL268*BL222+BM268*BM222+BN268*BN222+BO268*BO222+BP268*BP222+BQ268*BQ222+BR268*BR222+BS268*BS222+BT268*BT222+BU268*BU222+BV268*BV222+BW268*BW222+BX268*BX222+BY268*BY222+BZ268*BZ222+CA268*CA222+CB268*CB222+CC268*CC222+CD268*CD222+CE268*CE222+CF268*CF222+CG268*CG222+CH268*CH222+CI268*CI222+CJ268*CJ222+CK268*CK222+CL268*CL222+CM268*CM222+CN268*CN222+CO268*CO222+CP268*CP222+CQ268*CQ222+CR268*CR222+CS268*CS222</f>
        <v>0</v>
      </c>
      <c r="CY222" s="2504">
        <f>E269*E222+F269*F222+G269*G222+H269*H222+I269*I222+J269*J222+K269*K222+L269*L222+M269*M222+N269*N222+O269*O222+P269*P222+Q269*Q222+R269*R222+S269*S222+T269*T222+U269*U222+V269*V222+W269*W222+X269*X222+Y269*Y222+Z269*Z222+AA269*AA222+AB269*AB222+AC269*AC222+AD269*AD222+AE269*AE222+AF269*AF222+AG269*AG222+AH269*AH222+AI269*AI222+AJ269*AJ222+AK269*AK222+AL269*AL222+AM269*AM222+AN269*AN222+AO269*AO222+AP269*AP222+AQ269*AQ222+AR269*AR222+AS269*AS222+AT269*AT222+AU269*AU222+AV269*AV222+AW269*AW222+AX269*AX222+AY269*AY222+AZ269*AZ222+BA269*BA222+BB269*BB222+BC269*BC222+BD269*BD222+BE269*BE222+BF269*BF222+BG269*BG222+BH269*BH222+BI269*BI222+BJ269*BJ222+BK269*BK222+BL269*BL222+BM269*BM222+BN269*BN222+BO269*BO222+BP269*BP222+BQ269*BQ222+BR269*BR222+BS269*BS222+BT269*BT222+BU269*BU222+BV269*BV222+BW269*BW222+BX269*BX222+BY269*BY222+BZ269*BZ222+CA269*CA222+CB269*CB222+CC269*CC222+CD269*CD222+CE269*CE222+CF269*CF222+CG269*CG222+CH269*CH222+CI269*CI222+CJ269*CJ222+CK269*CK222+CL269*CL222+CM269*CM222+CN269*CN222+CO269*CO222+CP269*CP222+CQ269*CQ222+CR269*CR222+CS269*CS222</f>
        <v>-2.7755575615628914E-17</v>
      </c>
      <c r="CZ222" s="2504">
        <f>E270*E222+F270*F222+G270*G222+H270*H222+I270*I222+J270*J222+K270*K222+L270*L222+M270*M222+N270*N222+O270*O222+P270*P222+Q270*Q222+R270*R222+S270*S222+T270*T222+U270*U222+V270*V222+W270*W222+X270*X222+Y270*Y222+Z270*Z222+AA270*AA222+AB270*AB222+AC270*AC222+AD270*AD222+AE270*AE222+AF270*AF222+AG270*AG222+AH270*AH222+AI270*AI222+AJ270*AJ222+AK270*AK222+AL270*AL222+AM270*AM222+AN270*AN222+AO270*AO222+AP270*AP222+AQ270*AQ222+AR270*AR222+AS270*AS222+AT270*AT222+AU270*AU222+AV270*AV222+AW270*AW222+AX270*AX222+AY270*AY222+AZ270*AZ222+BA270*BA222+BB270*BB222+BC270*BC222+BD270*BD222+BE270*BE222+BF270*BF222+BG270*BG222+BH270*BH222+BI270*BI222+BJ270*BJ222+BK270*BK222+BL270*BL222+BM270*BM222+BN270*BN222+BO270*BO222+BP270*BP222+BQ270*BQ222+BR270*BR222+BS270*BS222+BT270*BT222+BU270*BU222+BV270*BV222+BW270*BW222+BX270*BX222+BY270*BY222+BZ270*BZ222+CA270*CA222+CB270*CB222+CC270*CC222+CD270*CD222+CE270*CE222+CF270*CF222+CG270*CG222+CH270*CH222+CI270*CI222+CJ270*CJ222+CK270*CK222+CL270*CL222+CM270*CM222+CN270*CN222+CO270*CO222+CP270*CP222+CQ270*CQ222+CR270*CR222+CS270*CS222</f>
        <v>0</v>
      </c>
      <c r="DA222" s="2504">
        <f>E271*E222+F271*F222+G271*G222+H271*H222+I271*I222+J271*J222+K271*K222+L271*L222+M271*M222+N271*N222+O271*O222+P271*P222+Q271*Q222+R271*R222+S271*S222+T271*T222+U271*U222+V271*V222+W271*W222+X271*X222+Y271*Y222+Z271*Z222+AA271*AA222+AB271*AB222+AC271*AC222+AD271*AD222+AE271*AE222+AF271*AF222+AG271*AG222+AH271*AH222+AI271*AI222+AJ271*AJ222+AK271*AK222+AL271*AL222+AM271*AM222+AN271*AN222+AO271*AO222+AP271*AP222+AQ271*AQ222+AR271*AR222+AS271*AS222+AT271*AT222+AU271*AU222+AV271*AV222+AW271*AW222+AX271*AX222+AY271*AY222+AZ271*AZ222+BA271*BA222+BB271*BB222+BC271*BC222+BD271*BD222+BE271*BE222+BF271*BF222+BG271*BG222+BH271*BH222+BI271*BI222+BJ271*BJ222+BK271*BK222+BL271*BL222+BM271*BM222+BN271*BN222+BO271*BO222+BP271*BP222+BQ271*BQ222+BR271*BR222+BS271*BS222+BT271*BT222+BU271*BU222+BV271*BV222+BW271*BW222+BX271*BX222+BY271*BY222+BZ271*BZ222+CA271*CA222+CB271*CB222+CC271*CC222+CD271*CD222+CE271*CE222+CF271*CF222+CG271*CG222+CH271*CH222+CI271*CI222+CJ271*CJ222+CK271*CK222+CL271*CL222+CM271*CM222+CN271*CN222+CO271*CO222+CP271*CP222+CQ271*CQ222+CR271*CR222+CS271*CS222</f>
        <v>0</v>
      </c>
      <c r="DB222" s="2504">
        <f>E272*E222+F272*F222+G272*G222+H272*H222+I272*I222+J272*J222+K272*K222+L272*L222+M272*M222+N272*N222+O272*O222+P272*P222+Q272*Q222+R272*R222+S272*S222+T272*T222+U272*U222+V272*V222+W272*W222+X272*X222+Y272*Y222+Z272*Z222+AA272*AA222+AB272*AB222+AC272*AC222+AD272*AD222+AE272*AE222+AF272*AF222+AG272*AG222+AH272*AH222+AI272*AI222+AJ272*AJ222+AK272*AK222+AL272*AL222+AM272*AM222+AN272*AN222+AO272*AO222+AP272*AP222+AQ272*AQ222+AR272*AR222+AS272*AS222+AT272*AT222+AU272*AU222+AV272*AV222+AW272*AW222+AX272*AX222+AY272*AY222+AZ272*AZ222+BA272*BA222+BB272*BB222+BC272*BC222+BD272*BD222+BE272*BE222+BF272*BF222+BG272*BG222+BH272*BH222+BI272*BI222+BJ272*BJ222+BK272*BK222+BL272*BL222+BM272*BM222+BN272*BN222+BO272*BO222+BP272*BP222+BQ272*BQ222+BR272*BR222+BS272*BS222+BT272*BT222+BU272*BU222+BV272*BV222+BW272*BW222+BX272*BX222+BY272*BY222+BZ272*BZ222+CA272*CA222+CB272*CB222+CC272*CC222+CD272*CD222+CE272*CE222+CF272*CF222+CG272*CG222+CH272*CH222+CI272*CI222+CJ272*CJ222+CK272*CK222+CL272*CL222+CM272*CM222+CN272*CN222+CO272*CO222+CP272*CP222+CQ272*CQ222+CR272*CR222+CS272*CS222</f>
        <v>0</v>
      </c>
      <c r="DC222" s="2504">
        <f>E273*E222+F273*F222+G273*G222+H273*H222+I273*I222+J273*J222+K273*K222+L273*L222+M273*M222+N273*N222+O273*O222+P273*P222+Q273*Q222+R273*R222+S273*S222+T273*T222+U273*U222+V273*V222+W273*W222+X273*X222+Y273*Y222+Z273*Z222+AA273*AA222+AB273*AB222+AC273*AC222+AD273*AD222+AE273*AE222+AF273*AF222+AG273*AG222+AH273*AH222+AI273*AI222+AJ273*AJ222+AK273*AK222+AL273*AL222+AM273*AM222+AN273*AN222+AO273*AO222+AP273*AP222+AQ273*AQ222+AR273*AR222+AS273*AS222+AT273*AT222+AU273*AU222+AV273*AV222+AW273*AW222+AX273*AX222+AY273*AY222+AZ273*AZ222+BA273*BA222+BB273*BB222+BC273*BC222+BD273*BD222+BE273*BE222+BF273*BF222+BG273*BG222+BH273*BH222+BI273*BI222+BJ273*BJ222+BK273*BK222+BL273*BL222+BM273*BM222+BN273*BN222+BO273*BO222+BP273*BP222+BQ273*BQ222+BR273*BR222+BS273*BS222+BT273*BT222+BU273*BU222+BV273*BV222+BW273*BW222+BX273*BX222+BY273*BY222+BZ273*BZ222+CA273*CA222+CB273*CB222+CC273*CC222+CD273*CD222+CE273*CE222+CF273*CF222+CG273*CG222+CH273*CH222+CI273*CI222+CJ273*CJ222+CK273*CK222+CL273*CL222+CM273*CM222+CN273*CN222+CO273*CO222+CP273*CP222+CQ273*CQ222+CR273*CR222+CS273*CS222</f>
        <v>0</v>
      </c>
      <c r="DD222" s="2504">
        <f>E274*E222+F274*F222+G274*G222+H274*H222+I274*I222+J274*J222+K274*K222+L274*L222+M274*M222+N274*N222+O274*O222+P274*P222+Q274*Q222+R274*R222+S274*S222+T274*T222+U274*U222+V274*V222+W274*W222+X274*X222+Y274*Y222+Z274*Z222+AA274*AA222+AB274*AB222+AC274*AC222+AD274*AD222+AE274*AE222+AF274*AF222+AG274*AG222+AH274*AH222+AI274*AI222+AJ274*AJ222+AK274*AK222+AL274*AL222+AM274*AM222+AN274*AN222+AO274*AO222+AP274*AP222+AQ274*AQ222+AR274*AR222+AS274*AS222+AT274*AT222+AU274*AU222+AV274*AV222+AW274*AW222+AX274*AX222+AY274*AY222+AZ274*AZ222+BA274*BA222+BB274*BB222+BC274*BC222+BD274*BD222+BE274*BE222+BF274*BF222+BG274*BG222+BH274*BH222+BI274*BI222+BJ274*BJ222+BK274*BK222+BL274*BL222+BM274*BM222+BN274*BN222+BO274*BO222+BP274*BP222+BQ274*BQ222+BR274*BR222+BS274*BS222+BT274*BT222+BU274*BU222+BV274*BV222+BW274*BW222+BX274*BX222+BY274*BY222+BZ274*BZ222+CA274*CA222+CB274*CB222+CC274*CC222+CD274*CD222+CE274*CE222+CF274*CF222+CG274*CG222+CH274*CH222+CI274*CI222+CJ274*CJ222+CK274*CK222+CL274*CL222+CM274*CM222+CN274*CN222+CO274*CO222+CP274*CP222+CQ274*CQ222+CR274*CR222+CS274*CS222</f>
        <v>0</v>
      </c>
      <c r="DE222" s="2504">
        <f>E275*E222+F275*F222+G275*G222+H275*H222+I275*I222+J275*J222+K275*K222+L275*L222+M275*M222+N275*N222+O275*O222+P275*P222+Q275*Q222+R275*R222+S275*S222+T275*T222+U275*U222+V275*V222+W275*W222+X275*X222+Y275*Y222+Z275*Z222+AA275*AA222+AB275*AB222+AC275*AC222+AD275*AD222+AE275*AE222+AF275*AF222+AG275*AG222+AH275*AH222+AI275*AI222+AJ275*AJ222+AK275*AK222+AL275*AL222+AM275*AM222+AN275*AN222+AO275*AO222+AP275*AP222+AQ275*AQ222+AR275*AR222+AS275*AS222+AT275*AT222+AU275*AU222+AV275*AV222+AW275*AW222+AX275*AX222+AY275*AY222+AZ275*AZ222+BA275*BA222+BB275*BB222+BC275*BC222+BD275*BD222+BE275*BE222+BF275*BF222+BG275*BG222+BH275*BH222+BI275*BI222+BJ275*BJ222+BK275*BK222+BL275*BL222+BM275*BM222+BN275*BN222+BO275*BO222+BP275*BP222+BQ275*BQ222+BR275*BR222+BS275*BS222+BT275*BT222+BU275*BU222+BV275*BV222+BW275*BW222+BX275*BX222+BY275*BY222+BZ275*BZ222+CA275*CA222+CB275*CB222+CC275*CC222+CD275*CD222+CE275*CE222+CF275*CF222+CG275*CG222+CH275*CH222+CI275*CI222+CJ275*CJ222+CK275*CK222+CL275*CL222+CM275*CM222+CN275*CN222+CO275*CO222+CP275*CP222+CQ275*CQ222+CR275*CR222+CS275*CS222</f>
        <v>0</v>
      </c>
      <c r="DF222" s="2504">
        <f>E276*E222+F276*F222+G276*G222+H276*H222+I276*I222+J276*J222+K276*K222+L276*L222+M276*M222+N276*N222+O276*O222+P276*P222+Q276*Q222+R276*R222+S276*S222+T276*T222+U276*U222+V276*V222+W276*W222+X276*X222+Y276*Y222+Z276*Z222+AA276*AA222+AB276*AB222+AC276*AC222+AD276*AD222+AE276*AE222+AF276*AF222+AG276*AG222+AH276*AH222+AI276*AI222+AJ276*AJ222+AK276*AK222+AL276*AL222+AM276*AM222+AN276*AN222+AO276*AO222+AP276*AP222+AQ276*AQ222+AR276*AR222+AS276*AS222+AT276*AT222+AU276*AU222+AV276*AV222+AW276*AW222+AX276*AX222+AY276*AY222+AZ276*AZ222+BA276*BA222+BB276*BB222+BC276*BC222+BD276*BD222+BE276*BE222+BF276*BF222+BG276*BG222+BH276*BH222+BI276*BI222+BJ276*BJ222+BK276*BK222+BL276*BL222+BM276*BM222+BN276*BN222+BO276*BO222+BP276*BP222+BQ276*BQ222+BR276*BR222+BS276*BS222+BT276*BT222+BU276*BU222+BV276*BV222+BW276*BW222+BX276*BX222+BY276*BY222+BZ276*BZ222+CA276*CA222+CB276*CB222+CC276*CC222+CD276*CD222+CE276*CE222+CF276*CF222+CG276*CG222+CH276*CH222+CI276*CI222+CJ276*CJ222+CK276*CK222+CL276*CL222+CM276*CM222+CN276*CN222+CO276*CO222+CP276*CP222+CQ276*CQ222+CR276*CR222+CS276*CS222</f>
        <v>0</v>
      </c>
    </row>
    <row r="223" spans="2:110" x14ac:dyDescent="0.25">
      <c r="B223" s="1527">
        <v>81</v>
      </c>
      <c r="C223" s="1528" t="s">
        <v>2947</v>
      </c>
      <c r="D223" s="557" t="s">
        <v>2839</v>
      </c>
      <c r="E223" s="507">
        <f>0</f>
        <v>0</v>
      </c>
      <c r="F223" s="507">
        <f>0</f>
        <v>0</v>
      </c>
      <c r="G223" s="507">
        <f>0</f>
        <v>0</v>
      </c>
      <c r="H223" s="507">
        <f>0</f>
        <v>0</v>
      </c>
      <c r="I223" s="507">
        <f>0</f>
        <v>0</v>
      </c>
      <c r="J223" s="507">
        <f>0</f>
        <v>0</v>
      </c>
      <c r="K223" s="507">
        <f>0</f>
        <v>0</v>
      </c>
      <c r="L223" s="507">
        <f>0</f>
        <v>0</v>
      </c>
      <c r="M223" s="507">
        <f>0</f>
        <v>0</v>
      </c>
      <c r="N223" s="507">
        <f>0</f>
        <v>0</v>
      </c>
      <c r="O223" s="507">
        <f>0</f>
        <v>0</v>
      </c>
      <c r="P223" s="507">
        <f>0</f>
        <v>0</v>
      </c>
      <c r="Q223" s="507">
        <f>0</f>
        <v>0</v>
      </c>
      <c r="R223" s="558">
        <f>0</f>
        <v>0</v>
      </c>
      <c r="S223" s="507">
        <f>0</f>
        <v>0</v>
      </c>
      <c r="T223" s="507">
        <f>0</f>
        <v>0</v>
      </c>
      <c r="U223" s="507">
        <f>0</f>
        <v>0</v>
      </c>
      <c r="V223" s="507">
        <f>0</f>
        <v>0</v>
      </c>
      <c r="W223" s="507">
        <f>0</f>
        <v>0</v>
      </c>
      <c r="X223" s="507">
        <f>0</f>
        <v>0</v>
      </c>
      <c r="Y223" s="507">
        <f>0</f>
        <v>0</v>
      </c>
      <c r="Z223" s="507">
        <f>0</f>
        <v>0</v>
      </c>
      <c r="AA223" s="507">
        <f>0</f>
        <v>0</v>
      </c>
      <c r="AB223" s="507">
        <f>0</f>
        <v>0</v>
      </c>
      <c r="AC223" s="507">
        <f>0</f>
        <v>0</v>
      </c>
      <c r="AD223" s="507">
        <f>0</f>
        <v>0</v>
      </c>
      <c r="AE223" s="507">
        <f>0</f>
        <v>0</v>
      </c>
      <c r="AF223" s="507">
        <f>0</f>
        <v>0</v>
      </c>
      <c r="AG223" s="507">
        <f>0</f>
        <v>0</v>
      </c>
      <c r="AH223" s="507">
        <f>0</f>
        <v>0</v>
      </c>
      <c r="AI223" s="507">
        <f>0</f>
        <v>0</v>
      </c>
      <c r="AJ223" s="507">
        <f>0</f>
        <v>0</v>
      </c>
      <c r="AK223" s="507">
        <f>0</f>
        <v>0</v>
      </c>
      <c r="AL223" s="507">
        <f>0</f>
        <v>0</v>
      </c>
      <c r="AM223" s="507">
        <f>0</f>
        <v>0</v>
      </c>
      <c r="AN223" s="507">
        <f>0</f>
        <v>0</v>
      </c>
      <c r="AO223" s="507">
        <f>0</f>
        <v>0</v>
      </c>
      <c r="AP223" s="507">
        <f>0</f>
        <v>0</v>
      </c>
      <c r="AQ223" s="507">
        <f>0</f>
        <v>0</v>
      </c>
      <c r="AR223" s="507">
        <f>0</f>
        <v>0</v>
      </c>
      <c r="AS223" s="507">
        <f>0</f>
        <v>0</v>
      </c>
      <c r="AT223" s="507">
        <f>0</f>
        <v>0</v>
      </c>
      <c r="AU223" s="507">
        <f>0</f>
        <v>0</v>
      </c>
      <c r="AV223" s="507">
        <f>0</f>
        <v>0</v>
      </c>
      <c r="AW223" s="507">
        <f>0</f>
        <v>0</v>
      </c>
      <c r="AX223" s="507">
        <f>0</f>
        <v>0</v>
      </c>
      <c r="AY223" s="507">
        <f>0</f>
        <v>0</v>
      </c>
      <c r="AZ223" s="507">
        <f>0</f>
        <v>0</v>
      </c>
      <c r="BA223" s="507">
        <f>0</f>
        <v>0</v>
      </c>
      <c r="BB223" s="507">
        <f>0</f>
        <v>0</v>
      </c>
      <c r="BC223" s="507">
        <f>0</f>
        <v>0</v>
      </c>
      <c r="BD223" s="1584">
        <f>-X_HFO_H/(X_HFO_H+X_HFO_H_P)</f>
        <v>-0.5</v>
      </c>
      <c r="BE223" s="1584">
        <f>X_HFO_H/(X_HFO_H+X_HFO_H_P)</f>
        <v>0.5</v>
      </c>
      <c r="BF223" s="507">
        <f>0</f>
        <v>0</v>
      </c>
      <c r="BG223" s="1584">
        <f>-X_HFO_H_P/(X_HFO_H+X_HFO_H_P)</f>
        <v>-0.5</v>
      </c>
      <c r="BH223" s="507">
        <f>0</f>
        <v>0</v>
      </c>
      <c r="BI223" s="1584">
        <f>X_HFO_H_P/(X_HFO_H+X_HFO_H_P)</f>
        <v>0.5</v>
      </c>
      <c r="BJ223" s="507">
        <f>0</f>
        <v>0</v>
      </c>
      <c r="BK223" s="559">
        <f>0</f>
        <v>0</v>
      </c>
      <c r="BL223" s="559">
        <f>0</f>
        <v>0</v>
      </c>
      <c r="BM223" s="507">
        <f>0</f>
        <v>0</v>
      </c>
      <c r="BN223" s="559">
        <f>0</f>
        <v>0</v>
      </c>
      <c r="BO223" s="507">
        <f>0</f>
        <v>0</v>
      </c>
      <c r="BP223" s="559">
        <f>0</f>
        <v>0</v>
      </c>
      <c r="BQ223" s="507">
        <f>0</f>
        <v>0</v>
      </c>
      <c r="BR223" s="507">
        <f>0</f>
        <v>0</v>
      </c>
      <c r="BS223" s="507">
        <f>0</f>
        <v>0</v>
      </c>
      <c r="BT223" s="507">
        <f>0</f>
        <v>0</v>
      </c>
      <c r="BU223" s="558">
        <f>0</f>
        <v>0</v>
      </c>
      <c r="BV223" s="507">
        <f>0</f>
        <v>0</v>
      </c>
      <c r="BW223" s="2368">
        <f>0</f>
        <v>0</v>
      </c>
      <c r="BX223" s="2368">
        <f>0</f>
        <v>0</v>
      </c>
      <c r="BY223" s="2368">
        <f>0</f>
        <v>0</v>
      </c>
      <c r="BZ223" s="2368">
        <f>0</f>
        <v>0</v>
      </c>
      <c r="CA223" s="507">
        <f>0</f>
        <v>0</v>
      </c>
      <c r="CB223" s="507">
        <f>0</f>
        <v>0</v>
      </c>
      <c r="CC223" s="507">
        <f>0</f>
        <v>0</v>
      </c>
      <c r="CD223" s="558">
        <f>0</f>
        <v>0</v>
      </c>
      <c r="CE223" s="558">
        <f>0</f>
        <v>0</v>
      </c>
      <c r="CF223" s="558">
        <f>0</f>
        <v>0</v>
      </c>
      <c r="CG223" s="558">
        <f>0</f>
        <v>0</v>
      </c>
      <c r="CH223" s="558">
        <f>0</f>
        <v>0</v>
      </c>
      <c r="CI223" s="558">
        <f>0</f>
        <v>0</v>
      </c>
      <c r="CJ223" s="558">
        <f>0</f>
        <v>0</v>
      </c>
      <c r="CK223" s="558">
        <f>0</f>
        <v>0</v>
      </c>
      <c r="CL223" s="558">
        <f>0</f>
        <v>0</v>
      </c>
      <c r="CM223" s="558">
        <f>0</f>
        <v>0</v>
      </c>
      <c r="CN223" s="558">
        <f>0</f>
        <v>0</v>
      </c>
      <c r="CO223" s="558">
        <f>0</f>
        <v>0</v>
      </c>
      <c r="CP223" s="558">
        <f>0</f>
        <v>0</v>
      </c>
      <c r="CQ223" s="558">
        <f>0</f>
        <v>0</v>
      </c>
      <c r="CR223" s="558">
        <f>0</f>
        <v>0</v>
      </c>
      <c r="CS223" s="558">
        <f>0</f>
        <v>0</v>
      </c>
      <c r="CT223" s="2493">
        <f>q_HFOH_AGING*(X_HFO_H+X_HFO_H_P)</f>
        <v>4.9999999999999999E-48</v>
      </c>
      <c r="CV223" s="2502">
        <f>E266*E223+F266*F223+G266*G223+H266*H223+I266*I223+J266*J223+K266*K223+L266*L223+M266*M223+N266*N223+O266*O223+P266*P223+Q266*Q223+R266*R223+S266*S223+T266*T223+U266*U223+V266*V223+W266*W223+X266*X223+Y266*Y223+Z266*Z223+AA266*AA223+AB266*AB223+AC266*AC223+AD266*AD223+AE266*AE223+AF266*AF223+AG266*AG223+AH266*AH223+AI266*AI223+AJ266*AJ223+AK266*AK223+AL266*AL223+AM266*AM223+AN266*AN223+AO266*AO223+AP266*AP223+AQ266*AQ223+AR266*AR223+AS266*AS223+AT266*AT223+AU266*AU223+AV266*AV223+AW266*AW223+AX266*AX223+AY266*AY223+AZ266*AZ223+BA266*BA223+BB266*BB223+BC266*BC223+BD266*BD223+BE266*BE223+BF266*BF223+BG266*BG223+BH266*BH223+BI266*BI223+BJ266*BJ223+BK266*BK223+BL266*BL223+BM266*BM223+BN266*BN223+BO266*BO223+BP266*BP223+BQ266*BQ223+BR266*BR223+BS266*BS223+BT266*BT223+BU266*BU223+BV266*BV223+BW266*BW223+BX266*BX223+BY266*BY223+BZ266*BZ223+CA266*CA223+CB266*CB223+CC266*CC223+CD266*CD223+CE266*CE223+CF266*CF223+CG266*CG223+CH266*CH223+CI266*CI223+CJ266*CJ223+CK266*CK223+CL266*CL223+CM266*CM223+CN266*CN223+CO266*CO223+CP266*CP223+CQ266*CQ223+CR266*CR223+CS266*CS223</f>
        <v>0</v>
      </c>
      <c r="CW223" s="2502">
        <f>E267*E223+F267*F223+G267*G223+H267*H223+I267*I223+J267*J223+K267*K223+L267*L223+M267*M223+N267*N223+O267*O223+P267*P223+Q267*Q223+R267*R223+S267*S223+T267*T223+U267*U223+V267*V223+W267*W223+X267*X223+Y267*Y223+Z267*Z223+AA267*AA223+AB267*AB223+AC267*AC223+AD267*AD223+AE267*AE223+AF267*AF223+AG267*AG223+AH267*AH223+AI267*AI223+AJ267*AJ223+AK267*AK223+AL267*AL223+AM267*AM223+AN267*AN223+AO267*AO223+AP267*AP223+AQ267*AQ223+AR267*AR223+AS267*AS223+AT267*AT223+AU267*AU223+AV267*AV223+AW267*AW223+AX267*AX223+AY267*AY223+AZ267*AZ223+BA267*BA223+BB267*BB223+BC267*BC223+BD267*BD223+BE267*BE223+BF267*BF223+BG267*BG223+BH267*BH223+BI267*BI223+BJ267*BJ223+BK267*BK223+BL267*BL223+BM267*BM223+BN267*BN223+BO267*BO223+BP267*BP223+BQ267*BQ223+BR267*BR223+BS267*BS223+BT267*BT223+BU267*BU223+BV267*BV223+BW267*BW223+BX267*BX223+BY267*BY223+BZ267*BZ223+CA267*CA223+CB267*CB223+CC267*CC223+CD267*CD223+CE267*CE223+CF267*CF223+CG267*CG223+CH267*CH223+CI267*CI223+CJ267*CJ223+CK267*CK223+CL267*CL223+CM267*CM223+CN267*CN223+CO267*CO223+CP267*CP223+CQ267*CQ223+CR267*CR223+CS267*CS223</f>
        <v>0</v>
      </c>
      <c r="CX223" s="2503">
        <f>E268*E223+F268*F223+G268*G223+H268*H223+I268*I223+J268*J223+K268*K223+L268*L223+M268*M223+N268*N223+O268*O223+P268*P223+Q268*Q223+R268*R223+S268*S223+T268*T223+U268*U223+V268*V223+W268*W223+X268*X223+Y268*Y223+Z268*Z223+AA268*AA223+AB268*AB223+AC268*AC223+AD268*AD223+AE268*AE223+AF268*AF223+AG268*AG223+AH268*AH223+AI268*AI223+AJ268*AJ223+AK268*AK223+AL268*AL223+AM268*AM223+AN268*AN223+AO268*AO223+AP268*AP223+AQ268*AQ223+AR268*AR223+AS268*AS223+AT268*AT223+AU268*AU223+AV268*AV223+AW268*AW223+AX268*AX223+AY268*AY223+AZ268*AZ223+BA268*BA223+BB268*BB223+BC268*BC223+BD268*BD223+BE268*BE223+BF268*BF223+BG268*BG223+BH268*BH223+BI268*BI223+BJ268*BJ223+BK268*BK223+BL268*BL223+BM268*BM223+BN268*BN223+BO268*BO223+BP268*BP223+BQ268*BQ223+BR268*BR223+BS268*BS223+BT268*BT223+BU268*BU223+BV268*BV223+BW268*BW223+BX268*BX223+BY268*BY223+BZ268*BZ223+CA268*CA223+CB268*CB223+CC268*CC223+CD268*CD223+CE268*CE223+CF268*CF223+CG268*CG223+CH268*CH223+CI268*CI223+CJ268*CJ223+CK268*CK223+CL268*CL223+CM268*CM223+CN268*CN223+CO268*CO223+CP268*CP223+CQ268*CQ223+CR268*CR223+CS268*CS223</f>
        <v>0</v>
      </c>
      <c r="CY223" s="2504">
        <f>E269*E223+F269*F223+G269*G223+H269*H223+I269*I223+J269*J223+K269*K223+L269*L223+M269*M223+N269*N223+O269*O223+P269*P223+Q269*Q223+R269*R223+S269*S223+T269*T223+U269*U223+V269*V223+W269*W223+X269*X223+Y269*Y223+Z269*Z223+AA269*AA223+AB269*AB223+AC269*AC223+AD269*AD223+AE269*AE223+AF269*AF223+AG269*AG223+AH269*AH223+AI269*AI223+AJ269*AJ223+AK269*AK223+AL269*AL223+AM269*AM223+AN269*AN223+AO269*AO223+AP269*AP223+AQ269*AQ223+AR269*AR223+AS269*AS223+AT269*AT223+AU269*AU223+AV269*AV223+AW269*AW223+AX269*AX223+AY269*AY223+AZ269*AZ223+BA269*BA223+BB269*BB223+BC269*BC223+BD269*BD223+BE269*BE223+BF269*BF223+BG269*BG223+BH269*BH223+BI269*BI223+BJ269*BJ223+BK269*BK223+BL269*BL223+BM269*BM223+BN269*BN223+BO269*BO223+BP269*BP223+BQ269*BQ223+BR269*BR223+BS269*BS223+BT269*BT223+BU269*BU223+BV269*BV223+BW269*BW223+BX269*BX223+BY269*BY223+BZ269*BZ223+CA269*CA223+CB269*CB223+CC269*CC223+CD269*CD223+CE269*CE223+CF269*CF223+CG269*CG223+CH269*CH223+CI269*CI223+CJ269*CJ223+CK269*CK223+CL269*CL223+CM269*CM223+CN269*CN223+CO269*CO223+CP269*CP223+CQ269*CQ223+CR269*CR223+CS269*CS223</f>
        <v>0</v>
      </c>
      <c r="CZ223" s="2504">
        <f>E270*E223+F270*F223+G270*G223+H270*H223+I270*I223+J270*J223+K270*K223+L270*L223+M270*M223+N270*N223+O270*O223+P270*P223+Q270*Q223+R270*R223+S270*S223+T270*T223+U270*U223+V270*V223+W270*W223+X270*X223+Y270*Y223+Z270*Z223+AA270*AA223+AB270*AB223+AC270*AC223+AD270*AD223+AE270*AE223+AF270*AF223+AG270*AG223+AH270*AH223+AI270*AI223+AJ270*AJ223+AK270*AK223+AL270*AL223+AM270*AM223+AN270*AN223+AO270*AO223+AP270*AP223+AQ270*AQ223+AR270*AR223+AS270*AS223+AT270*AT223+AU270*AU223+AV270*AV223+AW270*AW223+AX270*AX223+AY270*AY223+AZ270*AZ223+BA270*BA223+BB270*BB223+BC270*BC223+BD270*BD223+BE270*BE223+BF270*BF223+BG270*BG223+BH270*BH223+BI270*BI223+BJ270*BJ223+BK270*BK223+BL270*BL223+BM270*BM223+BN270*BN223+BO270*BO223+BP270*BP223+BQ270*BQ223+BR270*BR223+BS270*BS223+BT270*BT223+BU270*BU223+BV270*BV223+BW270*BW223+BX270*BX223+BY270*BY223+BZ270*BZ223+CA270*CA223+CB270*CB223+CC270*CC223+CD270*CD223+CE270*CE223+CF270*CF223+CG270*CG223+CH270*CH223+CI270*CI223+CJ270*CJ223+CK270*CK223+CL270*CL223+CM270*CM223+CN270*CN223+CO270*CO223+CP270*CP223+CQ270*CQ223+CR270*CR223+CS270*CS223</f>
        <v>0</v>
      </c>
      <c r="DA223" s="2504">
        <f>E271*E223+F271*F223+G271*G223+H271*H223+I271*I223+J271*J223+K271*K223+L271*L223+M271*M223+N271*N223+O271*O223+P271*P223+Q271*Q223+R271*R223+S271*S223+T271*T223+U271*U223+V271*V223+W271*W223+X271*X223+Y271*Y223+Z271*Z223+AA271*AA223+AB271*AB223+AC271*AC223+AD271*AD223+AE271*AE223+AF271*AF223+AG271*AG223+AH271*AH223+AI271*AI223+AJ271*AJ223+AK271*AK223+AL271*AL223+AM271*AM223+AN271*AN223+AO271*AO223+AP271*AP223+AQ271*AQ223+AR271*AR223+AS271*AS223+AT271*AT223+AU271*AU223+AV271*AV223+AW271*AW223+AX271*AX223+AY271*AY223+AZ271*AZ223+BA271*BA223+BB271*BB223+BC271*BC223+BD271*BD223+BE271*BE223+BF271*BF223+BG271*BG223+BH271*BH223+BI271*BI223+BJ271*BJ223+BK271*BK223+BL271*BL223+BM271*BM223+BN271*BN223+BO271*BO223+BP271*BP223+BQ271*BQ223+BR271*BR223+BS271*BS223+BT271*BT223+BU271*BU223+BV271*BV223+BW271*BW223+BX271*BX223+BY271*BY223+BZ271*BZ223+CA271*CA223+CB271*CB223+CC271*CC223+CD271*CD223+CE271*CE223+CF271*CF223+CG271*CG223+CH271*CH223+CI271*CI223+CJ271*CJ223+CK271*CK223+CL271*CL223+CM271*CM223+CN271*CN223+CO271*CO223+CP271*CP223+CQ271*CQ223+CR271*CR223+CS271*CS223</f>
        <v>0</v>
      </c>
      <c r="DB223" s="2504">
        <f>E272*E223+F272*F223+G272*G223+H272*H223+I272*I223+J272*J223+K272*K223+L272*L223+M272*M223+N272*N223+O272*O223+P272*P223+Q272*Q223+R272*R223+S272*S223+T272*T223+U272*U223+V272*V223+W272*W223+X272*X223+Y272*Y223+Z272*Z223+AA272*AA223+AB272*AB223+AC272*AC223+AD272*AD223+AE272*AE223+AF272*AF223+AG272*AG223+AH272*AH223+AI272*AI223+AJ272*AJ223+AK272*AK223+AL272*AL223+AM272*AM223+AN272*AN223+AO272*AO223+AP272*AP223+AQ272*AQ223+AR272*AR223+AS272*AS223+AT272*AT223+AU272*AU223+AV272*AV223+AW272*AW223+AX272*AX223+AY272*AY223+AZ272*AZ223+BA272*BA223+BB272*BB223+BC272*BC223+BD272*BD223+BE272*BE223+BF272*BF223+BG272*BG223+BH272*BH223+BI272*BI223+BJ272*BJ223+BK272*BK223+BL272*BL223+BM272*BM223+BN272*BN223+BO272*BO223+BP272*BP223+BQ272*BQ223+BR272*BR223+BS272*BS223+BT272*BT223+BU272*BU223+BV272*BV223+BW272*BW223+BX272*BX223+BY272*BY223+BZ272*BZ223+CA272*CA223+CB272*CB223+CC272*CC223+CD272*CD223+CE272*CE223+CF272*CF223+CG272*CG223+CH272*CH223+CI272*CI223+CJ272*CJ223+CK272*CK223+CL272*CL223+CM272*CM223+CN272*CN223+CO272*CO223+CP272*CP223+CQ272*CQ223+CR272*CR223+CS272*CS223</f>
        <v>0</v>
      </c>
      <c r="DC223" s="2504">
        <f>E273*E223+F273*F223+G273*G223+H273*H223+I273*I223+J273*J223+K273*K223+L273*L223+M273*M223+N273*N223+O273*O223+P273*P223+Q273*Q223+R273*R223+S273*S223+T273*T223+U273*U223+V273*V223+W273*W223+X273*X223+Y273*Y223+Z273*Z223+AA273*AA223+AB273*AB223+AC273*AC223+AD273*AD223+AE273*AE223+AF273*AF223+AG273*AG223+AH273*AH223+AI273*AI223+AJ273*AJ223+AK273*AK223+AL273*AL223+AM273*AM223+AN273*AN223+AO273*AO223+AP273*AP223+AQ273*AQ223+AR273*AR223+AS273*AS223+AT273*AT223+AU273*AU223+AV273*AV223+AW273*AW223+AX273*AX223+AY273*AY223+AZ273*AZ223+BA273*BA223+BB273*BB223+BC273*BC223+BD273*BD223+BE273*BE223+BF273*BF223+BG273*BG223+BH273*BH223+BI273*BI223+BJ273*BJ223+BK273*BK223+BL273*BL223+BM273*BM223+BN273*BN223+BO273*BO223+BP273*BP223+BQ273*BQ223+BR273*BR223+BS273*BS223+BT273*BT223+BU273*BU223+BV273*BV223+BW273*BW223+BX273*BX223+BY273*BY223+BZ273*BZ223+CA273*CA223+CB273*CB223+CC273*CC223+CD273*CD223+CE273*CE223+CF273*CF223+CG273*CG223+CH273*CH223+CI273*CI223+CJ273*CJ223+CK273*CK223+CL273*CL223+CM273*CM223+CN273*CN223+CO273*CO223+CP273*CP223+CQ273*CQ223+CR273*CR223+CS273*CS223</f>
        <v>0</v>
      </c>
      <c r="DD223" s="2504">
        <f>E274*E223+F274*F223+G274*G223+H274*H223+I274*I223+J274*J223+K274*K223+L274*L223+M274*M223+N274*N223+O274*O223+P274*P223+Q274*Q223+R274*R223+S274*S223+T274*T223+U274*U223+V274*V223+W274*W223+X274*X223+Y274*Y223+Z274*Z223+AA274*AA223+AB274*AB223+AC274*AC223+AD274*AD223+AE274*AE223+AF274*AF223+AG274*AG223+AH274*AH223+AI274*AI223+AJ274*AJ223+AK274*AK223+AL274*AL223+AM274*AM223+AN274*AN223+AO274*AO223+AP274*AP223+AQ274*AQ223+AR274*AR223+AS274*AS223+AT274*AT223+AU274*AU223+AV274*AV223+AW274*AW223+AX274*AX223+AY274*AY223+AZ274*AZ223+BA274*BA223+BB274*BB223+BC274*BC223+BD274*BD223+BE274*BE223+BF274*BF223+BG274*BG223+BH274*BH223+BI274*BI223+BJ274*BJ223+BK274*BK223+BL274*BL223+BM274*BM223+BN274*BN223+BO274*BO223+BP274*BP223+BQ274*BQ223+BR274*BR223+BS274*BS223+BT274*BT223+BU274*BU223+BV274*BV223+BW274*BW223+BX274*BX223+BY274*BY223+BZ274*BZ223+CA274*CA223+CB274*CB223+CC274*CC223+CD274*CD223+CE274*CE223+CF274*CF223+CG274*CG223+CH274*CH223+CI274*CI223+CJ274*CJ223+CK274*CK223+CL274*CL223+CM274*CM223+CN274*CN223+CO274*CO223+CP274*CP223+CQ274*CQ223+CR274*CR223+CS274*CS223</f>
        <v>0</v>
      </c>
      <c r="DE223" s="2504">
        <f>E275*E223+F275*F223+G275*G223+H275*H223+I275*I223+J275*J223+K275*K223+L275*L223+M275*M223+N275*N223+O275*O223+P275*P223+Q275*Q223+R275*R223+S275*S223+T275*T223+U275*U223+V275*V223+W275*W223+X275*X223+Y275*Y223+Z275*Z223+AA275*AA223+AB275*AB223+AC275*AC223+AD275*AD223+AE275*AE223+AF275*AF223+AG275*AG223+AH275*AH223+AI275*AI223+AJ275*AJ223+AK275*AK223+AL275*AL223+AM275*AM223+AN275*AN223+AO275*AO223+AP275*AP223+AQ275*AQ223+AR275*AR223+AS275*AS223+AT275*AT223+AU275*AU223+AV275*AV223+AW275*AW223+AX275*AX223+AY275*AY223+AZ275*AZ223+BA275*BA223+BB275*BB223+BC275*BC223+BD275*BD223+BE275*BE223+BF275*BF223+BG275*BG223+BH275*BH223+BI275*BI223+BJ275*BJ223+BK275*BK223+BL275*BL223+BM275*BM223+BN275*BN223+BO275*BO223+BP275*BP223+BQ275*BQ223+BR275*BR223+BS275*BS223+BT275*BT223+BU275*BU223+BV275*BV223+BW275*BW223+BX275*BX223+BY275*BY223+BZ275*BZ223+CA275*CA223+CB275*CB223+CC275*CC223+CD275*CD223+CE275*CE223+CF275*CF223+CG275*CG223+CH275*CH223+CI275*CI223+CJ275*CJ223+CK275*CK223+CL275*CL223+CM275*CM223+CN275*CN223+CO275*CO223+CP275*CP223+CQ275*CQ223+CR275*CR223+CS275*CS223</f>
        <v>0</v>
      </c>
      <c r="DF223" s="2504">
        <f>E276*E223+F276*F223+G276*G223+H276*H223+I276*I223+J276*J223+K276*K223+L276*L223+M276*M223+N276*N223+O276*O223+P276*P223+Q276*Q223+R276*R223+S276*S223+T276*T223+U276*U223+V276*V223+W276*W223+X276*X223+Y276*Y223+Z276*Z223+AA276*AA223+AB276*AB223+AC276*AC223+AD276*AD223+AE276*AE223+AF276*AF223+AG276*AG223+AH276*AH223+AI276*AI223+AJ276*AJ223+AK276*AK223+AL276*AL223+AM276*AM223+AN276*AN223+AO276*AO223+AP276*AP223+AQ276*AQ223+AR276*AR223+AS276*AS223+AT276*AT223+AU276*AU223+AV276*AV223+AW276*AW223+AX276*AX223+AY276*AY223+AZ276*AZ223+BA276*BA223+BB276*BB223+BC276*BC223+BD276*BD223+BE276*BE223+BF276*BF223+BG276*BG223+BH276*BH223+BI276*BI223+BJ276*BJ223+BK276*BK223+BL276*BL223+BM276*BM223+BN276*BN223+BO276*BO223+BP276*BP223+BQ276*BQ223+BR276*BR223+BS276*BS223+BT276*BT223+BU276*BU223+BV276*BV223+BW276*BW223+BX276*BX223+BY276*BY223+BZ276*BZ223+CA276*CA223+CB276*CB223+CC276*CC223+CD276*CD223+CE276*CE223+CF276*CF223+CG276*CG223+CH276*CH223+CI276*CI223+CJ276*CJ223+CK276*CK223+CL276*CL223+CM276*CM223+CN276*CN223+CO276*CO223+CP276*CP223+CQ276*CQ223+CR276*CR223+CS276*CS223</f>
        <v>0</v>
      </c>
    </row>
    <row r="224" spans="2:110" x14ac:dyDescent="0.25">
      <c r="B224" s="1527">
        <v>82</v>
      </c>
      <c r="C224" s="1528" t="s">
        <v>2948</v>
      </c>
      <c r="D224" s="557" t="s">
        <v>2840</v>
      </c>
      <c r="E224" s="507">
        <f>0</f>
        <v>0</v>
      </c>
      <c r="F224" s="507">
        <f>0</f>
        <v>0</v>
      </c>
      <c r="G224" s="507">
        <f>0</f>
        <v>0</v>
      </c>
      <c r="H224" s="507">
        <f>0</f>
        <v>0</v>
      </c>
      <c r="I224" s="507">
        <f>0</f>
        <v>0</v>
      </c>
      <c r="J224" s="507">
        <f>0</f>
        <v>0</v>
      </c>
      <c r="K224" s="507">
        <f>0</f>
        <v>0</v>
      </c>
      <c r="L224" s="507">
        <f>0</f>
        <v>0</v>
      </c>
      <c r="M224" s="507">
        <f>0</f>
        <v>0</v>
      </c>
      <c r="N224" s="507">
        <f>0</f>
        <v>0</v>
      </c>
      <c r="O224" s="507">
        <f>0</f>
        <v>0</v>
      </c>
      <c r="P224" s="507">
        <f>0</f>
        <v>0</v>
      </c>
      <c r="Q224" s="507">
        <f>0</f>
        <v>0</v>
      </c>
      <c r="R224" s="558">
        <f>0</f>
        <v>0</v>
      </c>
      <c r="S224" s="507">
        <f>0</f>
        <v>0</v>
      </c>
      <c r="T224" s="507">
        <f>0</f>
        <v>0</v>
      </c>
      <c r="U224" s="507">
        <f>0</f>
        <v>0</v>
      </c>
      <c r="V224" s="507">
        <f>0</f>
        <v>0</v>
      </c>
      <c r="W224" s="507">
        <f>0</f>
        <v>0</v>
      </c>
      <c r="X224" s="507">
        <f>0</f>
        <v>0</v>
      </c>
      <c r="Y224" s="507">
        <f>0</f>
        <v>0</v>
      </c>
      <c r="Z224" s="507">
        <f>0</f>
        <v>0</v>
      </c>
      <c r="AA224" s="507">
        <f>0</f>
        <v>0</v>
      </c>
      <c r="AB224" s="507">
        <f>0</f>
        <v>0</v>
      </c>
      <c r="AC224" s="507">
        <f>0</f>
        <v>0</v>
      </c>
      <c r="AD224" s="507">
        <f>0</f>
        <v>0</v>
      </c>
      <c r="AE224" s="507">
        <f>0</f>
        <v>0</v>
      </c>
      <c r="AF224" s="507">
        <f>0</f>
        <v>0</v>
      </c>
      <c r="AG224" s="507">
        <f>0</f>
        <v>0</v>
      </c>
      <c r="AH224" s="507">
        <f>0</f>
        <v>0</v>
      </c>
      <c r="AI224" s="507">
        <f>0</f>
        <v>0</v>
      </c>
      <c r="AJ224" s="507">
        <f>0</f>
        <v>0</v>
      </c>
      <c r="AK224" s="507">
        <f>0</f>
        <v>0</v>
      </c>
      <c r="AL224" s="507">
        <f>0</f>
        <v>0</v>
      </c>
      <c r="AM224" s="507">
        <f>0</f>
        <v>0</v>
      </c>
      <c r="AN224" s="507">
        <f>0</f>
        <v>0</v>
      </c>
      <c r="AO224" s="507">
        <f>0</f>
        <v>0</v>
      </c>
      <c r="AP224" s="507">
        <f>0</f>
        <v>0</v>
      </c>
      <c r="AQ224" s="507">
        <f>0</f>
        <v>0</v>
      </c>
      <c r="AR224" s="507">
        <f>0</f>
        <v>0</v>
      </c>
      <c r="AS224" s="507">
        <f>0</f>
        <v>0</v>
      </c>
      <c r="AT224" s="507">
        <f>0</f>
        <v>0</v>
      </c>
      <c r="AU224" s="507">
        <f>0</f>
        <v>0</v>
      </c>
      <c r="AV224" s="507">
        <f>0</f>
        <v>0</v>
      </c>
      <c r="AW224" s="507">
        <f>0</f>
        <v>0</v>
      </c>
      <c r="AX224" s="507">
        <f>0</f>
        <v>0</v>
      </c>
      <c r="AY224" s="507">
        <f>0</f>
        <v>0</v>
      </c>
      <c r="AZ224" s="507">
        <f>0</f>
        <v>0</v>
      </c>
      <c r="BA224" s="507">
        <f>0</f>
        <v>0</v>
      </c>
      <c r="BB224" s="507">
        <f>0</f>
        <v>0</v>
      </c>
      <c r="BC224" s="507">
        <f>0</f>
        <v>0</v>
      </c>
      <c r="BD224" s="507">
        <f>0</f>
        <v>0</v>
      </c>
      <c r="BE224" s="1584">
        <f>-X_HFO_L/(X_HFO_L+X_HFO_L_P)</f>
        <v>-0.5</v>
      </c>
      <c r="BF224" s="1584">
        <f>X_HFO_L/(X_HFO_L+X_HFO_L_P)</f>
        <v>0.5</v>
      </c>
      <c r="BG224" s="1584">
        <f>0</f>
        <v>0</v>
      </c>
      <c r="BH224" s="1584">
        <f>-X_HFO_L_P/(X_HFO_L+X_HFO_L_P)</f>
        <v>-0.5</v>
      </c>
      <c r="BI224" s="1584">
        <f>0</f>
        <v>0</v>
      </c>
      <c r="BJ224" s="1584">
        <f>X_HFO_L_P/(X_HFO_L+X_HFO_L_P)</f>
        <v>0.5</v>
      </c>
      <c r="BK224" s="507">
        <f>0</f>
        <v>0</v>
      </c>
      <c r="BL224" s="559">
        <f>0</f>
        <v>0</v>
      </c>
      <c r="BM224" s="559">
        <f>0</f>
        <v>0</v>
      </c>
      <c r="BN224" s="559">
        <f>0</f>
        <v>0</v>
      </c>
      <c r="BO224" s="559">
        <f>0</f>
        <v>0</v>
      </c>
      <c r="BP224" s="559">
        <f>0</f>
        <v>0</v>
      </c>
      <c r="BQ224" s="559">
        <f>0</f>
        <v>0</v>
      </c>
      <c r="BR224" s="507">
        <f>0</f>
        <v>0</v>
      </c>
      <c r="BS224" s="507">
        <f>0</f>
        <v>0</v>
      </c>
      <c r="BT224" s="507">
        <f>0</f>
        <v>0</v>
      </c>
      <c r="BU224" s="558">
        <f>0</f>
        <v>0</v>
      </c>
      <c r="BV224" s="507">
        <f>0</f>
        <v>0</v>
      </c>
      <c r="BW224" s="2368">
        <f>0</f>
        <v>0</v>
      </c>
      <c r="BX224" s="2368">
        <f>0</f>
        <v>0</v>
      </c>
      <c r="BY224" s="2368">
        <f>0</f>
        <v>0</v>
      </c>
      <c r="BZ224" s="2368">
        <f>0</f>
        <v>0</v>
      </c>
      <c r="CA224" s="507">
        <f>0</f>
        <v>0</v>
      </c>
      <c r="CB224" s="507">
        <f>0</f>
        <v>0</v>
      </c>
      <c r="CC224" s="507">
        <f>0</f>
        <v>0</v>
      </c>
      <c r="CD224" s="558">
        <f>0</f>
        <v>0</v>
      </c>
      <c r="CE224" s="558">
        <f>0</f>
        <v>0</v>
      </c>
      <c r="CF224" s="558">
        <f>0</f>
        <v>0</v>
      </c>
      <c r="CG224" s="558">
        <f>0</f>
        <v>0</v>
      </c>
      <c r="CH224" s="558">
        <f>0</f>
        <v>0</v>
      </c>
      <c r="CI224" s="558">
        <f>0</f>
        <v>0</v>
      </c>
      <c r="CJ224" s="558">
        <f>0</f>
        <v>0</v>
      </c>
      <c r="CK224" s="558">
        <f>0</f>
        <v>0</v>
      </c>
      <c r="CL224" s="558">
        <f>0</f>
        <v>0</v>
      </c>
      <c r="CM224" s="558">
        <f>0</f>
        <v>0</v>
      </c>
      <c r="CN224" s="558">
        <f>0</f>
        <v>0</v>
      </c>
      <c r="CO224" s="558">
        <f>0</f>
        <v>0</v>
      </c>
      <c r="CP224" s="558">
        <f>0</f>
        <v>0</v>
      </c>
      <c r="CQ224" s="558">
        <f>0</f>
        <v>0</v>
      </c>
      <c r="CR224" s="558">
        <f>0</f>
        <v>0</v>
      </c>
      <c r="CS224" s="558">
        <f>0</f>
        <v>0</v>
      </c>
      <c r="CT224" s="2493">
        <f>q_HFOL_AGING*(X_HFO_L+X_HFO_L_P)</f>
        <v>2E-50</v>
      </c>
      <c r="CV224" s="2502">
        <f>E266*E224+F266*F224+G266*G224+H266*H224+I266*I224+J266*J224+K266*K224+L266*L224+M266*M224+N266*N224+O266*O224+P266*P224+Q266*Q224+R266*R224+S266*S224+T266*T224+U266*U224+V266*V224+W266*W224+X266*X224+Y266*Y224+Z266*Z224+AA266*AA224+AB266*AB224+AC266*AC224+AD266*AD224+AE266*AE224+AF266*AF224+AG266*AG224+AH266*AH224+AI266*AI224+AJ266*AJ224+AK266*AK224+AL266*AL224+AM266*AM224+AN266*AN224+AO266*AO224+AP266*AP224+AQ266*AQ224+AR266*AR224+AS266*AS224+AT266*AT224+AU266*AU224+AV266*AV224+AW266*AW224+AX266*AX224+AY266*AY224+AZ266*AZ224+BA266*BA224+BB266*BB224+BC266*BC224+BD266*BD224+BE266*BE224+BF266*BF224+BG266*BG224+BH266*BH224+BI266*BI224+BJ266*BJ224+BK266*BK224+BL266*BL224+BM266*BM224+BN266*BN224+BO266*BO224+BP266*BP224+BQ266*BQ224+BR266*BR224+BS266*BS224+BT266*BT224+BU266*BU224+BV266*BV224+BW266*BW224+BX266*BX224+BY266*BY224+BZ266*BZ224+CA266*CA224+CB266*CB224+CC266*CC224+CD266*CD224+CE266*CE224+CF266*CF224+CG266*CG224+CH266*CH224+CI266*CI224+CJ266*CJ224+CK266*CK224+CL266*CL224+CM266*CM224+CN266*CN224+CO266*CO224+CP266*CP224+CQ266*CQ224+CR266*CR224+CS266*CS224</f>
        <v>0</v>
      </c>
      <c r="CW224" s="2502">
        <f>E267*E224+F267*F224+G267*G224+H267*H224+I267*I224+J267*J224+K267*K224+L267*L224+M267*M224+N267*N224+O267*O224+P267*P224+Q267*Q224+R267*R224+S267*S224+T267*T224+U267*U224+V267*V224+W267*W224+X267*X224+Y267*Y224+Z267*Z224+AA267*AA224+AB267*AB224+AC267*AC224+AD267*AD224+AE267*AE224+AF267*AF224+AG267*AG224+AH267*AH224+AI267*AI224+AJ267*AJ224+AK267*AK224+AL267*AL224+AM267*AM224+AN267*AN224+AO267*AO224+AP267*AP224+AQ267*AQ224+AR267*AR224+AS267*AS224+AT267*AT224+AU267*AU224+AV267*AV224+AW267*AW224+AX267*AX224+AY267*AY224+AZ267*AZ224+BA267*BA224+BB267*BB224+BC267*BC224+BD267*BD224+BE267*BE224+BF267*BF224+BG267*BG224+BH267*BH224+BI267*BI224+BJ267*BJ224+BK267*BK224+BL267*BL224+BM267*BM224+BN267*BN224+BO267*BO224+BP267*BP224+BQ267*BQ224+BR267*BR224+BS267*BS224+BT267*BT224+BU267*BU224+BV267*BV224+BW267*BW224+BX267*BX224+BY267*BY224+BZ267*BZ224+CA267*CA224+CB267*CB224+CC267*CC224+CD267*CD224+CE267*CE224+CF267*CF224+CG267*CG224+CH267*CH224+CI267*CI224+CJ267*CJ224+CK267*CK224+CL267*CL224+CM267*CM224+CN267*CN224+CO267*CO224+CP267*CP224+CQ267*CQ224+CR267*CR224+CS267*CS224</f>
        <v>0</v>
      </c>
      <c r="CX224" s="2503">
        <f>E268*E224+F268*F224+G268*G224+H268*H224+I268*I224+J268*J224+K268*K224+L268*L224+M268*M224+N268*N224+O268*O224+P268*P224+Q268*Q224+R268*R224+S268*S224+T268*T224+U268*U224+V268*V224+W268*W224+X268*X224+Y268*Y224+Z268*Z224+AA268*AA224+AB268*AB224+AC268*AC224+AD268*AD224+AE268*AE224+AF268*AF224+AG268*AG224+AH268*AH224+AI268*AI224+AJ268*AJ224+AK268*AK224+AL268*AL224+AM268*AM224+AN268*AN224+AO268*AO224+AP268*AP224+AQ268*AQ224+AR268*AR224+AS268*AS224+AT268*AT224+AU268*AU224+AV268*AV224+AW268*AW224+AX268*AX224+AY268*AY224+AZ268*AZ224+BA268*BA224+BB268*BB224+BC268*BC224+BD268*BD224+BE268*BE224+BF268*BF224+BG268*BG224+BH268*BH224+BI268*BI224+BJ268*BJ224+BK268*BK224+BL268*BL224+BM268*BM224+BN268*BN224+BO268*BO224+BP268*BP224+BQ268*BQ224+BR268*BR224+BS268*BS224+BT268*BT224+BU268*BU224+BV268*BV224+BW268*BW224+BX268*BX224+BY268*BY224+BZ268*BZ224+CA268*CA224+CB268*CB224+CC268*CC224+CD268*CD224+CE268*CE224+CF268*CF224+CG268*CG224+CH268*CH224+CI268*CI224+CJ268*CJ224+CK268*CK224+CL268*CL224+CM268*CM224+CN268*CN224+CO268*CO224+CP268*CP224+CQ268*CQ224+CR268*CR224+CS268*CS224</f>
        <v>0</v>
      </c>
      <c r="CY224" s="2504">
        <f>E269*E224+F269*F224+G269*G224+H269*H224+I269*I224+J269*J224+K269*K224+L269*L224+M269*M224+N269*N224+O269*O224+P269*P224+Q269*Q224+R269*R224+S269*S224+T269*T224+U269*U224+V269*V224+W269*W224+X269*X224+Y269*Y224+Z269*Z224+AA269*AA224+AB269*AB224+AC269*AC224+AD269*AD224+AE269*AE224+AF269*AF224+AG269*AG224+AH269*AH224+AI269*AI224+AJ269*AJ224+AK269*AK224+AL269*AL224+AM269*AM224+AN269*AN224+AO269*AO224+AP269*AP224+AQ269*AQ224+AR269*AR224+AS269*AS224+AT269*AT224+AU269*AU224+AV269*AV224+AW269*AW224+AX269*AX224+AY269*AY224+AZ269*AZ224+BA269*BA224+BB269*BB224+BC269*BC224+BD269*BD224+BE269*BE224+BF269*BF224+BG269*BG224+BH269*BH224+BI269*BI224+BJ269*BJ224+BK269*BK224+BL269*BL224+BM269*BM224+BN269*BN224+BO269*BO224+BP269*BP224+BQ269*BQ224+BR269*BR224+BS269*BS224+BT269*BT224+BU269*BU224+BV269*BV224+BW269*BW224+BX269*BX224+BY269*BY224+BZ269*BZ224+CA269*CA224+CB269*CB224+CC269*CC224+CD269*CD224+CE269*CE224+CF269*CF224+CG269*CG224+CH269*CH224+CI269*CI224+CJ269*CJ224+CK269*CK224+CL269*CL224+CM269*CM224+CN269*CN224+CO269*CO224+CP269*CP224+CQ269*CQ224+CR269*CR224+CS269*CS224</f>
        <v>0</v>
      </c>
      <c r="CZ224" s="2504">
        <f>E270*E224+F270*F224+G270*G224+H270*H224+I270*I224+J270*J224+K270*K224+L270*L224+M270*M224+N270*N224+O270*O224+P270*P224+Q270*Q224+R270*R224+S270*S224+T270*T224+U270*U224+V270*V224+W270*W224+X270*X224+Y270*Y224+Z270*Z224+AA270*AA224+AB270*AB224+AC270*AC224+AD270*AD224+AE270*AE224+AF270*AF224+AG270*AG224+AH270*AH224+AI270*AI224+AJ270*AJ224+AK270*AK224+AL270*AL224+AM270*AM224+AN270*AN224+AO270*AO224+AP270*AP224+AQ270*AQ224+AR270*AR224+AS270*AS224+AT270*AT224+AU270*AU224+AV270*AV224+AW270*AW224+AX270*AX224+AY270*AY224+AZ270*AZ224+BA270*BA224+BB270*BB224+BC270*BC224+BD270*BD224+BE270*BE224+BF270*BF224+BG270*BG224+BH270*BH224+BI270*BI224+BJ270*BJ224+BK270*BK224+BL270*BL224+BM270*BM224+BN270*BN224+BO270*BO224+BP270*BP224+BQ270*BQ224+BR270*BR224+BS270*BS224+BT270*BT224+BU270*BU224+BV270*BV224+BW270*BW224+BX270*BX224+BY270*BY224+BZ270*BZ224+CA270*CA224+CB270*CB224+CC270*CC224+CD270*CD224+CE270*CE224+CF270*CF224+CG270*CG224+CH270*CH224+CI270*CI224+CJ270*CJ224+CK270*CK224+CL270*CL224+CM270*CM224+CN270*CN224+CO270*CO224+CP270*CP224+CQ270*CQ224+CR270*CR224+CS270*CS224</f>
        <v>0</v>
      </c>
      <c r="DA224" s="2504">
        <f>E271*E224+F271*F224+G271*G224+H271*H224+I271*I224+J271*J224+K271*K224+L271*L224+M271*M224+N271*N224+O271*O224+P271*P224+Q271*Q224+R271*R224+S271*S224+T271*T224+U271*U224+V271*V224+W271*W224+X271*X224+Y271*Y224+Z271*Z224+AA271*AA224+AB271*AB224+AC271*AC224+AD271*AD224+AE271*AE224+AF271*AF224+AG271*AG224+AH271*AH224+AI271*AI224+AJ271*AJ224+AK271*AK224+AL271*AL224+AM271*AM224+AN271*AN224+AO271*AO224+AP271*AP224+AQ271*AQ224+AR271*AR224+AS271*AS224+AT271*AT224+AU271*AU224+AV271*AV224+AW271*AW224+AX271*AX224+AY271*AY224+AZ271*AZ224+BA271*BA224+BB271*BB224+BC271*BC224+BD271*BD224+BE271*BE224+BF271*BF224+BG271*BG224+BH271*BH224+BI271*BI224+BJ271*BJ224+BK271*BK224+BL271*BL224+BM271*BM224+BN271*BN224+BO271*BO224+BP271*BP224+BQ271*BQ224+BR271*BR224+BS271*BS224+BT271*BT224+BU271*BU224+BV271*BV224+BW271*BW224+BX271*BX224+BY271*BY224+BZ271*BZ224+CA271*CA224+CB271*CB224+CC271*CC224+CD271*CD224+CE271*CE224+CF271*CF224+CG271*CG224+CH271*CH224+CI271*CI224+CJ271*CJ224+CK271*CK224+CL271*CL224+CM271*CM224+CN271*CN224+CO271*CO224+CP271*CP224+CQ271*CQ224+CR271*CR224+CS271*CS224</f>
        <v>0</v>
      </c>
      <c r="DB224" s="2504">
        <f>E272*E224+F272*F224+G272*G224+H272*H224+I272*I224+J272*J224+K272*K224+L272*L224+M272*M224+N272*N224+O272*O224+P272*P224+Q272*Q224+R272*R224+S272*S224+T272*T224+U272*U224+V272*V224+W272*W224+X272*X224+Y272*Y224+Z272*Z224+AA272*AA224+AB272*AB224+AC272*AC224+AD272*AD224+AE272*AE224+AF272*AF224+AG272*AG224+AH272*AH224+AI272*AI224+AJ272*AJ224+AK272*AK224+AL272*AL224+AM272*AM224+AN272*AN224+AO272*AO224+AP272*AP224+AQ272*AQ224+AR272*AR224+AS272*AS224+AT272*AT224+AU272*AU224+AV272*AV224+AW272*AW224+AX272*AX224+AY272*AY224+AZ272*AZ224+BA272*BA224+BB272*BB224+BC272*BC224+BD272*BD224+BE272*BE224+BF272*BF224+BG272*BG224+BH272*BH224+BI272*BI224+BJ272*BJ224+BK272*BK224+BL272*BL224+BM272*BM224+BN272*BN224+BO272*BO224+BP272*BP224+BQ272*BQ224+BR272*BR224+BS272*BS224+BT272*BT224+BU272*BU224+BV272*BV224+BW272*BW224+BX272*BX224+BY272*BY224+BZ272*BZ224+CA272*CA224+CB272*CB224+CC272*CC224+CD272*CD224+CE272*CE224+CF272*CF224+CG272*CG224+CH272*CH224+CI272*CI224+CJ272*CJ224+CK272*CK224+CL272*CL224+CM272*CM224+CN272*CN224+CO272*CO224+CP272*CP224+CQ272*CQ224+CR272*CR224+CS272*CS224</f>
        <v>0</v>
      </c>
      <c r="DC224" s="2504">
        <f>E273*E224+F273*F224+G273*G224+H273*H224+I273*I224+J273*J224+K273*K224+L273*L224+M273*M224+N273*N224+O273*O224+P273*P224+Q273*Q224+R273*R224+S273*S224+T273*T224+U273*U224+V273*V224+W273*W224+X273*X224+Y273*Y224+Z273*Z224+AA273*AA224+AB273*AB224+AC273*AC224+AD273*AD224+AE273*AE224+AF273*AF224+AG273*AG224+AH273*AH224+AI273*AI224+AJ273*AJ224+AK273*AK224+AL273*AL224+AM273*AM224+AN273*AN224+AO273*AO224+AP273*AP224+AQ273*AQ224+AR273*AR224+AS273*AS224+AT273*AT224+AU273*AU224+AV273*AV224+AW273*AW224+AX273*AX224+AY273*AY224+AZ273*AZ224+BA273*BA224+BB273*BB224+BC273*BC224+BD273*BD224+BE273*BE224+BF273*BF224+BG273*BG224+BH273*BH224+BI273*BI224+BJ273*BJ224+BK273*BK224+BL273*BL224+BM273*BM224+BN273*BN224+BO273*BO224+BP273*BP224+BQ273*BQ224+BR273*BR224+BS273*BS224+BT273*BT224+BU273*BU224+BV273*BV224+BW273*BW224+BX273*BX224+BY273*BY224+BZ273*BZ224+CA273*CA224+CB273*CB224+CC273*CC224+CD273*CD224+CE273*CE224+CF273*CF224+CG273*CG224+CH273*CH224+CI273*CI224+CJ273*CJ224+CK273*CK224+CL273*CL224+CM273*CM224+CN273*CN224+CO273*CO224+CP273*CP224+CQ273*CQ224+CR273*CR224+CS273*CS224</f>
        <v>0</v>
      </c>
      <c r="DD224" s="2504">
        <f>E274*E224+F274*F224+G274*G224+H274*H224+I274*I224+J274*J224+K274*K224+L274*L224+M274*M224+N274*N224+O274*O224+P274*P224+Q274*Q224+R274*R224+S274*S224+T274*T224+U274*U224+V274*V224+W274*W224+X274*X224+Y274*Y224+Z274*Z224+AA274*AA224+AB274*AB224+AC274*AC224+AD274*AD224+AE274*AE224+AF274*AF224+AG274*AG224+AH274*AH224+AI274*AI224+AJ274*AJ224+AK274*AK224+AL274*AL224+AM274*AM224+AN274*AN224+AO274*AO224+AP274*AP224+AQ274*AQ224+AR274*AR224+AS274*AS224+AT274*AT224+AU274*AU224+AV274*AV224+AW274*AW224+AX274*AX224+AY274*AY224+AZ274*AZ224+BA274*BA224+BB274*BB224+BC274*BC224+BD274*BD224+BE274*BE224+BF274*BF224+BG274*BG224+BH274*BH224+BI274*BI224+BJ274*BJ224+BK274*BK224+BL274*BL224+BM274*BM224+BN274*BN224+BO274*BO224+BP274*BP224+BQ274*BQ224+BR274*BR224+BS274*BS224+BT274*BT224+BU274*BU224+BV274*BV224+BW274*BW224+BX274*BX224+BY274*BY224+BZ274*BZ224+CA274*CA224+CB274*CB224+CC274*CC224+CD274*CD224+CE274*CE224+CF274*CF224+CG274*CG224+CH274*CH224+CI274*CI224+CJ274*CJ224+CK274*CK224+CL274*CL224+CM274*CM224+CN274*CN224+CO274*CO224+CP274*CP224+CQ274*CQ224+CR274*CR224+CS274*CS224</f>
        <v>0</v>
      </c>
      <c r="DE224" s="2504">
        <f>E275*E224+F275*F224+G275*G224+H275*H224+I275*I224+J275*J224+K275*K224+L275*L224+M275*M224+N275*N224+O275*O224+P275*P224+Q275*Q224+R275*R224+S275*S224+T275*T224+U275*U224+V275*V224+W275*W224+X275*X224+Y275*Y224+Z275*Z224+AA275*AA224+AB275*AB224+AC275*AC224+AD275*AD224+AE275*AE224+AF275*AF224+AG275*AG224+AH275*AH224+AI275*AI224+AJ275*AJ224+AK275*AK224+AL275*AL224+AM275*AM224+AN275*AN224+AO275*AO224+AP275*AP224+AQ275*AQ224+AR275*AR224+AS275*AS224+AT275*AT224+AU275*AU224+AV275*AV224+AW275*AW224+AX275*AX224+AY275*AY224+AZ275*AZ224+BA275*BA224+BB275*BB224+BC275*BC224+BD275*BD224+BE275*BE224+BF275*BF224+BG275*BG224+BH275*BH224+BI275*BI224+BJ275*BJ224+BK275*BK224+BL275*BL224+BM275*BM224+BN275*BN224+BO275*BO224+BP275*BP224+BQ275*BQ224+BR275*BR224+BS275*BS224+BT275*BT224+BU275*BU224+BV275*BV224+BW275*BW224+BX275*BX224+BY275*BY224+BZ275*BZ224+CA275*CA224+CB275*CB224+CC275*CC224+CD275*CD224+CE275*CE224+CF275*CF224+CG275*CG224+CH275*CH224+CI275*CI224+CJ275*CJ224+CK275*CK224+CL275*CL224+CM275*CM224+CN275*CN224+CO275*CO224+CP275*CP224+CQ275*CQ224+CR275*CR224+CS275*CS224</f>
        <v>0</v>
      </c>
      <c r="DF224" s="2504">
        <f>E276*E224+F276*F224+G276*G224+H276*H224+I276*I224+J276*J224+K276*K224+L276*L224+M276*M224+N276*N224+O276*O224+P276*P224+Q276*Q224+R276*R224+S276*S224+T276*T224+U276*U224+V276*V224+W276*W224+X276*X224+Y276*Y224+Z276*Z224+AA276*AA224+AB276*AB224+AC276*AC224+AD276*AD224+AE276*AE224+AF276*AF224+AG276*AG224+AH276*AH224+AI276*AI224+AJ276*AJ224+AK276*AK224+AL276*AL224+AM276*AM224+AN276*AN224+AO276*AO224+AP276*AP224+AQ276*AQ224+AR276*AR224+AS276*AS224+AT276*AT224+AU276*AU224+AV276*AV224+AW276*AW224+AX276*AX224+AY276*AY224+AZ276*AZ224+BA276*BA224+BB276*BB224+BC276*BC224+BD276*BD224+BE276*BE224+BF276*BF224+BG276*BG224+BH276*BH224+BI276*BI224+BJ276*BJ224+BK276*BK224+BL276*BL224+BM276*BM224+BN276*BN224+BO276*BO224+BP276*BP224+BQ276*BQ224+BR276*BR224+BS276*BS224+BT276*BT224+BU276*BU224+BV276*BV224+BW276*BW224+BX276*BX224+BY276*BY224+BZ276*BZ224+CA276*CA224+CB276*CB224+CC276*CC224+CD276*CD224+CE276*CE224+CF276*CF224+CG276*CG224+CH276*CH224+CI276*CI224+CJ276*CJ224+CK276*CK224+CL276*CL224+CM276*CM224+CN276*CN224+CO276*CO224+CP276*CP224+CQ276*CQ224+CR276*CR224+CS276*CS224</f>
        <v>0</v>
      </c>
    </row>
    <row r="225" spans="2:110" x14ac:dyDescent="0.25">
      <c r="B225" s="1527">
        <v>83</v>
      </c>
      <c r="C225" s="1528" t="s">
        <v>4578</v>
      </c>
      <c r="D225" s="557" t="s">
        <v>2841</v>
      </c>
      <c r="E225" s="507">
        <f>0</f>
        <v>0</v>
      </c>
      <c r="F225" s="507">
        <f>0</f>
        <v>0</v>
      </c>
      <c r="G225" s="507">
        <f>0</f>
        <v>0</v>
      </c>
      <c r="H225" s="507">
        <f>0</f>
        <v>0</v>
      </c>
      <c r="I225" s="507">
        <f>0</f>
        <v>0</v>
      </c>
      <c r="J225" s="507">
        <f>0</f>
        <v>0</v>
      </c>
      <c r="K225" s="507">
        <f>0</f>
        <v>0</v>
      </c>
      <c r="L225" s="507">
        <f>0</f>
        <v>0</v>
      </c>
      <c r="M225" s="507">
        <f>0</f>
        <v>0</v>
      </c>
      <c r="N225" s="507">
        <f>0</f>
        <v>0</v>
      </c>
      <c r="O225" s="507">
        <f>0</f>
        <v>0</v>
      </c>
      <c r="P225" s="507">
        <f>0</f>
        <v>0</v>
      </c>
      <c r="Q225" s="507">
        <f>0</f>
        <v>0</v>
      </c>
      <c r="R225" s="558">
        <f>0</f>
        <v>0</v>
      </c>
      <c r="S225" s="507">
        <f>0</f>
        <v>0</v>
      </c>
      <c r="T225" s="507">
        <f>0</f>
        <v>0</v>
      </c>
      <c r="U225" s="507">
        <f>0</f>
        <v>0</v>
      </c>
      <c r="V225" s="507">
        <f>0</f>
        <v>0</v>
      </c>
      <c r="W225" s="507">
        <f>0</f>
        <v>0</v>
      </c>
      <c r="X225" s="507">
        <f>0</f>
        <v>0</v>
      </c>
      <c r="Y225" s="507">
        <f>0</f>
        <v>0</v>
      </c>
      <c r="Z225" s="507">
        <f>0</f>
        <v>0</v>
      </c>
      <c r="AA225" s="507">
        <f>0</f>
        <v>0</v>
      </c>
      <c r="AB225" s="507">
        <f>0</f>
        <v>0</v>
      </c>
      <c r="AC225" s="507">
        <f>0</f>
        <v>0</v>
      </c>
      <c r="AD225" s="507">
        <f>0</f>
        <v>0</v>
      </c>
      <c r="AE225" s="507">
        <f>0</f>
        <v>0</v>
      </c>
      <c r="AF225" s="507">
        <f>0</f>
        <v>0</v>
      </c>
      <c r="AG225" s="507">
        <f>0</f>
        <v>0</v>
      </c>
      <c r="AH225" s="507">
        <f>0</f>
        <v>0</v>
      </c>
      <c r="AI225" s="507">
        <f>0</f>
        <v>0</v>
      </c>
      <c r="AJ225" s="507">
        <f>0</f>
        <v>0</v>
      </c>
      <c r="AK225" s="507">
        <f>0</f>
        <v>0</v>
      </c>
      <c r="AL225" s="507">
        <f>0</f>
        <v>0</v>
      </c>
      <c r="AM225" s="507">
        <f>-1</f>
        <v>-1</v>
      </c>
      <c r="AN225" s="507">
        <f>0</f>
        <v>0</v>
      </c>
      <c r="AO225" s="507">
        <f>0</f>
        <v>0</v>
      </c>
      <c r="AP225" s="507">
        <f>0</f>
        <v>0</v>
      </c>
      <c r="AQ225" s="507">
        <f>0</f>
        <v>0</v>
      </c>
      <c r="AR225" s="507">
        <f>0</f>
        <v>0</v>
      </c>
      <c r="AS225" s="507">
        <f>0</f>
        <v>0</v>
      </c>
      <c r="AT225" s="507">
        <f>0</f>
        <v>0</v>
      </c>
      <c r="AU225" s="507">
        <f>0</f>
        <v>0</v>
      </c>
      <c r="AV225" s="507">
        <f>0</f>
        <v>0</v>
      </c>
      <c r="AW225" s="507">
        <f>0</f>
        <v>0</v>
      </c>
      <c r="AX225" s="507">
        <f>0</f>
        <v>0</v>
      </c>
      <c r="AY225" s="507">
        <f>0</f>
        <v>0</v>
      </c>
      <c r="AZ225" s="507">
        <f>0</f>
        <v>0</v>
      </c>
      <c r="BA225" s="507">
        <f>0</f>
        <v>0</v>
      </c>
      <c r="BB225" s="507">
        <f>0</f>
        <v>0</v>
      </c>
      <c r="BC225" s="507">
        <f>0</f>
        <v>0</v>
      </c>
      <c r="BD225" s="558">
        <f>-1/(A_SFHFO_H*(A_MP/A_MFe))</f>
        <v>-1.5024813485524857</v>
      </c>
      <c r="BE225" s="507">
        <f>0</f>
        <v>0</v>
      </c>
      <c r="BF225" s="507">
        <f>0</f>
        <v>0</v>
      </c>
      <c r="BG225" s="558">
        <f>1/(A_SFHFO_H*(A_MP/A_MFe))</f>
        <v>1.5024813485524857</v>
      </c>
      <c r="BH225" s="507">
        <f>0</f>
        <v>0</v>
      </c>
      <c r="BI225" s="558">
        <f>0</f>
        <v>0</v>
      </c>
      <c r="BJ225" s="558">
        <f>0</f>
        <v>0</v>
      </c>
      <c r="BK225" s="558">
        <f>0</f>
        <v>0</v>
      </c>
      <c r="BL225" s="507">
        <f>0</f>
        <v>0</v>
      </c>
      <c r="BM225" s="507">
        <f>0</f>
        <v>0</v>
      </c>
      <c r="BN225" s="558">
        <f>0</f>
        <v>0</v>
      </c>
      <c r="BO225" s="507">
        <f>0</f>
        <v>0</v>
      </c>
      <c r="BP225" s="558">
        <f>0</f>
        <v>0</v>
      </c>
      <c r="BQ225" s="558">
        <f>0</f>
        <v>0</v>
      </c>
      <c r="BR225" s="507">
        <f>0</f>
        <v>0</v>
      </c>
      <c r="BS225" s="507">
        <f>0</f>
        <v>0</v>
      </c>
      <c r="BT225" s="507">
        <f>0</f>
        <v>0</v>
      </c>
      <c r="BU225" s="558">
        <f>0</f>
        <v>0</v>
      </c>
      <c r="BV225" s="507">
        <f>0</f>
        <v>0</v>
      </c>
      <c r="BW225" s="2368">
        <f>0</f>
        <v>0</v>
      </c>
      <c r="BX225" s="2368">
        <f>0</f>
        <v>0</v>
      </c>
      <c r="BY225" s="2368">
        <f>0</f>
        <v>0</v>
      </c>
      <c r="BZ225" s="2368">
        <f>0</f>
        <v>0</v>
      </c>
      <c r="CA225" s="507">
        <f>0</f>
        <v>0</v>
      </c>
      <c r="CB225" s="507">
        <f>0</f>
        <v>0</v>
      </c>
      <c r="CC225" s="507">
        <f>0</f>
        <v>0</v>
      </c>
      <c r="CD225" s="558">
        <f>0</f>
        <v>0</v>
      </c>
      <c r="CE225" s="558">
        <f>0</f>
        <v>0</v>
      </c>
      <c r="CF225" s="558">
        <f>0</f>
        <v>0</v>
      </c>
      <c r="CG225" s="558">
        <f>0</f>
        <v>0</v>
      </c>
      <c r="CH225" s="558">
        <f>0</f>
        <v>0</v>
      </c>
      <c r="CI225" s="558">
        <f>0</f>
        <v>0</v>
      </c>
      <c r="CJ225" s="558">
        <f>0</f>
        <v>0</v>
      </c>
      <c r="CK225" s="558">
        <f>0</f>
        <v>0</v>
      </c>
      <c r="CL225" s="558">
        <f>0</f>
        <v>0</v>
      </c>
      <c r="CM225" s="558">
        <f>0</f>
        <v>0</v>
      </c>
      <c r="CN225" s="558">
        <f>0</f>
        <v>0</v>
      </c>
      <c r="CO225" s="558">
        <f>0</f>
        <v>0</v>
      </c>
      <c r="CP225" s="558">
        <f>0</f>
        <v>0</v>
      </c>
      <c r="CQ225" s="558">
        <f>0</f>
        <v>0</v>
      </c>
      <c r="CR225" s="558">
        <f>0</f>
        <v>0</v>
      </c>
      <c r="CS225" s="558">
        <f>0</f>
        <v>0</v>
      </c>
      <c r="CT225" s="2493">
        <f>q_P_HFO_COPREC*X_HFO_H*M_satSPO4_KP_HFO_BIND</f>
        <v>1.25E-48</v>
      </c>
      <c r="CV225" s="2502">
        <f>E266*E225+F266*F225+G266*G225+H266*H225+I266*I225+J266*J225+K266*K225+L266*L225+M266*M225+N266*N225+O266*O225+P266*P225+Q266*Q225+R266*R225+S266*S225+T266*T225+U266*U225+V266*V225+W266*W225+X266*X225+Y266*Y225+Z266*Z225+AA266*AA225+AB266*AB225+AC266*AC225+AD266*AD225+AE266*AE225+AF266*AF225+AG266*AG225+AH266*AH225+AI266*AI225+AJ266*AJ225+AK266*AK225+AL266*AL225+AM266*AM225+AN266*AN225+AO266*AO225+AP266*AP225+AQ266*AQ225+AR266*AR225+AS266*AS225+AT266*AT225+AU266*AU225+AV266*AV225+AW266*AW225+AX266*AX225+AY266*AY225+AZ266*AZ225+BA266*BA225+BB266*BB225+BC266*BC225+BD266*BD225+BE266*BE225+BF266*BF225+BG266*BG225+BH266*BH225+BI266*BI225+BJ266*BJ225+BK266*BK225+BL266*BL225+BM266*BM225+BN266*BN225+BO266*BO225+BP266*BP225+BQ266*BQ225+BR266*BR225+BS266*BS225+BT266*BT225+BU266*BU225+BV266*BV225+BW266*BW225+BX266*BX225+BY266*BY225+BZ266*BZ225+CA266*CA225+CB266*CB225+CC266*CC225+CD266*CD225+CE266*CE225+CF266*CF225+CG266*CG225+CH266*CH225+CI266*CI225+CJ266*CJ225+CK266*CK225+CL266*CL225+CM266*CM225+CN266*CN225+CO266*CO225+CP266*CP225+CQ266*CQ225+CR266*CR225+CS266*CS225</f>
        <v>0</v>
      </c>
      <c r="CW225" s="2502">
        <f>E267*E225+F267*F225+G267*G225+H267*H225+I267*I225+J267*J225+K267*K225+L267*L225+M267*M225+N267*N225+O267*O225+P267*P225+Q267*Q225+R267*R225+S267*S225+T267*T225+U267*U225+V267*V225+W267*W225+X267*X225+Y267*Y225+Z267*Z225+AA267*AA225+AB267*AB225+AC267*AC225+AD267*AD225+AE267*AE225+AF267*AF225+AG267*AG225+AH267*AH225+AI267*AI225+AJ267*AJ225+AK267*AK225+AL267*AL225+AM267*AM225+AN267*AN225+AO267*AO225+AP267*AP225+AQ267*AQ225+AR267*AR225+AS267*AS225+AT267*AT225+AU267*AU225+AV267*AV225+AW267*AW225+AX267*AX225+AY267*AY225+AZ267*AZ225+BA267*BA225+BB267*BB225+BC267*BC225+BD267*BD225+BE267*BE225+BF267*BF225+BG267*BG225+BH267*BH225+BI267*BI225+BJ267*BJ225+BK267*BK225+BL267*BL225+BM267*BM225+BN267*BN225+BO267*BO225+BP267*BP225+BQ267*BQ225+BR267*BR225+BS267*BS225+BT267*BT225+BU267*BU225+BV267*BV225+BW267*BW225+BX267*BX225+BY267*BY225+BZ267*BZ225+CA267*CA225+CB267*CB225+CC267*CC225+CD267*CD225+CE267*CE225+CF267*CF225+CG267*CG225+CH267*CH225+CI267*CI225+CJ267*CJ225+CK267*CK225+CL267*CL225+CM267*CM225+CN267*CN225+CO267*CO225+CP267*CP225+CQ267*CQ225+CR267*CR225+CS267*CS225</f>
        <v>0</v>
      </c>
      <c r="CX225" s="2503">
        <f>E268*E225+F268*F225+G268*G225+H268*H225+I268*I225+J268*J225+K268*K225+L268*L225+M268*M225+N268*N225+O268*O225+P268*P225+Q268*Q225+R268*R225+S268*S225+T268*T225+U268*U225+V268*V225+W268*W225+X268*X225+Y268*Y225+Z268*Z225+AA268*AA225+AB268*AB225+AC268*AC225+AD268*AD225+AE268*AE225+AF268*AF225+AG268*AG225+AH268*AH225+AI268*AI225+AJ268*AJ225+AK268*AK225+AL268*AL225+AM268*AM225+AN268*AN225+AO268*AO225+AP268*AP225+AQ268*AQ225+AR268*AR225+AS268*AS225+AT268*AT225+AU268*AU225+AV268*AV225+AW268*AW225+AX268*AX225+AY268*AY225+AZ268*AZ225+BA268*BA225+BB268*BB225+BC268*BC225+BD268*BD225+BE268*BE225+BF268*BF225+BG268*BG225+BH268*BH225+BI268*BI225+BJ268*BJ225+BK268*BK225+BL268*BL225+BM268*BM225+BN268*BN225+BO268*BO225+BP268*BP225+BQ268*BQ225+BR268*BR225+BS268*BS225+BT268*BT225+BU268*BU225+BV268*BV225+BW268*BW225+BX268*BX225+BY268*BY225+BZ268*BZ225+CA268*CA225+CB268*CB225+CC268*CC225+CD268*CD225+CE268*CE225+CF268*CF225+CG268*CG225+CH268*CH225+CI268*CI225+CJ268*CJ225+CK268*CK225+CL268*CL225+CM268*CM225+CN268*CN225+CO268*CO225+CP268*CP225+CQ268*CQ225+CR268*CR225+CS268*CS225</f>
        <v>0</v>
      </c>
      <c r="CY225" s="2504">
        <f>E269*E225+F269*F225+G269*G225+H269*H225+I269*I225+J269*J225+K269*K225+L269*L225+M269*M225+N269*N225+O269*O225+P269*P225+Q269*Q225+R269*R225+S269*S225+T269*T225+U269*U225+V269*V225+W269*W225+X269*X225+Y269*Y225+Z269*Z225+AA269*AA225+AB269*AB225+AC269*AC225+AD269*AD225+AE269*AE225+AF269*AF225+AG269*AG225+AH269*AH225+AI269*AI225+AJ269*AJ225+AK269*AK225+AL269*AL225+AM269*AM225+AN269*AN225+AO269*AO225+AP269*AP225+AQ269*AQ225+AR269*AR225+AS269*AS225+AT269*AT225+AU269*AU225+AV269*AV225+AW269*AW225+AX269*AX225+AY269*AY225+AZ269*AZ225+BA269*BA225+BB269*BB225+BC269*BC225+BD269*BD225+BE269*BE225+BF269*BF225+BG269*BG225+BH269*BH225+BI269*BI225+BJ269*BJ225+BK269*BK225+BL269*BL225+BM269*BM225+BN269*BN225+BO269*BO225+BP269*BP225+BQ269*BQ225+BR269*BR225+BS269*BS225+BT269*BT225+BU269*BU225+BV269*BV225+BW269*BW225+BX269*BX225+BY269*BY225+BZ269*BZ225+CA269*CA225+CB269*CB225+CC269*CC225+CD269*CD225+CE269*CE225+CF269*CF225+CG269*CG225+CH269*CH225+CI269*CI225+CJ269*CJ225+CK269*CK225+CL269*CL225+CM269*CM225+CN269*CN225+CO269*CO225+CP269*CP225+CQ269*CQ225+CR269*CR225+CS269*CS225</f>
        <v>0</v>
      </c>
      <c r="CZ225" s="2504">
        <f>E270*E225+F270*F225+G270*G225+H270*H225+I270*I225+J270*J225+K270*K225+L270*L225+M270*M225+N270*N225+O270*O225+P270*P225+Q270*Q225+R270*R225+S270*S225+T270*T225+U270*U225+V270*V225+W270*W225+X270*X225+Y270*Y225+Z270*Z225+AA270*AA225+AB270*AB225+AC270*AC225+AD270*AD225+AE270*AE225+AF270*AF225+AG270*AG225+AH270*AH225+AI270*AI225+AJ270*AJ225+AK270*AK225+AL270*AL225+AM270*AM225+AN270*AN225+AO270*AO225+AP270*AP225+AQ270*AQ225+AR270*AR225+AS270*AS225+AT270*AT225+AU270*AU225+AV270*AV225+AW270*AW225+AX270*AX225+AY270*AY225+AZ270*AZ225+BA270*BA225+BB270*BB225+BC270*BC225+BD270*BD225+BE270*BE225+BF270*BF225+BG270*BG225+BH270*BH225+BI270*BI225+BJ270*BJ225+BK270*BK225+BL270*BL225+BM270*BM225+BN270*BN225+BO270*BO225+BP270*BP225+BQ270*BQ225+BR270*BR225+BS270*BS225+BT270*BT225+BU270*BU225+BV270*BV225+BW270*BW225+BX270*BX225+BY270*BY225+BZ270*BZ225+CA270*CA225+CB270*CB225+CC270*CC225+CD270*CD225+CE270*CE225+CF270*CF225+CG270*CG225+CH270*CH225+CI270*CI225+CJ270*CJ225+CK270*CK225+CL270*CL225+CM270*CM225+CN270*CN225+CO270*CO225+CP270*CP225+CQ270*CQ225+CR270*CR225+CS270*CS225</f>
        <v>0</v>
      </c>
      <c r="DA225" s="2504">
        <f>E271*E225+F271*F225+G271*G225+H271*H225+I271*I225+J271*J225+K271*K225+L271*L225+M271*M225+N271*N225+O271*O225+P271*P225+Q271*Q225+R271*R225+S271*S225+T271*T225+U271*U225+V271*V225+W271*W225+X271*X225+Y271*Y225+Z271*Z225+AA271*AA225+AB271*AB225+AC271*AC225+AD271*AD225+AE271*AE225+AF271*AF225+AG271*AG225+AH271*AH225+AI271*AI225+AJ271*AJ225+AK271*AK225+AL271*AL225+AM271*AM225+AN271*AN225+AO271*AO225+AP271*AP225+AQ271*AQ225+AR271*AR225+AS271*AS225+AT271*AT225+AU271*AU225+AV271*AV225+AW271*AW225+AX271*AX225+AY271*AY225+AZ271*AZ225+BA271*BA225+BB271*BB225+BC271*BC225+BD271*BD225+BE271*BE225+BF271*BF225+BG271*BG225+BH271*BH225+BI271*BI225+BJ271*BJ225+BK271*BK225+BL271*BL225+BM271*BM225+BN271*BN225+BO271*BO225+BP271*BP225+BQ271*BQ225+BR271*BR225+BS271*BS225+BT271*BT225+BU271*BU225+BV271*BV225+BW271*BW225+BX271*BX225+BY271*BY225+BZ271*BZ225+CA271*CA225+CB271*CB225+CC271*CC225+CD271*CD225+CE271*CE225+CF271*CF225+CG271*CG225+CH271*CH225+CI271*CI225+CJ271*CJ225+CK271*CK225+CL271*CL225+CM271*CM225+CN271*CN225+CO271*CO225+CP271*CP225+CQ271*CQ225+CR271*CR225+CS271*CS225</f>
        <v>0</v>
      </c>
      <c r="DB225" s="2504">
        <f>E272*E225+F272*F225+G272*G225+H272*H225+I272*I225+J272*J225+K272*K225+L272*L225+M272*M225+N272*N225+O272*O225+P272*P225+Q272*Q225+R272*R225+S272*S225+T272*T225+U272*U225+V272*V225+W272*W225+X272*X225+Y272*Y225+Z272*Z225+AA272*AA225+AB272*AB225+AC272*AC225+AD272*AD225+AE272*AE225+AF272*AF225+AG272*AG225+AH272*AH225+AI272*AI225+AJ272*AJ225+AK272*AK225+AL272*AL225+AM272*AM225+AN272*AN225+AO272*AO225+AP272*AP225+AQ272*AQ225+AR272*AR225+AS272*AS225+AT272*AT225+AU272*AU225+AV272*AV225+AW272*AW225+AX272*AX225+AY272*AY225+AZ272*AZ225+BA272*BA225+BB272*BB225+BC272*BC225+BD272*BD225+BE272*BE225+BF272*BF225+BG272*BG225+BH272*BH225+BI272*BI225+BJ272*BJ225+BK272*BK225+BL272*BL225+BM272*BM225+BN272*BN225+BO272*BO225+BP272*BP225+BQ272*BQ225+BR272*BR225+BS272*BS225+BT272*BT225+BU272*BU225+BV272*BV225+BW272*BW225+BX272*BX225+BY272*BY225+BZ272*BZ225+CA272*CA225+CB272*CB225+CC272*CC225+CD272*CD225+CE272*CE225+CF272*CF225+CG272*CG225+CH272*CH225+CI272*CI225+CJ272*CJ225+CK272*CK225+CL272*CL225+CM272*CM225+CN272*CN225+CO272*CO225+CP272*CP225+CQ272*CQ225+CR272*CR225+CS272*CS225</f>
        <v>0</v>
      </c>
      <c r="DC225" s="2504">
        <f>E273*E225+F273*F225+G273*G225+H273*H225+I273*I225+J273*J225+K273*K225+L273*L225+M273*M225+N273*N225+O273*O225+P273*P225+Q273*Q225+R273*R225+S273*S225+T273*T225+U273*U225+V273*V225+W273*W225+X273*X225+Y273*Y225+Z273*Z225+AA273*AA225+AB273*AB225+AC273*AC225+AD273*AD225+AE273*AE225+AF273*AF225+AG273*AG225+AH273*AH225+AI273*AI225+AJ273*AJ225+AK273*AK225+AL273*AL225+AM273*AM225+AN273*AN225+AO273*AO225+AP273*AP225+AQ273*AQ225+AR273*AR225+AS273*AS225+AT273*AT225+AU273*AU225+AV273*AV225+AW273*AW225+AX273*AX225+AY273*AY225+AZ273*AZ225+BA273*BA225+BB273*BB225+BC273*BC225+BD273*BD225+BE273*BE225+BF273*BF225+BG273*BG225+BH273*BH225+BI273*BI225+BJ273*BJ225+BK273*BK225+BL273*BL225+BM273*BM225+BN273*BN225+BO273*BO225+BP273*BP225+BQ273*BQ225+BR273*BR225+BS273*BS225+BT273*BT225+BU273*BU225+BV273*BV225+BW273*BW225+BX273*BX225+BY273*BY225+BZ273*BZ225+CA273*CA225+CB273*CB225+CC273*CC225+CD273*CD225+CE273*CE225+CF273*CF225+CG273*CG225+CH273*CH225+CI273*CI225+CJ273*CJ225+CK273*CK225+CL273*CL225+CM273*CM225+CN273*CN225+CO273*CO225+CP273*CP225+CQ273*CQ225+CR273*CR225+CS273*CS225</f>
        <v>0</v>
      </c>
      <c r="DD225" s="2504">
        <f>E274*E225+F274*F225+G274*G225+H274*H225+I274*I225+J274*J225+K274*K225+L274*L225+M274*M225+N274*N225+O274*O225+P274*P225+Q274*Q225+R274*R225+S274*S225+T274*T225+U274*U225+V274*V225+W274*W225+X274*X225+Y274*Y225+Z274*Z225+AA274*AA225+AB274*AB225+AC274*AC225+AD274*AD225+AE274*AE225+AF274*AF225+AG274*AG225+AH274*AH225+AI274*AI225+AJ274*AJ225+AK274*AK225+AL274*AL225+AM274*AM225+AN274*AN225+AO274*AO225+AP274*AP225+AQ274*AQ225+AR274*AR225+AS274*AS225+AT274*AT225+AU274*AU225+AV274*AV225+AW274*AW225+AX274*AX225+AY274*AY225+AZ274*AZ225+BA274*BA225+BB274*BB225+BC274*BC225+BD274*BD225+BE274*BE225+BF274*BF225+BG274*BG225+BH274*BH225+BI274*BI225+BJ274*BJ225+BK274*BK225+BL274*BL225+BM274*BM225+BN274*BN225+BO274*BO225+BP274*BP225+BQ274*BQ225+BR274*BR225+BS274*BS225+BT274*BT225+BU274*BU225+BV274*BV225+BW274*BW225+BX274*BX225+BY274*BY225+BZ274*BZ225+CA274*CA225+CB274*CB225+CC274*CC225+CD274*CD225+CE274*CE225+CF274*CF225+CG274*CG225+CH274*CH225+CI274*CI225+CJ274*CJ225+CK274*CK225+CL274*CL225+CM274*CM225+CN274*CN225+CO274*CO225+CP274*CP225+CQ274*CQ225+CR274*CR225+CS274*CS225</f>
        <v>0</v>
      </c>
      <c r="DE225" s="2504">
        <f>E275*E225+F275*F225+G275*G225+H275*H225+I275*I225+J275*J225+K275*K225+L275*L225+M275*M225+N275*N225+O275*O225+P275*P225+Q275*Q225+R275*R225+S275*S225+T275*T225+U275*U225+V275*V225+W275*W225+X275*X225+Y275*Y225+Z275*Z225+AA275*AA225+AB275*AB225+AC275*AC225+AD275*AD225+AE275*AE225+AF275*AF225+AG275*AG225+AH275*AH225+AI275*AI225+AJ275*AJ225+AK275*AK225+AL275*AL225+AM275*AM225+AN275*AN225+AO275*AO225+AP275*AP225+AQ275*AQ225+AR275*AR225+AS275*AS225+AT275*AT225+AU275*AU225+AV275*AV225+AW275*AW225+AX275*AX225+AY275*AY225+AZ275*AZ225+BA275*BA225+BB275*BB225+BC275*BC225+BD275*BD225+BE275*BE225+BF275*BF225+BG275*BG225+BH275*BH225+BI275*BI225+BJ275*BJ225+BK275*BK225+BL275*BL225+BM275*BM225+BN275*BN225+BO275*BO225+BP275*BP225+BQ275*BQ225+BR275*BR225+BS275*BS225+BT275*BT225+BU275*BU225+BV275*BV225+BW275*BW225+BX275*BX225+BY275*BY225+BZ275*BZ225+CA275*CA225+CB275*CB225+CC275*CC225+CD275*CD225+CE275*CE225+CF275*CF225+CG275*CG225+CH275*CH225+CI275*CI225+CJ275*CJ225+CK275*CK225+CL275*CL225+CM275*CM225+CN275*CN225+CO275*CO225+CP275*CP225+CQ275*CQ225+CR275*CR225+CS275*CS225</f>
        <v>0</v>
      </c>
      <c r="DF225" s="2504">
        <f>E276*E225+F276*F225+G276*G225+H276*H225+I276*I225+J276*J225+K276*K225+L276*L225+M276*M225+N276*N225+O276*O225+P276*P225+Q276*Q225+R276*R225+S276*S225+T276*T225+U276*U225+V276*V225+W276*W225+X276*X225+Y276*Y225+Z276*Z225+AA276*AA225+AB276*AB225+AC276*AC225+AD276*AD225+AE276*AE225+AF276*AF225+AG276*AG225+AH276*AH225+AI276*AI225+AJ276*AJ225+AK276*AK225+AL276*AL225+AM276*AM225+AN276*AN225+AO276*AO225+AP276*AP225+AQ276*AQ225+AR276*AR225+AS276*AS225+AT276*AT225+AU276*AU225+AV276*AV225+AW276*AW225+AX276*AX225+AY276*AY225+AZ276*AZ225+BA276*BA225+BB276*BB225+BC276*BC225+BD276*BD225+BE276*BE225+BF276*BF225+BG276*BG225+BH276*BH225+BI276*BI225+BJ276*BJ225+BK276*BK225+BL276*BL225+BM276*BM225+BN276*BN225+BO276*BO225+BP276*BP225+BQ276*BQ225+BR276*BR225+BS276*BS225+BT276*BT225+BU276*BU225+BV276*BV225+BW276*BW225+BX276*BX225+BY276*BY225+BZ276*BZ225+CA276*CA225+CB276*CB225+CC276*CC225+CD276*CD225+CE276*CE225+CF276*CF225+CG276*CG225+CH276*CH225+CI276*CI225+CJ276*CJ225+CK276*CK225+CL276*CL225+CM276*CM225+CN276*CN225+CO276*CO225+CP276*CP225+CQ276*CQ225+CR276*CR225+CS276*CS225</f>
        <v>0</v>
      </c>
    </row>
    <row r="226" spans="2:110" x14ac:dyDescent="0.25">
      <c r="B226" s="1527">
        <v>84</v>
      </c>
      <c r="C226" s="1528" t="s">
        <v>2949</v>
      </c>
      <c r="D226" s="557" t="s">
        <v>2842</v>
      </c>
      <c r="E226" s="507">
        <f>0</f>
        <v>0</v>
      </c>
      <c r="F226" s="507">
        <f>0</f>
        <v>0</v>
      </c>
      <c r="G226" s="507">
        <f>0</f>
        <v>0</v>
      </c>
      <c r="H226" s="507">
        <f>0</f>
        <v>0</v>
      </c>
      <c r="I226" s="507">
        <f>0</f>
        <v>0</v>
      </c>
      <c r="J226" s="507">
        <f>0</f>
        <v>0</v>
      </c>
      <c r="K226" s="507">
        <f>0</f>
        <v>0</v>
      </c>
      <c r="L226" s="507">
        <f>0</f>
        <v>0</v>
      </c>
      <c r="M226" s="507">
        <f>0</f>
        <v>0</v>
      </c>
      <c r="N226" s="507">
        <f>0</f>
        <v>0</v>
      </c>
      <c r="O226" s="507">
        <f>0</f>
        <v>0</v>
      </c>
      <c r="P226" s="507">
        <f>0</f>
        <v>0</v>
      </c>
      <c r="Q226" s="507">
        <f>0</f>
        <v>0</v>
      </c>
      <c r="R226" s="558">
        <f>0</f>
        <v>0</v>
      </c>
      <c r="S226" s="507">
        <f>0</f>
        <v>0</v>
      </c>
      <c r="T226" s="507">
        <f>0</f>
        <v>0</v>
      </c>
      <c r="U226" s="507">
        <f>0</f>
        <v>0</v>
      </c>
      <c r="V226" s="507">
        <f>0</f>
        <v>0</v>
      </c>
      <c r="W226" s="507">
        <f>0</f>
        <v>0</v>
      </c>
      <c r="X226" s="507">
        <f>0</f>
        <v>0</v>
      </c>
      <c r="Y226" s="507">
        <f>0</f>
        <v>0</v>
      </c>
      <c r="Z226" s="507">
        <f>0</f>
        <v>0</v>
      </c>
      <c r="AA226" s="507">
        <f>0</f>
        <v>0</v>
      </c>
      <c r="AB226" s="507">
        <f>0</f>
        <v>0</v>
      </c>
      <c r="AC226" s="507">
        <f>0</f>
        <v>0</v>
      </c>
      <c r="AD226" s="507">
        <f>0</f>
        <v>0</v>
      </c>
      <c r="AE226" s="507">
        <f>0</f>
        <v>0</v>
      </c>
      <c r="AF226" s="507">
        <f>0</f>
        <v>0</v>
      </c>
      <c r="AG226" s="507">
        <f>0</f>
        <v>0</v>
      </c>
      <c r="AH226" s="507">
        <f>0</f>
        <v>0</v>
      </c>
      <c r="AI226" s="507">
        <f>0</f>
        <v>0</v>
      </c>
      <c r="AJ226" s="507">
        <f>0</f>
        <v>0</v>
      </c>
      <c r="AK226" s="507">
        <f>0</f>
        <v>0</v>
      </c>
      <c r="AL226" s="507">
        <f>0</f>
        <v>0</v>
      </c>
      <c r="AM226" s="507">
        <f>-1</f>
        <v>-1</v>
      </c>
      <c r="AN226" s="507">
        <f>0</f>
        <v>0</v>
      </c>
      <c r="AO226" s="507">
        <f>0</f>
        <v>0</v>
      </c>
      <c r="AP226" s="507">
        <f>0</f>
        <v>0</v>
      </c>
      <c r="AQ226" s="507">
        <f>0</f>
        <v>0</v>
      </c>
      <c r="AR226" s="507">
        <f>0</f>
        <v>0</v>
      </c>
      <c r="AS226" s="507">
        <f>0</f>
        <v>0</v>
      </c>
      <c r="AT226" s="507">
        <f>0</f>
        <v>0</v>
      </c>
      <c r="AU226" s="507">
        <f>0</f>
        <v>0</v>
      </c>
      <c r="AV226" s="507">
        <f>0</f>
        <v>0</v>
      </c>
      <c r="AW226" s="507">
        <f>0</f>
        <v>0</v>
      </c>
      <c r="AX226" s="507">
        <f>0</f>
        <v>0</v>
      </c>
      <c r="AY226" s="507">
        <f>0</f>
        <v>0</v>
      </c>
      <c r="AZ226" s="507">
        <f>0</f>
        <v>0</v>
      </c>
      <c r="BA226" s="507">
        <f>0</f>
        <v>0</v>
      </c>
      <c r="BB226" s="507">
        <f>0</f>
        <v>0</v>
      </c>
      <c r="BC226" s="507">
        <f>0</f>
        <v>0</v>
      </c>
      <c r="BD226" s="507">
        <f>0</f>
        <v>0</v>
      </c>
      <c r="BE226" s="558">
        <f>-1/(A_SFHFO_L*(A_MP/A_MFe))</f>
        <v>-9.0148880913149121</v>
      </c>
      <c r="BF226" s="507">
        <f>0</f>
        <v>0</v>
      </c>
      <c r="BG226" s="507">
        <f>0</f>
        <v>0</v>
      </c>
      <c r="BH226" s="558">
        <f>1/(A_SFHFO_L*(A_MP/A_MFe))</f>
        <v>9.0148880913149121</v>
      </c>
      <c r="BI226" s="507">
        <f>0</f>
        <v>0</v>
      </c>
      <c r="BJ226" s="507">
        <f>0</f>
        <v>0</v>
      </c>
      <c r="BK226" s="507">
        <f>0</f>
        <v>0</v>
      </c>
      <c r="BL226" s="558">
        <f>0</f>
        <v>0</v>
      </c>
      <c r="BM226" s="507">
        <f>0</f>
        <v>0</v>
      </c>
      <c r="BN226" s="507">
        <f>0</f>
        <v>0</v>
      </c>
      <c r="BO226" s="558">
        <f>0</f>
        <v>0</v>
      </c>
      <c r="BP226" s="507">
        <f>0</f>
        <v>0</v>
      </c>
      <c r="BQ226" s="507">
        <f>0</f>
        <v>0</v>
      </c>
      <c r="BR226" s="507">
        <f>0</f>
        <v>0</v>
      </c>
      <c r="BS226" s="507">
        <f>0</f>
        <v>0</v>
      </c>
      <c r="BT226" s="507">
        <f>0</f>
        <v>0</v>
      </c>
      <c r="BU226" s="558">
        <f>0</f>
        <v>0</v>
      </c>
      <c r="BV226" s="507">
        <f>0</f>
        <v>0</v>
      </c>
      <c r="BW226" s="2368">
        <f>0</f>
        <v>0</v>
      </c>
      <c r="BX226" s="2368">
        <f>0</f>
        <v>0</v>
      </c>
      <c r="BY226" s="2368">
        <f>0</f>
        <v>0</v>
      </c>
      <c r="BZ226" s="2368">
        <f>0</f>
        <v>0</v>
      </c>
      <c r="CA226" s="507">
        <f>0</f>
        <v>0</v>
      </c>
      <c r="CB226" s="507">
        <f>0</f>
        <v>0</v>
      </c>
      <c r="CC226" s="507">
        <f>0</f>
        <v>0</v>
      </c>
      <c r="CD226" s="558">
        <f>0</f>
        <v>0</v>
      </c>
      <c r="CE226" s="558">
        <f>0</f>
        <v>0</v>
      </c>
      <c r="CF226" s="558">
        <f>0</f>
        <v>0</v>
      </c>
      <c r="CG226" s="558">
        <f>0</f>
        <v>0</v>
      </c>
      <c r="CH226" s="558">
        <f>0</f>
        <v>0</v>
      </c>
      <c r="CI226" s="558">
        <f>0</f>
        <v>0</v>
      </c>
      <c r="CJ226" s="558">
        <f>0</f>
        <v>0</v>
      </c>
      <c r="CK226" s="558">
        <f>0</f>
        <v>0</v>
      </c>
      <c r="CL226" s="558">
        <f>0</f>
        <v>0</v>
      </c>
      <c r="CM226" s="558">
        <f>0</f>
        <v>0</v>
      </c>
      <c r="CN226" s="558">
        <f>0</f>
        <v>0</v>
      </c>
      <c r="CO226" s="558">
        <f>0</f>
        <v>0</v>
      </c>
      <c r="CP226" s="558">
        <f>0</f>
        <v>0</v>
      </c>
      <c r="CQ226" s="558">
        <f>0</f>
        <v>0</v>
      </c>
      <c r="CR226" s="558">
        <f>0</f>
        <v>0</v>
      </c>
      <c r="CS226" s="558">
        <f>0</f>
        <v>0</v>
      </c>
      <c r="CT226" s="2493">
        <f>q_P_HFO_BIND*X_HFO_L*M_satSPO4_KP_HFO_BIND</f>
        <v>8.3333333333333332E-51</v>
      </c>
      <c r="CV226" s="2502">
        <f>E266*E226+F266*F226+G266*G226+H266*H226+I266*I226+J266*J226+K266*K226+L266*L226+M266*M226+N266*N226+O266*O226+P266*P226+Q266*Q226+R266*R226+S266*S226+T266*T226+U266*U226+V266*V226+W266*W226+X266*X226+Y266*Y226+Z266*Z226+AA266*AA226+AB266*AB226+AC266*AC226+AD266*AD226+AE266*AE226+AF266*AF226+AG266*AG226+AH266*AH226+AI266*AI226+AJ266*AJ226+AK266*AK226+AL266*AL226+AM266*AM226+AN266*AN226+AO266*AO226+AP266*AP226+AQ266*AQ226+AR266*AR226+AS266*AS226+AT266*AT226+AU266*AU226+AV266*AV226+AW266*AW226+AX266*AX226+AY266*AY226+AZ266*AZ226+BA266*BA226+BB266*BB226+BC266*BC226+BD266*BD226+BE266*BE226+BF266*BF226+BG266*BG226+BH266*BH226+BI266*BI226+BJ266*BJ226+BK266*BK226+BL266*BL226+BM266*BM226+BN266*BN226+BO266*BO226+BP266*BP226+BQ266*BQ226+BR266*BR226+BS266*BS226+BT266*BT226+BU266*BU226+BV266*BV226+BW266*BW226+BX266*BX226+BY266*BY226+BZ266*BZ226+CA266*CA226+CB266*CB226+CC266*CC226+CD266*CD226+CE266*CE226+CF266*CF226+CG266*CG226+CH266*CH226+CI266*CI226+CJ266*CJ226+CK266*CK226+CL266*CL226+CM266*CM226+CN266*CN226+CO266*CO226+CP266*CP226+CQ266*CQ226+CR266*CR226+CS266*CS226</f>
        <v>0</v>
      </c>
      <c r="CW226" s="2502">
        <f>E267*E226+F267*F226+G267*G226+H267*H226+I267*I226+J267*J226+K267*K226+L267*L226+M267*M226+N267*N226+O267*O226+P267*P226+Q267*Q226+R267*R226+S267*S226+T267*T226+U267*U226+V267*V226+W267*W226+X267*X226+Y267*Y226+Z267*Z226+AA267*AA226+AB267*AB226+AC267*AC226+AD267*AD226+AE267*AE226+AF267*AF226+AG267*AG226+AH267*AH226+AI267*AI226+AJ267*AJ226+AK267*AK226+AL267*AL226+AM267*AM226+AN267*AN226+AO267*AO226+AP267*AP226+AQ267*AQ226+AR267*AR226+AS267*AS226+AT267*AT226+AU267*AU226+AV267*AV226+AW267*AW226+AX267*AX226+AY267*AY226+AZ267*AZ226+BA267*BA226+BB267*BB226+BC267*BC226+BD267*BD226+BE267*BE226+BF267*BF226+BG267*BG226+BH267*BH226+BI267*BI226+BJ267*BJ226+BK267*BK226+BL267*BL226+BM267*BM226+BN267*BN226+BO267*BO226+BP267*BP226+BQ267*BQ226+BR267*BR226+BS267*BS226+BT267*BT226+BU267*BU226+BV267*BV226+BW267*BW226+BX267*BX226+BY267*BY226+BZ267*BZ226+CA267*CA226+CB267*CB226+CC267*CC226+CD267*CD226+CE267*CE226+CF267*CF226+CG267*CG226+CH267*CH226+CI267*CI226+CJ267*CJ226+CK267*CK226+CL267*CL226+CM267*CM226+CN267*CN226+CO267*CO226+CP267*CP226+CQ267*CQ226+CR267*CR226+CS267*CS226</f>
        <v>0</v>
      </c>
      <c r="CX226" s="2503">
        <f>E268*E226+F268*F226+G268*G226+H268*H226+I268*I226+J268*J226+K268*K226+L268*L226+M268*M226+N268*N226+O268*O226+P268*P226+Q268*Q226+R268*R226+S268*S226+T268*T226+U268*U226+V268*V226+W268*W226+X268*X226+Y268*Y226+Z268*Z226+AA268*AA226+AB268*AB226+AC268*AC226+AD268*AD226+AE268*AE226+AF268*AF226+AG268*AG226+AH268*AH226+AI268*AI226+AJ268*AJ226+AK268*AK226+AL268*AL226+AM268*AM226+AN268*AN226+AO268*AO226+AP268*AP226+AQ268*AQ226+AR268*AR226+AS268*AS226+AT268*AT226+AU268*AU226+AV268*AV226+AW268*AW226+AX268*AX226+AY268*AY226+AZ268*AZ226+BA268*BA226+BB268*BB226+BC268*BC226+BD268*BD226+BE268*BE226+BF268*BF226+BG268*BG226+BH268*BH226+BI268*BI226+BJ268*BJ226+BK268*BK226+BL268*BL226+BM268*BM226+BN268*BN226+BO268*BO226+BP268*BP226+BQ268*BQ226+BR268*BR226+BS268*BS226+BT268*BT226+BU268*BU226+BV268*BV226+BW268*BW226+BX268*BX226+BY268*BY226+BZ268*BZ226+CA268*CA226+CB268*CB226+CC268*CC226+CD268*CD226+CE268*CE226+CF268*CF226+CG268*CG226+CH268*CH226+CI268*CI226+CJ268*CJ226+CK268*CK226+CL268*CL226+CM268*CM226+CN268*CN226+CO268*CO226+CP268*CP226+CQ268*CQ226+CR268*CR226+CS268*CS226</f>
        <v>0</v>
      </c>
      <c r="CY226" s="2504">
        <f>E269*E226+F269*F226+G269*G226+H269*H226+I269*I226+J269*J226+K269*K226+L269*L226+M269*M226+N269*N226+O269*O226+P269*P226+Q269*Q226+R269*R226+S269*S226+T269*T226+U269*U226+V269*V226+W269*W226+X269*X226+Y269*Y226+Z269*Z226+AA269*AA226+AB269*AB226+AC269*AC226+AD269*AD226+AE269*AE226+AF269*AF226+AG269*AG226+AH269*AH226+AI269*AI226+AJ269*AJ226+AK269*AK226+AL269*AL226+AM269*AM226+AN269*AN226+AO269*AO226+AP269*AP226+AQ269*AQ226+AR269*AR226+AS269*AS226+AT269*AT226+AU269*AU226+AV269*AV226+AW269*AW226+AX269*AX226+AY269*AY226+AZ269*AZ226+BA269*BA226+BB269*BB226+BC269*BC226+BD269*BD226+BE269*BE226+BF269*BF226+BG269*BG226+BH269*BH226+BI269*BI226+BJ269*BJ226+BK269*BK226+BL269*BL226+BM269*BM226+BN269*BN226+BO269*BO226+BP269*BP226+BQ269*BQ226+BR269*BR226+BS269*BS226+BT269*BT226+BU269*BU226+BV269*BV226+BW269*BW226+BX269*BX226+BY269*BY226+BZ269*BZ226+CA269*CA226+CB269*CB226+CC269*CC226+CD269*CD226+CE269*CE226+CF269*CF226+CG269*CG226+CH269*CH226+CI269*CI226+CJ269*CJ226+CK269*CK226+CL269*CL226+CM269*CM226+CN269*CN226+CO269*CO226+CP269*CP226+CQ269*CQ226+CR269*CR226+CS269*CS226</f>
        <v>0</v>
      </c>
      <c r="CZ226" s="2504">
        <f>E270*E226+F270*F226+G270*G226+H270*H226+I270*I226+J270*J226+K270*K226+L270*L226+M270*M226+N270*N226+O270*O226+P270*P226+Q270*Q226+R270*R226+S270*S226+T270*T226+U270*U226+V270*V226+W270*W226+X270*X226+Y270*Y226+Z270*Z226+AA270*AA226+AB270*AB226+AC270*AC226+AD270*AD226+AE270*AE226+AF270*AF226+AG270*AG226+AH270*AH226+AI270*AI226+AJ270*AJ226+AK270*AK226+AL270*AL226+AM270*AM226+AN270*AN226+AO270*AO226+AP270*AP226+AQ270*AQ226+AR270*AR226+AS270*AS226+AT270*AT226+AU270*AU226+AV270*AV226+AW270*AW226+AX270*AX226+AY270*AY226+AZ270*AZ226+BA270*BA226+BB270*BB226+BC270*BC226+BD270*BD226+BE270*BE226+BF270*BF226+BG270*BG226+BH270*BH226+BI270*BI226+BJ270*BJ226+BK270*BK226+BL270*BL226+BM270*BM226+BN270*BN226+BO270*BO226+BP270*BP226+BQ270*BQ226+BR270*BR226+BS270*BS226+BT270*BT226+BU270*BU226+BV270*BV226+BW270*BW226+BX270*BX226+BY270*BY226+BZ270*BZ226+CA270*CA226+CB270*CB226+CC270*CC226+CD270*CD226+CE270*CE226+CF270*CF226+CG270*CG226+CH270*CH226+CI270*CI226+CJ270*CJ226+CK270*CK226+CL270*CL226+CM270*CM226+CN270*CN226+CO270*CO226+CP270*CP226+CQ270*CQ226+CR270*CR226+CS270*CS226</f>
        <v>0</v>
      </c>
      <c r="DA226" s="2504">
        <f>E271*E226+F271*F226+G271*G226+H271*H226+I271*I226+J271*J226+K271*K226+L271*L226+M271*M226+N271*N226+O271*O226+P271*P226+Q271*Q226+R271*R226+S271*S226+T271*T226+U271*U226+V271*V226+W271*W226+X271*X226+Y271*Y226+Z271*Z226+AA271*AA226+AB271*AB226+AC271*AC226+AD271*AD226+AE271*AE226+AF271*AF226+AG271*AG226+AH271*AH226+AI271*AI226+AJ271*AJ226+AK271*AK226+AL271*AL226+AM271*AM226+AN271*AN226+AO271*AO226+AP271*AP226+AQ271*AQ226+AR271*AR226+AS271*AS226+AT271*AT226+AU271*AU226+AV271*AV226+AW271*AW226+AX271*AX226+AY271*AY226+AZ271*AZ226+BA271*BA226+BB271*BB226+BC271*BC226+BD271*BD226+BE271*BE226+BF271*BF226+BG271*BG226+BH271*BH226+BI271*BI226+BJ271*BJ226+BK271*BK226+BL271*BL226+BM271*BM226+BN271*BN226+BO271*BO226+BP271*BP226+BQ271*BQ226+BR271*BR226+BS271*BS226+BT271*BT226+BU271*BU226+BV271*BV226+BW271*BW226+BX271*BX226+BY271*BY226+BZ271*BZ226+CA271*CA226+CB271*CB226+CC271*CC226+CD271*CD226+CE271*CE226+CF271*CF226+CG271*CG226+CH271*CH226+CI271*CI226+CJ271*CJ226+CK271*CK226+CL271*CL226+CM271*CM226+CN271*CN226+CO271*CO226+CP271*CP226+CQ271*CQ226+CR271*CR226+CS271*CS226</f>
        <v>0</v>
      </c>
      <c r="DB226" s="2504">
        <f>E272*E226+F272*F226+G272*G226+H272*H226+I272*I226+J272*J226+K272*K226+L272*L226+M272*M226+N272*N226+O272*O226+P272*P226+Q272*Q226+R272*R226+S272*S226+T272*T226+U272*U226+V272*V226+W272*W226+X272*X226+Y272*Y226+Z272*Z226+AA272*AA226+AB272*AB226+AC272*AC226+AD272*AD226+AE272*AE226+AF272*AF226+AG272*AG226+AH272*AH226+AI272*AI226+AJ272*AJ226+AK272*AK226+AL272*AL226+AM272*AM226+AN272*AN226+AO272*AO226+AP272*AP226+AQ272*AQ226+AR272*AR226+AS272*AS226+AT272*AT226+AU272*AU226+AV272*AV226+AW272*AW226+AX272*AX226+AY272*AY226+AZ272*AZ226+BA272*BA226+BB272*BB226+BC272*BC226+BD272*BD226+BE272*BE226+BF272*BF226+BG272*BG226+BH272*BH226+BI272*BI226+BJ272*BJ226+BK272*BK226+BL272*BL226+BM272*BM226+BN272*BN226+BO272*BO226+BP272*BP226+BQ272*BQ226+BR272*BR226+BS272*BS226+BT272*BT226+BU272*BU226+BV272*BV226+BW272*BW226+BX272*BX226+BY272*BY226+BZ272*BZ226+CA272*CA226+CB272*CB226+CC272*CC226+CD272*CD226+CE272*CE226+CF272*CF226+CG272*CG226+CH272*CH226+CI272*CI226+CJ272*CJ226+CK272*CK226+CL272*CL226+CM272*CM226+CN272*CN226+CO272*CO226+CP272*CP226+CQ272*CQ226+CR272*CR226+CS272*CS226</f>
        <v>0</v>
      </c>
      <c r="DC226" s="2504">
        <f>E273*E226+F273*F226+G273*G226+H273*H226+I273*I226+J273*J226+K273*K226+L273*L226+M273*M226+N273*N226+O273*O226+P273*P226+Q273*Q226+R273*R226+S273*S226+T273*T226+U273*U226+V273*V226+W273*W226+X273*X226+Y273*Y226+Z273*Z226+AA273*AA226+AB273*AB226+AC273*AC226+AD273*AD226+AE273*AE226+AF273*AF226+AG273*AG226+AH273*AH226+AI273*AI226+AJ273*AJ226+AK273*AK226+AL273*AL226+AM273*AM226+AN273*AN226+AO273*AO226+AP273*AP226+AQ273*AQ226+AR273*AR226+AS273*AS226+AT273*AT226+AU273*AU226+AV273*AV226+AW273*AW226+AX273*AX226+AY273*AY226+AZ273*AZ226+BA273*BA226+BB273*BB226+BC273*BC226+BD273*BD226+BE273*BE226+BF273*BF226+BG273*BG226+BH273*BH226+BI273*BI226+BJ273*BJ226+BK273*BK226+BL273*BL226+BM273*BM226+BN273*BN226+BO273*BO226+BP273*BP226+BQ273*BQ226+BR273*BR226+BS273*BS226+BT273*BT226+BU273*BU226+BV273*BV226+BW273*BW226+BX273*BX226+BY273*BY226+BZ273*BZ226+CA273*CA226+CB273*CB226+CC273*CC226+CD273*CD226+CE273*CE226+CF273*CF226+CG273*CG226+CH273*CH226+CI273*CI226+CJ273*CJ226+CK273*CK226+CL273*CL226+CM273*CM226+CN273*CN226+CO273*CO226+CP273*CP226+CQ273*CQ226+CR273*CR226+CS273*CS226</f>
        <v>0</v>
      </c>
      <c r="DD226" s="2504">
        <f>E274*E226+F274*F226+G274*G226+H274*H226+I274*I226+J274*J226+K274*K226+L274*L226+M274*M226+N274*N226+O274*O226+P274*P226+Q274*Q226+R274*R226+S274*S226+T274*T226+U274*U226+V274*V226+W274*W226+X274*X226+Y274*Y226+Z274*Z226+AA274*AA226+AB274*AB226+AC274*AC226+AD274*AD226+AE274*AE226+AF274*AF226+AG274*AG226+AH274*AH226+AI274*AI226+AJ274*AJ226+AK274*AK226+AL274*AL226+AM274*AM226+AN274*AN226+AO274*AO226+AP274*AP226+AQ274*AQ226+AR274*AR226+AS274*AS226+AT274*AT226+AU274*AU226+AV274*AV226+AW274*AW226+AX274*AX226+AY274*AY226+AZ274*AZ226+BA274*BA226+BB274*BB226+BC274*BC226+BD274*BD226+BE274*BE226+BF274*BF226+BG274*BG226+BH274*BH226+BI274*BI226+BJ274*BJ226+BK274*BK226+BL274*BL226+BM274*BM226+BN274*BN226+BO274*BO226+BP274*BP226+BQ274*BQ226+BR274*BR226+BS274*BS226+BT274*BT226+BU274*BU226+BV274*BV226+BW274*BW226+BX274*BX226+BY274*BY226+BZ274*BZ226+CA274*CA226+CB274*CB226+CC274*CC226+CD274*CD226+CE274*CE226+CF274*CF226+CG274*CG226+CH274*CH226+CI274*CI226+CJ274*CJ226+CK274*CK226+CL274*CL226+CM274*CM226+CN274*CN226+CO274*CO226+CP274*CP226+CQ274*CQ226+CR274*CR226+CS274*CS226</f>
        <v>0</v>
      </c>
      <c r="DE226" s="2504">
        <f>E275*E226+F275*F226+G275*G226+H275*H226+I275*I226+J275*J226+K275*K226+L275*L226+M275*M226+N275*N226+O275*O226+P275*P226+Q275*Q226+R275*R226+S275*S226+T275*T226+U275*U226+V275*V226+W275*W226+X275*X226+Y275*Y226+Z275*Z226+AA275*AA226+AB275*AB226+AC275*AC226+AD275*AD226+AE275*AE226+AF275*AF226+AG275*AG226+AH275*AH226+AI275*AI226+AJ275*AJ226+AK275*AK226+AL275*AL226+AM275*AM226+AN275*AN226+AO275*AO226+AP275*AP226+AQ275*AQ226+AR275*AR226+AS275*AS226+AT275*AT226+AU275*AU226+AV275*AV226+AW275*AW226+AX275*AX226+AY275*AY226+AZ275*AZ226+BA275*BA226+BB275*BB226+BC275*BC226+BD275*BD226+BE275*BE226+BF275*BF226+BG275*BG226+BH275*BH226+BI275*BI226+BJ275*BJ226+BK275*BK226+BL275*BL226+BM275*BM226+BN275*BN226+BO275*BO226+BP275*BP226+BQ275*BQ226+BR275*BR226+BS275*BS226+BT275*BT226+BU275*BU226+BV275*BV226+BW275*BW226+BX275*BX226+BY275*BY226+BZ275*BZ226+CA275*CA226+CB275*CB226+CC275*CC226+CD275*CD226+CE275*CE226+CF275*CF226+CG275*CG226+CH275*CH226+CI275*CI226+CJ275*CJ226+CK275*CK226+CL275*CL226+CM275*CM226+CN275*CN226+CO275*CO226+CP275*CP226+CQ275*CQ226+CR275*CR226+CS275*CS226</f>
        <v>0</v>
      </c>
      <c r="DF226" s="2504">
        <f>E276*E226+F276*F226+G276*G226+H276*H226+I276*I226+J276*J226+K276*K226+L276*L226+M276*M226+N276*N226+O276*O226+P276*P226+Q276*Q226+R276*R226+S276*S226+T276*T226+U276*U226+V276*V226+W276*W226+X276*X226+Y276*Y226+Z276*Z226+AA276*AA226+AB276*AB226+AC276*AC226+AD276*AD226+AE276*AE226+AF276*AF226+AG276*AG226+AH276*AH226+AI276*AI226+AJ276*AJ226+AK276*AK226+AL276*AL226+AM276*AM226+AN276*AN226+AO276*AO226+AP276*AP226+AQ276*AQ226+AR276*AR226+AS276*AS226+AT276*AT226+AU276*AU226+AV276*AV226+AW276*AW226+AX276*AX226+AY276*AY226+AZ276*AZ226+BA276*BA226+BB276*BB226+BC276*BC226+BD276*BD226+BE276*BE226+BF276*BF226+BG276*BG226+BH276*BH226+BI276*BI226+BJ276*BJ226+BK276*BK226+BL276*BL226+BM276*BM226+BN276*BN226+BO276*BO226+BP276*BP226+BQ276*BQ226+BR276*BR226+BS276*BS226+BT276*BT226+BU276*BU226+BV276*BV226+BW276*BW226+BX276*BX226+BY276*BY226+BZ276*BZ226+CA276*CA226+CB276*CB226+CC276*CC226+CD276*CD226+CE276*CE226+CF276*CF226+CG276*CG226+CH276*CH226+CI276*CI226+CJ276*CJ226+CK276*CK226+CL276*CL226+CM276*CM226+CN276*CN226+CO276*CO226+CP276*CP226+CQ276*CQ226+CR276*CR226+CS276*CS226</f>
        <v>0</v>
      </c>
    </row>
    <row r="227" spans="2:110" ht="18" x14ac:dyDescent="0.35">
      <c r="B227" s="1527">
        <v>85</v>
      </c>
      <c r="C227" s="1528" t="s">
        <v>2950</v>
      </c>
      <c r="D227" s="562" t="s">
        <v>3318</v>
      </c>
      <c r="E227" s="507">
        <f>0</f>
        <v>0</v>
      </c>
      <c r="F227" s="507">
        <f>0</f>
        <v>0</v>
      </c>
      <c r="G227" s="507">
        <f>0</f>
        <v>0</v>
      </c>
      <c r="H227" s="507">
        <f>0</f>
        <v>0</v>
      </c>
      <c r="I227" s="507">
        <f>0</f>
        <v>0</v>
      </c>
      <c r="J227" s="507">
        <f>0</f>
        <v>0</v>
      </c>
      <c r="K227" s="507">
        <f>0</f>
        <v>0</v>
      </c>
      <c r="L227" s="507">
        <f>0</f>
        <v>0</v>
      </c>
      <c r="M227" s="507">
        <f>0</f>
        <v>0</v>
      </c>
      <c r="N227" s="507">
        <f>0</f>
        <v>0</v>
      </c>
      <c r="O227" s="507">
        <f>0</f>
        <v>0</v>
      </c>
      <c r="P227" s="507">
        <f>0</f>
        <v>0</v>
      </c>
      <c r="Q227" s="507">
        <f>0</f>
        <v>0</v>
      </c>
      <c r="R227" s="558">
        <f>0</f>
        <v>0</v>
      </c>
      <c r="S227" s="507">
        <f>0</f>
        <v>0</v>
      </c>
      <c r="T227" s="507">
        <f>0</f>
        <v>0</v>
      </c>
      <c r="U227" s="507">
        <f>0</f>
        <v>0</v>
      </c>
      <c r="V227" s="507">
        <f>0</f>
        <v>0</v>
      </c>
      <c r="W227" s="507">
        <f>0</f>
        <v>0</v>
      </c>
      <c r="X227" s="507">
        <f>0</f>
        <v>0</v>
      </c>
      <c r="Y227" s="507">
        <f>0</f>
        <v>0</v>
      </c>
      <c r="Z227" s="507">
        <f>0</f>
        <v>0</v>
      </c>
      <c r="AA227" s="507">
        <f>0</f>
        <v>0</v>
      </c>
      <c r="AB227" s="507">
        <f>0</f>
        <v>0</v>
      </c>
      <c r="AC227" s="507">
        <f>0</f>
        <v>0</v>
      </c>
      <c r="AD227" s="507">
        <f>0</f>
        <v>0</v>
      </c>
      <c r="AE227" s="507">
        <f>0</f>
        <v>0</v>
      </c>
      <c r="AF227" s="507">
        <f>0</f>
        <v>0</v>
      </c>
      <c r="AG227" s="507">
        <f>0</f>
        <v>0</v>
      </c>
      <c r="AH227" s="507">
        <f>0</f>
        <v>0</v>
      </c>
      <c r="AI227" s="507">
        <f>0</f>
        <v>0</v>
      </c>
      <c r="AJ227" s="507">
        <f>0</f>
        <v>0</v>
      </c>
      <c r="AK227" s="507">
        <f>0</f>
        <v>0</v>
      </c>
      <c r="AL227" s="507">
        <f>0</f>
        <v>0</v>
      </c>
      <c r="AM227" s="558">
        <f>(A_SFHFO_H*(A_MP/A_MFe))</f>
        <v>0.66556566639806602</v>
      </c>
      <c r="AN227" s="507">
        <f>0</f>
        <v>0</v>
      </c>
      <c r="AO227" s="507">
        <f>0</f>
        <v>0</v>
      </c>
      <c r="AP227" s="507">
        <f>0</f>
        <v>0</v>
      </c>
      <c r="AQ227" s="507">
        <f>0</f>
        <v>0</v>
      </c>
      <c r="AR227" s="507">
        <f>0</f>
        <v>0</v>
      </c>
      <c r="AS227" s="507">
        <f>0</f>
        <v>0</v>
      </c>
      <c r="AT227" s="507">
        <f>0</f>
        <v>0</v>
      </c>
      <c r="AU227" s="507">
        <f>0</f>
        <v>0</v>
      </c>
      <c r="AV227" s="507">
        <f>0</f>
        <v>0</v>
      </c>
      <c r="AW227" s="507">
        <f>0</f>
        <v>0</v>
      </c>
      <c r="AX227" s="507">
        <f>0</f>
        <v>0</v>
      </c>
      <c r="AY227" s="507">
        <f>0</f>
        <v>0</v>
      </c>
      <c r="AZ227" s="507">
        <f>0</f>
        <v>0</v>
      </c>
      <c r="BA227" s="507">
        <f>0</f>
        <v>0</v>
      </c>
      <c r="BB227" s="507">
        <f>0</f>
        <v>0</v>
      </c>
      <c r="BC227" s="558">
        <f>0</f>
        <v>0</v>
      </c>
      <c r="BD227" s="507">
        <f>1</f>
        <v>1</v>
      </c>
      <c r="BE227" s="507">
        <f>0</f>
        <v>0</v>
      </c>
      <c r="BF227" s="558">
        <f>0</f>
        <v>0</v>
      </c>
      <c r="BG227" s="558">
        <f>-1</f>
        <v>-1</v>
      </c>
      <c r="BH227" s="507">
        <f>0</f>
        <v>0</v>
      </c>
      <c r="BI227" s="558">
        <f>0</f>
        <v>0</v>
      </c>
      <c r="BJ227" s="558">
        <f>0</f>
        <v>0</v>
      </c>
      <c r="BK227" s="507">
        <f>0</f>
        <v>0</v>
      </c>
      <c r="BL227" s="507">
        <f>0</f>
        <v>0</v>
      </c>
      <c r="BM227" s="558">
        <f>0</f>
        <v>0</v>
      </c>
      <c r="BN227" s="558">
        <f>0</f>
        <v>0</v>
      </c>
      <c r="BO227" s="507">
        <f>0</f>
        <v>0</v>
      </c>
      <c r="BP227" s="558">
        <f>0</f>
        <v>0</v>
      </c>
      <c r="BQ227" s="558">
        <f>0</f>
        <v>0</v>
      </c>
      <c r="BR227" s="558">
        <f>0</f>
        <v>0</v>
      </c>
      <c r="BS227" s="558">
        <f>0</f>
        <v>0</v>
      </c>
      <c r="BT227" s="558">
        <f>0</f>
        <v>0</v>
      </c>
      <c r="BU227" s="558">
        <f>0</f>
        <v>0</v>
      </c>
      <c r="BV227" s="558">
        <f>0</f>
        <v>0</v>
      </c>
      <c r="BW227" s="2369">
        <f>0</f>
        <v>0</v>
      </c>
      <c r="BX227" s="2369">
        <f>0</f>
        <v>0</v>
      </c>
      <c r="BY227" s="2369">
        <f>0</f>
        <v>0</v>
      </c>
      <c r="BZ227" s="2369">
        <f>0</f>
        <v>0</v>
      </c>
      <c r="CA227" s="558">
        <f>0</f>
        <v>0</v>
      </c>
      <c r="CB227" s="558">
        <f>0</f>
        <v>0</v>
      </c>
      <c r="CC227" s="558">
        <f>0</f>
        <v>0</v>
      </c>
      <c r="CD227" s="558">
        <f>0</f>
        <v>0</v>
      </c>
      <c r="CE227" s="558">
        <f>0</f>
        <v>0</v>
      </c>
      <c r="CF227" s="558">
        <f>0</f>
        <v>0</v>
      </c>
      <c r="CG227" s="558">
        <f>0</f>
        <v>0</v>
      </c>
      <c r="CH227" s="558">
        <f>0</f>
        <v>0</v>
      </c>
      <c r="CI227" s="558">
        <f>0</f>
        <v>0</v>
      </c>
      <c r="CJ227" s="558">
        <f>0</f>
        <v>0</v>
      </c>
      <c r="CK227" s="558">
        <f>0</f>
        <v>0</v>
      </c>
      <c r="CL227" s="558">
        <f>0</f>
        <v>0</v>
      </c>
      <c r="CM227" s="558">
        <f>0</f>
        <v>0</v>
      </c>
      <c r="CN227" s="558">
        <f>0</f>
        <v>0</v>
      </c>
      <c r="CO227" s="558">
        <f>0</f>
        <v>0</v>
      </c>
      <c r="CP227" s="558">
        <f>0</f>
        <v>0</v>
      </c>
      <c r="CQ227" s="558">
        <f>0</f>
        <v>0</v>
      </c>
      <c r="CR227" s="558">
        <f>0</f>
        <v>0</v>
      </c>
      <c r="CS227" s="558">
        <f>0</f>
        <v>0</v>
      </c>
      <c r="CT227" s="2493">
        <f>q_HFOH_DESORP*X_HFO_H_P*M_inhSPO4_KiP_HFO_DESORP</f>
        <v>1.6666666666666669E-49</v>
      </c>
      <c r="CV227" s="2502">
        <f>E266*E227+F266*F227+G266*G227+H266*H227+I266*I227+J266*J227+K266*K227+L266*L227+M266*M227+N266*N227+O266*O227+P266*P227+Q266*Q227+R266*R227+S266*S227+T266*T227+U266*U227+V266*V227+W266*W227+X266*X227+Y266*Y227+Z266*Z227+AA266*AA227+AB266*AB227+AC266*AC227+AD266*AD227+AE266*AE227+AF266*AF227+AG266*AG227+AH266*AH227+AI266*AI227+AJ266*AJ227+AK266*AK227+AL266*AL227+AM266*AM227+AN266*AN227+AO266*AO227+AP266*AP227+AQ266*AQ227+AR266*AR227+AS266*AS227+AT266*AT227+AU266*AU227+AV266*AV227+AW266*AW227+AX266*AX227+AY266*AY227+AZ266*AZ227+BA266*BA227+BB266*BB227+BC266*BC227+BD266*BD227+BE266*BE227+BF266*BF227+BG266*BG227+BH266*BH227+BI266*BI227+BJ266*BJ227+BK266*BK227+BL266*BL227+BM266*BM227+BN266*BN227+BO266*BO227+BP266*BP227+BQ266*BQ227+BR266*BR227+BS266*BS227+BT266*BT227+BU266*BU227+BV266*BV227+BW266*BW227+BX266*BX227+BY266*BY227+BZ266*BZ227+CA266*CA227+CB266*CB227+CC266*CC227+CD266*CD227+CE266*CE227+CF266*CF227+CG266*CG227+CH266*CH227+CI266*CI227+CJ266*CJ227+CK266*CK227+CL266*CL227+CM266*CM227+CN266*CN227+CO266*CO227+CP266*CP227+CQ266*CQ227+CR266*CR227+CS266*CS227</f>
        <v>0</v>
      </c>
      <c r="CW227" s="2502">
        <f>E267*E227+F267*F227+G267*G227+H267*H227+I267*I227+J267*J227+K267*K227+L267*L227+M267*M227+N267*N227+O267*O227+P267*P227+Q267*Q227+R267*R227+S267*S227+T267*T227+U267*U227+V267*V227+W267*W227+X267*X227+Y267*Y227+Z267*Z227+AA267*AA227+AB267*AB227+AC267*AC227+AD267*AD227+AE267*AE227+AF267*AF227+AG267*AG227+AH267*AH227+AI267*AI227+AJ267*AJ227+AK267*AK227+AL267*AL227+AM267*AM227+AN267*AN227+AO267*AO227+AP267*AP227+AQ267*AQ227+AR267*AR227+AS267*AS227+AT267*AT227+AU267*AU227+AV267*AV227+AW267*AW227+AX267*AX227+AY267*AY227+AZ267*AZ227+BA267*BA227+BB267*BB227+BC267*BC227+BD267*BD227+BE267*BE227+BF267*BF227+BG267*BG227+BH267*BH227+BI267*BI227+BJ267*BJ227+BK267*BK227+BL267*BL227+BM267*BM227+BN267*BN227+BO267*BO227+BP267*BP227+BQ267*BQ227+BR267*BR227+BS267*BS227+BT267*BT227+BU267*BU227+BV267*BV227+BW267*BW227+BX267*BX227+BY267*BY227+BZ267*BZ227+CA267*CA227+CB267*CB227+CC267*CC227+CD267*CD227+CE267*CE227+CF267*CF227+CG267*CG227+CH267*CH227+CI267*CI227+CJ267*CJ227+CK267*CK227+CL267*CL227+CM267*CM227+CN267*CN227+CO267*CO227+CP267*CP227+CQ267*CQ227+CR267*CR227+CS267*CS227</f>
        <v>0</v>
      </c>
      <c r="CX227" s="2503">
        <f>E268*E227+F268*F227+G268*G227+H268*H227+I268*I227+J268*J227+K268*K227+L268*L227+M268*M227+N268*N227+O268*O227+P268*P227+Q268*Q227+R268*R227+S268*S227+T268*T227+U268*U227+V268*V227+W268*W227+X268*X227+Y268*Y227+Z268*Z227+AA268*AA227+AB268*AB227+AC268*AC227+AD268*AD227+AE268*AE227+AF268*AF227+AG268*AG227+AH268*AH227+AI268*AI227+AJ268*AJ227+AK268*AK227+AL268*AL227+AM268*AM227+AN268*AN227+AO268*AO227+AP268*AP227+AQ268*AQ227+AR268*AR227+AS268*AS227+AT268*AT227+AU268*AU227+AV268*AV227+AW268*AW227+AX268*AX227+AY268*AY227+AZ268*AZ227+BA268*BA227+BB268*BB227+BC268*BC227+BD268*BD227+BE268*BE227+BF268*BF227+BG268*BG227+BH268*BH227+BI268*BI227+BJ268*BJ227+BK268*BK227+BL268*BL227+BM268*BM227+BN268*BN227+BO268*BO227+BP268*BP227+BQ268*BQ227+BR268*BR227+BS268*BS227+BT268*BT227+BU268*BU227+BV268*BV227+BW268*BW227+BX268*BX227+BY268*BY227+BZ268*BZ227+CA268*CA227+CB268*CB227+CC268*CC227+CD268*CD227+CE268*CE227+CF268*CF227+CG268*CG227+CH268*CH227+CI268*CI227+CJ268*CJ227+CK268*CK227+CL268*CL227+CM268*CM227+CN268*CN227+CO268*CO227+CP268*CP227+CQ268*CQ227+CR268*CR227+CS268*CS227</f>
        <v>0</v>
      </c>
      <c r="CY227" s="2504">
        <f>E269*E227+F269*F227+G269*G227+H269*H227+I269*I227+J269*J227+K269*K227+L269*L227+M269*M227+N269*N227+O269*O227+P269*P227+Q269*Q227+R269*R227+S269*S227+T269*T227+U269*U227+V269*V227+W269*W227+X269*X227+Y269*Y227+Z269*Z227+AA269*AA227+AB269*AB227+AC269*AC227+AD269*AD227+AE269*AE227+AF269*AF227+AG269*AG227+AH269*AH227+AI269*AI227+AJ269*AJ227+AK269*AK227+AL269*AL227+AM269*AM227+AN269*AN227+AO269*AO227+AP269*AP227+AQ269*AQ227+AR269*AR227+AS269*AS227+AT269*AT227+AU269*AU227+AV269*AV227+AW269*AW227+AX269*AX227+AY269*AY227+AZ269*AZ227+BA269*BA227+BB269*BB227+BC269*BC227+BD269*BD227+BE269*BE227+BF269*BF227+BG269*BG227+BH269*BH227+BI269*BI227+BJ269*BJ227+BK269*BK227+BL269*BL227+BM269*BM227+BN269*BN227+BO269*BO227+BP269*BP227+BQ269*BQ227+BR269*BR227+BS269*BS227+BT269*BT227+BU269*BU227+BV269*BV227+BW269*BW227+BX269*BX227+BY269*BY227+BZ269*BZ227+CA269*CA227+CB269*CB227+CC269*CC227+CD269*CD227+CE269*CE227+CF269*CF227+CG269*CG227+CH269*CH227+CI269*CI227+CJ269*CJ227+CK269*CK227+CL269*CL227+CM269*CM227+CN269*CN227+CO269*CO227+CP269*CP227+CQ269*CQ227+CR269*CR227+CS269*CS227</f>
        <v>0</v>
      </c>
      <c r="CZ227" s="2504">
        <f>E270*E227+F270*F227+G270*G227+H270*H227+I270*I227+J270*J227+K270*K227+L270*L227+M270*M227+N270*N227+O270*O227+P270*P227+Q270*Q227+R270*R227+S270*S227+T270*T227+U270*U227+V270*V227+W270*W227+X270*X227+Y270*Y227+Z270*Z227+AA270*AA227+AB270*AB227+AC270*AC227+AD270*AD227+AE270*AE227+AF270*AF227+AG270*AG227+AH270*AH227+AI270*AI227+AJ270*AJ227+AK270*AK227+AL270*AL227+AM270*AM227+AN270*AN227+AO270*AO227+AP270*AP227+AQ270*AQ227+AR270*AR227+AS270*AS227+AT270*AT227+AU270*AU227+AV270*AV227+AW270*AW227+AX270*AX227+AY270*AY227+AZ270*AZ227+BA270*BA227+BB270*BB227+BC270*BC227+BD270*BD227+BE270*BE227+BF270*BF227+BG270*BG227+BH270*BH227+BI270*BI227+BJ270*BJ227+BK270*BK227+BL270*BL227+BM270*BM227+BN270*BN227+BO270*BO227+BP270*BP227+BQ270*BQ227+BR270*BR227+BS270*BS227+BT270*BT227+BU270*BU227+BV270*BV227+BW270*BW227+BX270*BX227+BY270*BY227+BZ270*BZ227+CA270*CA227+CB270*CB227+CC270*CC227+CD270*CD227+CE270*CE227+CF270*CF227+CG270*CG227+CH270*CH227+CI270*CI227+CJ270*CJ227+CK270*CK227+CL270*CL227+CM270*CM227+CN270*CN227+CO270*CO227+CP270*CP227+CQ270*CQ227+CR270*CR227+CS270*CS227</f>
        <v>0</v>
      </c>
      <c r="DA227" s="2504">
        <f>E271*E227+F271*F227+G271*G227+H271*H227+I271*I227+J271*J227+K271*K227+L271*L227+M271*M227+N271*N227+O271*O227+P271*P227+Q271*Q227+R271*R227+S271*S227+T271*T227+U271*U227+V271*V227+W271*W227+X271*X227+Y271*Y227+Z271*Z227+AA271*AA227+AB271*AB227+AC271*AC227+AD271*AD227+AE271*AE227+AF271*AF227+AG271*AG227+AH271*AH227+AI271*AI227+AJ271*AJ227+AK271*AK227+AL271*AL227+AM271*AM227+AN271*AN227+AO271*AO227+AP271*AP227+AQ271*AQ227+AR271*AR227+AS271*AS227+AT271*AT227+AU271*AU227+AV271*AV227+AW271*AW227+AX271*AX227+AY271*AY227+AZ271*AZ227+BA271*BA227+BB271*BB227+BC271*BC227+BD271*BD227+BE271*BE227+BF271*BF227+BG271*BG227+BH271*BH227+BI271*BI227+BJ271*BJ227+BK271*BK227+BL271*BL227+BM271*BM227+BN271*BN227+BO271*BO227+BP271*BP227+BQ271*BQ227+BR271*BR227+BS271*BS227+BT271*BT227+BU271*BU227+BV271*BV227+BW271*BW227+BX271*BX227+BY271*BY227+BZ271*BZ227+CA271*CA227+CB271*CB227+CC271*CC227+CD271*CD227+CE271*CE227+CF271*CF227+CG271*CG227+CH271*CH227+CI271*CI227+CJ271*CJ227+CK271*CK227+CL271*CL227+CM271*CM227+CN271*CN227+CO271*CO227+CP271*CP227+CQ271*CQ227+CR271*CR227+CS271*CS227</f>
        <v>0</v>
      </c>
      <c r="DB227" s="2504">
        <f>E272*E227+F272*F227+G272*G227+H272*H227+I272*I227+J272*J227+K272*K227+L272*L227+M272*M227+N272*N227+O272*O227+P272*P227+Q272*Q227+R272*R227+S272*S227+T272*T227+U272*U227+V272*V227+W272*W227+X272*X227+Y272*Y227+Z272*Z227+AA272*AA227+AB272*AB227+AC272*AC227+AD272*AD227+AE272*AE227+AF272*AF227+AG272*AG227+AH272*AH227+AI272*AI227+AJ272*AJ227+AK272*AK227+AL272*AL227+AM272*AM227+AN272*AN227+AO272*AO227+AP272*AP227+AQ272*AQ227+AR272*AR227+AS272*AS227+AT272*AT227+AU272*AU227+AV272*AV227+AW272*AW227+AX272*AX227+AY272*AY227+AZ272*AZ227+BA272*BA227+BB272*BB227+BC272*BC227+BD272*BD227+BE272*BE227+BF272*BF227+BG272*BG227+BH272*BH227+BI272*BI227+BJ272*BJ227+BK272*BK227+BL272*BL227+BM272*BM227+BN272*BN227+BO272*BO227+BP272*BP227+BQ272*BQ227+BR272*BR227+BS272*BS227+BT272*BT227+BU272*BU227+BV272*BV227+BW272*BW227+BX272*BX227+BY272*BY227+BZ272*BZ227+CA272*CA227+CB272*CB227+CC272*CC227+CD272*CD227+CE272*CE227+CF272*CF227+CG272*CG227+CH272*CH227+CI272*CI227+CJ272*CJ227+CK272*CK227+CL272*CL227+CM272*CM227+CN272*CN227+CO272*CO227+CP272*CP227+CQ272*CQ227+CR272*CR227+CS272*CS227</f>
        <v>0</v>
      </c>
      <c r="DC227" s="2504">
        <f>E273*E227+F273*F227+G273*G227+H273*H227+I273*I227+J273*J227+K273*K227+L273*L227+M273*M227+N273*N227+O273*O227+P273*P227+Q273*Q227+R273*R227+S273*S227+T273*T227+U273*U227+V273*V227+W273*W227+X273*X227+Y273*Y227+Z273*Z227+AA273*AA227+AB273*AB227+AC273*AC227+AD273*AD227+AE273*AE227+AF273*AF227+AG273*AG227+AH273*AH227+AI273*AI227+AJ273*AJ227+AK273*AK227+AL273*AL227+AM273*AM227+AN273*AN227+AO273*AO227+AP273*AP227+AQ273*AQ227+AR273*AR227+AS273*AS227+AT273*AT227+AU273*AU227+AV273*AV227+AW273*AW227+AX273*AX227+AY273*AY227+AZ273*AZ227+BA273*BA227+BB273*BB227+BC273*BC227+BD273*BD227+BE273*BE227+BF273*BF227+BG273*BG227+BH273*BH227+BI273*BI227+BJ273*BJ227+BK273*BK227+BL273*BL227+BM273*BM227+BN273*BN227+BO273*BO227+BP273*BP227+BQ273*BQ227+BR273*BR227+BS273*BS227+BT273*BT227+BU273*BU227+BV273*BV227+BW273*BW227+BX273*BX227+BY273*BY227+BZ273*BZ227+CA273*CA227+CB273*CB227+CC273*CC227+CD273*CD227+CE273*CE227+CF273*CF227+CG273*CG227+CH273*CH227+CI273*CI227+CJ273*CJ227+CK273*CK227+CL273*CL227+CM273*CM227+CN273*CN227+CO273*CO227+CP273*CP227+CQ273*CQ227+CR273*CR227+CS273*CS227</f>
        <v>0</v>
      </c>
      <c r="DD227" s="2504">
        <f>E274*E227+F274*F227+G274*G227+H274*H227+I274*I227+J274*J227+K274*K227+L274*L227+M274*M227+N274*N227+O274*O227+P274*P227+Q274*Q227+R274*R227+S274*S227+T274*T227+U274*U227+V274*V227+W274*W227+X274*X227+Y274*Y227+Z274*Z227+AA274*AA227+AB274*AB227+AC274*AC227+AD274*AD227+AE274*AE227+AF274*AF227+AG274*AG227+AH274*AH227+AI274*AI227+AJ274*AJ227+AK274*AK227+AL274*AL227+AM274*AM227+AN274*AN227+AO274*AO227+AP274*AP227+AQ274*AQ227+AR274*AR227+AS274*AS227+AT274*AT227+AU274*AU227+AV274*AV227+AW274*AW227+AX274*AX227+AY274*AY227+AZ274*AZ227+BA274*BA227+BB274*BB227+BC274*BC227+BD274*BD227+BE274*BE227+BF274*BF227+BG274*BG227+BH274*BH227+BI274*BI227+BJ274*BJ227+BK274*BK227+BL274*BL227+BM274*BM227+BN274*BN227+BO274*BO227+BP274*BP227+BQ274*BQ227+BR274*BR227+BS274*BS227+BT274*BT227+BU274*BU227+BV274*BV227+BW274*BW227+BX274*BX227+BY274*BY227+BZ274*BZ227+CA274*CA227+CB274*CB227+CC274*CC227+CD274*CD227+CE274*CE227+CF274*CF227+CG274*CG227+CH274*CH227+CI274*CI227+CJ274*CJ227+CK274*CK227+CL274*CL227+CM274*CM227+CN274*CN227+CO274*CO227+CP274*CP227+CQ274*CQ227+CR274*CR227+CS274*CS227</f>
        <v>0</v>
      </c>
      <c r="DE227" s="2504">
        <f>E275*E227+F275*F227+G275*G227+H275*H227+I275*I227+J275*J227+K275*K227+L275*L227+M275*M227+N275*N227+O275*O227+P275*P227+Q275*Q227+R275*R227+S275*S227+T275*T227+U275*U227+V275*V227+W275*W227+X275*X227+Y275*Y227+Z275*Z227+AA275*AA227+AB275*AB227+AC275*AC227+AD275*AD227+AE275*AE227+AF275*AF227+AG275*AG227+AH275*AH227+AI275*AI227+AJ275*AJ227+AK275*AK227+AL275*AL227+AM275*AM227+AN275*AN227+AO275*AO227+AP275*AP227+AQ275*AQ227+AR275*AR227+AS275*AS227+AT275*AT227+AU275*AU227+AV275*AV227+AW275*AW227+AX275*AX227+AY275*AY227+AZ275*AZ227+BA275*BA227+BB275*BB227+BC275*BC227+BD275*BD227+BE275*BE227+BF275*BF227+BG275*BG227+BH275*BH227+BI275*BI227+BJ275*BJ227+BK275*BK227+BL275*BL227+BM275*BM227+BN275*BN227+BO275*BO227+BP275*BP227+BQ275*BQ227+BR275*BR227+BS275*BS227+BT275*BT227+BU275*BU227+BV275*BV227+BW275*BW227+BX275*BX227+BY275*BY227+BZ275*BZ227+CA275*CA227+CB275*CB227+CC275*CC227+CD275*CD227+CE275*CE227+CF275*CF227+CG275*CG227+CH275*CH227+CI275*CI227+CJ275*CJ227+CK275*CK227+CL275*CL227+CM275*CM227+CN275*CN227+CO275*CO227+CP275*CP227+CQ275*CQ227+CR275*CR227+CS275*CS227</f>
        <v>0</v>
      </c>
      <c r="DF227" s="2504">
        <f>E276*E227+F276*F227+G276*G227+H276*H227+I276*I227+J276*J227+K276*K227+L276*L227+M276*M227+N276*N227+O276*O227+P276*P227+Q276*Q227+R276*R227+S276*S227+T276*T227+U276*U227+V276*V227+W276*W227+X276*X227+Y276*Y227+Z276*Z227+AA276*AA227+AB276*AB227+AC276*AC227+AD276*AD227+AE276*AE227+AF276*AF227+AG276*AG227+AH276*AH227+AI276*AI227+AJ276*AJ227+AK276*AK227+AL276*AL227+AM276*AM227+AN276*AN227+AO276*AO227+AP276*AP227+AQ276*AQ227+AR276*AR227+AS276*AS227+AT276*AT227+AU276*AU227+AV276*AV227+AW276*AW227+AX276*AX227+AY276*AY227+AZ276*AZ227+BA276*BA227+BB276*BB227+BC276*BC227+BD276*BD227+BE276*BE227+BF276*BF227+BG276*BG227+BH276*BH227+BI276*BI227+BJ276*BJ227+BK276*BK227+BL276*BL227+BM276*BM227+BN276*BN227+BO276*BO227+BP276*BP227+BQ276*BQ227+BR276*BR227+BS276*BS227+BT276*BT227+BU276*BU227+BV276*BV227+BW276*BW227+BX276*BX227+BY276*BY227+BZ276*BZ227+CA276*CA227+CB276*CB227+CC276*CC227+CD276*CD227+CE276*CE227+CF276*CF227+CG276*CG227+CH276*CH227+CI276*CI227+CJ276*CJ227+CK276*CK227+CL276*CL227+CM276*CM227+CN276*CN227+CO276*CO227+CP276*CP227+CQ276*CQ227+CR276*CR227+CS276*CS227</f>
        <v>0</v>
      </c>
    </row>
    <row r="228" spans="2:110" ht="18" x14ac:dyDescent="0.35">
      <c r="B228" s="1527">
        <v>86</v>
      </c>
      <c r="C228" s="1528" t="s">
        <v>3094</v>
      </c>
      <c r="D228" s="562" t="s">
        <v>3319</v>
      </c>
      <c r="E228" s="507">
        <f>0</f>
        <v>0</v>
      </c>
      <c r="F228" s="507">
        <f>0</f>
        <v>0</v>
      </c>
      <c r="G228" s="507">
        <f>0</f>
        <v>0</v>
      </c>
      <c r="H228" s="507">
        <f>0</f>
        <v>0</v>
      </c>
      <c r="I228" s="507">
        <f>0</f>
        <v>0</v>
      </c>
      <c r="J228" s="507">
        <f>0</f>
        <v>0</v>
      </c>
      <c r="K228" s="507">
        <f>0</f>
        <v>0</v>
      </c>
      <c r="L228" s="507">
        <f>0</f>
        <v>0</v>
      </c>
      <c r="M228" s="507">
        <f>0</f>
        <v>0</v>
      </c>
      <c r="N228" s="507">
        <f>0</f>
        <v>0</v>
      </c>
      <c r="O228" s="507">
        <f>0</f>
        <v>0</v>
      </c>
      <c r="P228" s="507">
        <f>0</f>
        <v>0</v>
      </c>
      <c r="Q228" s="507">
        <f>0</f>
        <v>0</v>
      </c>
      <c r="R228" s="558">
        <f>0</f>
        <v>0</v>
      </c>
      <c r="S228" s="507">
        <f>0</f>
        <v>0</v>
      </c>
      <c r="T228" s="507">
        <f>0</f>
        <v>0</v>
      </c>
      <c r="U228" s="507">
        <f>0</f>
        <v>0</v>
      </c>
      <c r="V228" s="507">
        <f>0</f>
        <v>0</v>
      </c>
      <c r="W228" s="507">
        <f>0</f>
        <v>0</v>
      </c>
      <c r="X228" s="507">
        <f>0</f>
        <v>0</v>
      </c>
      <c r="Y228" s="507">
        <f>0</f>
        <v>0</v>
      </c>
      <c r="Z228" s="507">
        <f>0</f>
        <v>0</v>
      </c>
      <c r="AA228" s="507">
        <f>0</f>
        <v>0</v>
      </c>
      <c r="AB228" s="507">
        <f>0</f>
        <v>0</v>
      </c>
      <c r="AC228" s="507">
        <f>0</f>
        <v>0</v>
      </c>
      <c r="AD228" s="507">
        <f>0</f>
        <v>0</v>
      </c>
      <c r="AE228" s="507">
        <f>0</f>
        <v>0</v>
      </c>
      <c r="AF228" s="507">
        <f>0</f>
        <v>0</v>
      </c>
      <c r="AG228" s="507">
        <f>0</f>
        <v>0</v>
      </c>
      <c r="AH228" s="507">
        <f>0</f>
        <v>0</v>
      </c>
      <c r="AI228" s="507">
        <f>0</f>
        <v>0</v>
      </c>
      <c r="AJ228" s="507">
        <f>0</f>
        <v>0</v>
      </c>
      <c r="AK228" s="507">
        <f>0</f>
        <v>0</v>
      </c>
      <c r="AL228" s="507">
        <f>0</f>
        <v>0</v>
      </c>
      <c r="AM228" s="558">
        <f>(A_SFHFO_L*(A_MP/A_MFe))</f>
        <v>0.11092761106634436</v>
      </c>
      <c r="AN228" s="507">
        <f>0</f>
        <v>0</v>
      </c>
      <c r="AO228" s="507">
        <f>0</f>
        <v>0</v>
      </c>
      <c r="AP228" s="507">
        <f>0</f>
        <v>0</v>
      </c>
      <c r="AQ228" s="507">
        <f>0</f>
        <v>0</v>
      </c>
      <c r="AR228" s="507">
        <f>0</f>
        <v>0</v>
      </c>
      <c r="AS228" s="507">
        <f>0</f>
        <v>0</v>
      </c>
      <c r="AT228" s="507">
        <f>0</f>
        <v>0</v>
      </c>
      <c r="AU228" s="507">
        <f>0</f>
        <v>0</v>
      </c>
      <c r="AV228" s="507">
        <f>0</f>
        <v>0</v>
      </c>
      <c r="AW228" s="507">
        <f>0</f>
        <v>0</v>
      </c>
      <c r="AX228" s="507">
        <f>0</f>
        <v>0</v>
      </c>
      <c r="AY228" s="507">
        <f>0</f>
        <v>0</v>
      </c>
      <c r="AZ228" s="507">
        <f>0</f>
        <v>0</v>
      </c>
      <c r="BA228" s="507">
        <f>0</f>
        <v>0</v>
      </c>
      <c r="BB228" s="507">
        <f>0</f>
        <v>0</v>
      </c>
      <c r="BC228" s="558">
        <f>0</f>
        <v>0</v>
      </c>
      <c r="BD228" s="507">
        <f>0</f>
        <v>0</v>
      </c>
      <c r="BE228" s="507">
        <f>1</f>
        <v>1</v>
      </c>
      <c r="BF228" s="558">
        <f>0</f>
        <v>0</v>
      </c>
      <c r="BG228" s="558">
        <f>0</f>
        <v>0</v>
      </c>
      <c r="BH228" s="507">
        <f>-1</f>
        <v>-1</v>
      </c>
      <c r="BI228" s="558">
        <f>0</f>
        <v>0</v>
      </c>
      <c r="BJ228" s="558">
        <f>0</f>
        <v>0</v>
      </c>
      <c r="BK228" s="507">
        <f>0</f>
        <v>0</v>
      </c>
      <c r="BL228" s="507">
        <f>0</f>
        <v>0</v>
      </c>
      <c r="BM228" s="558">
        <f>0</f>
        <v>0</v>
      </c>
      <c r="BN228" s="558">
        <f>0</f>
        <v>0</v>
      </c>
      <c r="BO228" s="507">
        <f>0</f>
        <v>0</v>
      </c>
      <c r="BP228" s="558">
        <f>0</f>
        <v>0</v>
      </c>
      <c r="BQ228" s="558">
        <f>0</f>
        <v>0</v>
      </c>
      <c r="BR228" s="558">
        <f>0</f>
        <v>0</v>
      </c>
      <c r="BS228" s="558">
        <f>0</f>
        <v>0</v>
      </c>
      <c r="BT228" s="558">
        <f>0</f>
        <v>0</v>
      </c>
      <c r="BU228" s="558">
        <f>0</f>
        <v>0</v>
      </c>
      <c r="BV228" s="558">
        <f>0</f>
        <v>0</v>
      </c>
      <c r="BW228" s="2369">
        <f>0</f>
        <v>0</v>
      </c>
      <c r="BX228" s="2369">
        <f>0</f>
        <v>0</v>
      </c>
      <c r="BY228" s="2369">
        <f>0</f>
        <v>0</v>
      </c>
      <c r="BZ228" s="2369">
        <f>0</f>
        <v>0</v>
      </c>
      <c r="CA228" s="558">
        <f>0</f>
        <v>0</v>
      </c>
      <c r="CB228" s="558">
        <f>0</f>
        <v>0</v>
      </c>
      <c r="CC228" s="558">
        <f>0</f>
        <v>0</v>
      </c>
      <c r="CD228" s="558">
        <f>0</f>
        <v>0</v>
      </c>
      <c r="CE228" s="558">
        <f>0</f>
        <v>0</v>
      </c>
      <c r="CF228" s="558">
        <f>0</f>
        <v>0</v>
      </c>
      <c r="CG228" s="558">
        <f>0</f>
        <v>0</v>
      </c>
      <c r="CH228" s="558">
        <f>0</f>
        <v>0</v>
      </c>
      <c r="CI228" s="558">
        <f>0</f>
        <v>0</v>
      </c>
      <c r="CJ228" s="558">
        <f>0</f>
        <v>0</v>
      </c>
      <c r="CK228" s="558">
        <f>0</f>
        <v>0</v>
      </c>
      <c r="CL228" s="558">
        <f>0</f>
        <v>0</v>
      </c>
      <c r="CM228" s="558">
        <f>0</f>
        <v>0</v>
      </c>
      <c r="CN228" s="558">
        <f>0</f>
        <v>0</v>
      </c>
      <c r="CO228" s="558">
        <f>0</f>
        <v>0</v>
      </c>
      <c r="CP228" s="558">
        <f>0</f>
        <v>0</v>
      </c>
      <c r="CQ228" s="558">
        <f>0</f>
        <v>0</v>
      </c>
      <c r="CR228" s="558">
        <f>0</f>
        <v>0</v>
      </c>
      <c r="CS228" s="558">
        <f>0</f>
        <v>0</v>
      </c>
      <c r="CT228" s="2493">
        <f>q_HFOL_DESORP*X_HFO_L_P*M_inhSPO4_KiP_HFO_DESORP</f>
        <v>1.6666666666666666E-50</v>
      </c>
      <c r="CV228" s="2502">
        <f>E266*E228+F266*F228+G266*G228+H266*H228+I266*I228+J266*J228+K266*K228+L266*L228+M266*M228+N266*N228+O266*O228+P266*P228+Q266*Q228+R266*R228+S266*S228+T266*T228+U266*U228+V266*V228+W266*W228+X266*X228+Y266*Y228+Z266*Z228+AA266*AA228+AB266*AB228+AC266*AC228+AD266*AD228+AE266*AE228+AF266*AF228+AG266*AG228+AH266*AH228+AI266*AI228+AJ266*AJ228+AK266*AK228+AL266*AL228+AM266*AM228+AN266*AN228+AO266*AO228+AP266*AP228+AQ266*AQ228+AR266*AR228+AS266*AS228+AT266*AT228+AU266*AU228+AV266*AV228+AW266*AW228+AX266*AX228+AY266*AY228+AZ266*AZ228+BA266*BA228+BB266*BB228+BC266*BC228+BD266*BD228+BE266*BE228+BF266*BF228+BG266*BG228+BH266*BH228+BI266*BI228+BJ266*BJ228+BK266*BK228+BL266*BL228+BM266*BM228+BN266*BN228+BO266*BO228+BP266*BP228+BQ266*BQ228+BR266*BR228+BS266*BS228+BT266*BT228+BU266*BU228+BV266*BV228+BW266*BW228+BX266*BX228+BY266*BY228+BZ266*BZ228+CA266*CA228+CB266*CB228+CC266*CC228+CD266*CD228+CE266*CE228+CF266*CF228+CG266*CG228+CH266*CH228+CI266*CI228+CJ266*CJ228+CK266*CK228+CL266*CL228+CM266*CM228+CN266*CN228+CO266*CO228+CP266*CP228+CQ266*CQ228+CR266*CR228+CS266*CS228</f>
        <v>0</v>
      </c>
      <c r="CW228" s="2502">
        <f>E267*E228+F267*F228+G267*G228+H267*H228+I267*I228+J267*J228+K267*K228+L267*L228+M267*M228+N267*N228+O267*O228+P267*P228+Q267*Q228+R267*R228+S267*S228+T267*T228+U267*U228+V267*V228+W267*W228+X267*X228+Y267*Y228+Z267*Z228+AA267*AA228+AB267*AB228+AC267*AC228+AD267*AD228+AE267*AE228+AF267*AF228+AG267*AG228+AH267*AH228+AI267*AI228+AJ267*AJ228+AK267*AK228+AL267*AL228+AM267*AM228+AN267*AN228+AO267*AO228+AP267*AP228+AQ267*AQ228+AR267*AR228+AS267*AS228+AT267*AT228+AU267*AU228+AV267*AV228+AW267*AW228+AX267*AX228+AY267*AY228+AZ267*AZ228+BA267*BA228+BB267*BB228+BC267*BC228+BD267*BD228+BE267*BE228+BF267*BF228+BG267*BG228+BH267*BH228+BI267*BI228+BJ267*BJ228+BK267*BK228+BL267*BL228+BM267*BM228+BN267*BN228+BO267*BO228+BP267*BP228+BQ267*BQ228+BR267*BR228+BS267*BS228+BT267*BT228+BU267*BU228+BV267*BV228+BW267*BW228+BX267*BX228+BY267*BY228+BZ267*BZ228+CA267*CA228+CB267*CB228+CC267*CC228+CD267*CD228+CE267*CE228+CF267*CF228+CG267*CG228+CH267*CH228+CI267*CI228+CJ267*CJ228+CK267*CK228+CL267*CL228+CM267*CM228+CN267*CN228+CO267*CO228+CP267*CP228+CQ267*CQ228+CR267*CR228+CS267*CS228</f>
        <v>0</v>
      </c>
      <c r="CX228" s="2503">
        <f>E268*E228+F268*F228+G268*G228+H268*H228+I268*I228+J268*J228+K268*K228+L268*L228+M268*M228+N268*N228+O268*O228+P268*P228+Q268*Q228+R268*R228+S268*S228+T268*T228+U268*U228+V268*V228+W268*W228+X268*X228+Y268*Y228+Z268*Z228+AA268*AA228+AB268*AB228+AC268*AC228+AD268*AD228+AE268*AE228+AF268*AF228+AG268*AG228+AH268*AH228+AI268*AI228+AJ268*AJ228+AK268*AK228+AL268*AL228+AM268*AM228+AN268*AN228+AO268*AO228+AP268*AP228+AQ268*AQ228+AR268*AR228+AS268*AS228+AT268*AT228+AU268*AU228+AV268*AV228+AW268*AW228+AX268*AX228+AY268*AY228+AZ268*AZ228+BA268*BA228+BB268*BB228+BC268*BC228+BD268*BD228+BE268*BE228+BF268*BF228+BG268*BG228+BH268*BH228+BI268*BI228+BJ268*BJ228+BK268*BK228+BL268*BL228+BM268*BM228+BN268*BN228+BO268*BO228+BP268*BP228+BQ268*BQ228+BR268*BR228+BS268*BS228+BT268*BT228+BU268*BU228+BV268*BV228+BW268*BW228+BX268*BX228+BY268*BY228+BZ268*BZ228+CA268*CA228+CB268*CB228+CC268*CC228+CD268*CD228+CE268*CE228+CF268*CF228+CG268*CG228+CH268*CH228+CI268*CI228+CJ268*CJ228+CK268*CK228+CL268*CL228+CM268*CM228+CN268*CN228+CO268*CO228+CP268*CP228+CQ268*CQ228+CR268*CR228+CS268*CS228</f>
        <v>0</v>
      </c>
      <c r="CY228" s="2504">
        <f>E269*E228+F269*F228+G269*G228+H269*H228+I269*I228+J269*J228+K269*K228+L269*L228+M269*M228+N269*N228+O269*O228+P269*P228+Q269*Q228+R269*R228+S269*S228+T269*T228+U269*U228+V269*V228+W269*W228+X269*X228+Y269*Y228+Z269*Z228+AA269*AA228+AB269*AB228+AC269*AC228+AD269*AD228+AE269*AE228+AF269*AF228+AG269*AG228+AH269*AH228+AI269*AI228+AJ269*AJ228+AK269*AK228+AL269*AL228+AM269*AM228+AN269*AN228+AO269*AO228+AP269*AP228+AQ269*AQ228+AR269*AR228+AS269*AS228+AT269*AT228+AU269*AU228+AV269*AV228+AW269*AW228+AX269*AX228+AY269*AY228+AZ269*AZ228+BA269*BA228+BB269*BB228+BC269*BC228+BD269*BD228+BE269*BE228+BF269*BF228+BG269*BG228+BH269*BH228+BI269*BI228+BJ269*BJ228+BK269*BK228+BL269*BL228+BM269*BM228+BN269*BN228+BO269*BO228+BP269*BP228+BQ269*BQ228+BR269*BR228+BS269*BS228+BT269*BT228+BU269*BU228+BV269*BV228+BW269*BW228+BX269*BX228+BY269*BY228+BZ269*BZ228+CA269*CA228+CB269*CB228+CC269*CC228+CD269*CD228+CE269*CE228+CF269*CF228+CG269*CG228+CH269*CH228+CI269*CI228+CJ269*CJ228+CK269*CK228+CL269*CL228+CM269*CM228+CN269*CN228+CO269*CO228+CP269*CP228+CQ269*CQ228+CR269*CR228+CS269*CS228</f>
        <v>0</v>
      </c>
      <c r="CZ228" s="2504">
        <f>E270*E228+F270*F228+G270*G228+H270*H228+I270*I228+J270*J228+K270*K228+L270*L228+M270*M228+N270*N228+O270*O228+P270*P228+Q270*Q228+R270*R228+S270*S228+T270*T228+U270*U228+V270*V228+W270*W228+X270*X228+Y270*Y228+Z270*Z228+AA270*AA228+AB270*AB228+AC270*AC228+AD270*AD228+AE270*AE228+AF270*AF228+AG270*AG228+AH270*AH228+AI270*AI228+AJ270*AJ228+AK270*AK228+AL270*AL228+AM270*AM228+AN270*AN228+AO270*AO228+AP270*AP228+AQ270*AQ228+AR270*AR228+AS270*AS228+AT270*AT228+AU270*AU228+AV270*AV228+AW270*AW228+AX270*AX228+AY270*AY228+AZ270*AZ228+BA270*BA228+BB270*BB228+BC270*BC228+BD270*BD228+BE270*BE228+BF270*BF228+BG270*BG228+BH270*BH228+BI270*BI228+BJ270*BJ228+BK270*BK228+BL270*BL228+BM270*BM228+BN270*BN228+BO270*BO228+BP270*BP228+BQ270*BQ228+BR270*BR228+BS270*BS228+BT270*BT228+BU270*BU228+BV270*BV228+BW270*BW228+BX270*BX228+BY270*BY228+BZ270*BZ228+CA270*CA228+CB270*CB228+CC270*CC228+CD270*CD228+CE270*CE228+CF270*CF228+CG270*CG228+CH270*CH228+CI270*CI228+CJ270*CJ228+CK270*CK228+CL270*CL228+CM270*CM228+CN270*CN228+CO270*CO228+CP270*CP228+CQ270*CQ228+CR270*CR228+CS270*CS228</f>
        <v>0</v>
      </c>
      <c r="DA228" s="2504">
        <f>E271*E228+F271*F228+G271*G228+H271*H228+I271*I228+J271*J228+K271*K228+L271*L228+M271*M228+N271*N228+O271*O228+P271*P228+Q271*Q228+R271*R228+S271*S228+T271*T228+U271*U228+V271*V228+W271*W228+X271*X228+Y271*Y228+Z271*Z228+AA271*AA228+AB271*AB228+AC271*AC228+AD271*AD228+AE271*AE228+AF271*AF228+AG271*AG228+AH271*AH228+AI271*AI228+AJ271*AJ228+AK271*AK228+AL271*AL228+AM271*AM228+AN271*AN228+AO271*AO228+AP271*AP228+AQ271*AQ228+AR271*AR228+AS271*AS228+AT271*AT228+AU271*AU228+AV271*AV228+AW271*AW228+AX271*AX228+AY271*AY228+AZ271*AZ228+BA271*BA228+BB271*BB228+BC271*BC228+BD271*BD228+BE271*BE228+BF271*BF228+BG271*BG228+BH271*BH228+BI271*BI228+BJ271*BJ228+BK271*BK228+BL271*BL228+BM271*BM228+BN271*BN228+BO271*BO228+BP271*BP228+BQ271*BQ228+BR271*BR228+BS271*BS228+BT271*BT228+BU271*BU228+BV271*BV228+BW271*BW228+BX271*BX228+BY271*BY228+BZ271*BZ228+CA271*CA228+CB271*CB228+CC271*CC228+CD271*CD228+CE271*CE228+CF271*CF228+CG271*CG228+CH271*CH228+CI271*CI228+CJ271*CJ228+CK271*CK228+CL271*CL228+CM271*CM228+CN271*CN228+CO271*CO228+CP271*CP228+CQ271*CQ228+CR271*CR228+CS271*CS228</f>
        <v>0</v>
      </c>
      <c r="DB228" s="2504">
        <f>E272*E228+F272*F228+G272*G228+H272*H228+I272*I228+J272*J228+K272*K228+L272*L228+M272*M228+N272*N228+O272*O228+P272*P228+Q272*Q228+R272*R228+S272*S228+T272*T228+U272*U228+V272*V228+W272*W228+X272*X228+Y272*Y228+Z272*Z228+AA272*AA228+AB272*AB228+AC272*AC228+AD272*AD228+AE272*AE228+AF272*AF228+AG272*AG228+AH272*AH228+AI272*AI228+AJ272*AJ228+AK272*AK228+AL272*AL228+AM272*AM228+AN272*AN228+AO272*AO228+AP272*AP228+AQ272*AQ228+AR272*AR228+AS272*AS228+AT272*AT228+AU272*AU228+AV272*AV228+AW272*AW228+AX272*AX228+AY272*AY228+AZ272*AZ228+BA272*BA228+BB272*BB228+BC272*BC228+BD272*BD228+BE272*BE228+BF272*BF228+BG272*BG228+BH272*BH228+BI272*BI228+BJ272*BJ228+BK272*BK228+BL272*BL228+BM272*BM228+BN272*BN228+BO272*BO228+BP272*BP228+BQ272*BQ228+BR272*BR228+BS272*BS228+BT272*BT228+BU272*BU228+BV272*BV228+BW272*BW228+BX272*BX228+BY272*BY228+BZ272*BZ228+CA272*CA228+CB272*CB228+CC272*CC228+CD272*CD228+CE272*CE228+CF272*CF228+CG272*CG228+CH272*CH228+CI272*CI228+CJ272*CJ228+CK272*CK228+CL272*CL228+CM272*CM228+CN272*CN228+CO272*CO228+CP272*CP228+CQ272*CQ228+CR272*CR228+CS272*CS228</f>
        <v>0</v>
      </c>
      <c r="DC228" s="2504">
        <f>E273*E228+F273*F228+G273*G228+H273*H228+I273*I228+J273*J228+K273*K228+L273*L228+M273*M228+N273*N228+O273*O228+P273*P228+Q273*Q228+R273*R228+S273*S228+T273*T228+U273*U228+V273*V228+W273*W228+X273*X228+Y273*Y228+Z273*Z228+AA273*AA228+AB273*AB228+AC273*AC228+AD273*AD228+AE273*AE228+AF273*AF228+AG273*AG228+AH273*AH228+AI273*AI228+AJ273*AJ228+AK273*AK228+AL273*AL228+AM273*AM228+AN273*AN228+AO273*AO228+AP273*AP228+AQ273*AQ228+AR273*AR228+AS273*AS228+AT273*AT228+AU273*AU228+AV273*AV228+AW273*AW228+AX273*AX228+AY273*AY228+AZ273*AZ228+BA273*BA228+BB273*BB228+BC273*BC228+BD273*BD228+BE273*BE228+BF273*BF228+BG273*BG228+BH273*BH228+BI273*BI228+BJ273*BJ228+BK273*BK228+BL273*BL228+BM273*BM228+BN273*BN228+BO273*BO228+BP273*BP228+BQ273*BQ228+BR273*BR228+BS273*BS228+BT273*BT228+BU273*BU228+BV273*BV228+BW273*BW228+BX273*BX228+BY273*BY228+BZ273*BZ228+CA273*CA228+CB273*CB228+CC273*CC228+CD273*CD228+CE273*CE228+CF273*CF228+CG273*CG228+CH273*CH228+CI273*CI228+CJ273*CJ228+CK273*CK228+CL273*CL228+CM273*CM228+CN273*CN228+CO273*CO228+CP273*CP228+CQ273*CQ228+CR273*CR228+CS273*CS228</f>
        <v>0</v>
      </c>
      <c r="DD228" s="2504">
        <f>E274*E228+F274*F228+G274*G228+H274*H228+I274*I228+J274*J228+K274*K228+L274*L228+M274*M228+N274*N228+O274*O228+P274*P228+Q274*Q228+R274*R228+S274*S228+T274*T228+U274*U228+V274*V228+W274*W228+X274*X228+Y274*Y228+Z274*Z228+AA274*AA228+AB274*AB228+AC274*AC228+AD274*AD228+AE274*AE228+AF274*AF228+AG274*AG228+AH274*AH228+AI274*AI228+AJ274*AJ228+AK274*AK228+AL274*AL228+AM274*AM228+AN274*AN228+AO274*AO228+AP274*AP228+AQ274*AQ228+AR274*AR228+AS274*AS228+AT274*AT228+AU274*AU228+AV274*AV228+AW274*AW228+AX274*AX228+AY274*AY228+AZ274*AZ228+BA274*BA228+BB274*BB228+BC274*BC228+BD274*BD228+BE274*BE228+BF274*BF228+BG274*BG228+BH274*BH228+BI274*BI228+BJ274*BJ228+BK274*BK228+BL274*BL228+BM274*BM228+BN274*BN228+BO274*BO228+BP274*BP228+BQ274*BQ228+BR274*BR228+BS274*BS228+BT274*BT228+BU274*BU228+BV274*BV228+BW274*BW228+BX274*BX228+BY274*BY228+BZ274*BZ228+CA274*CA228+CB274*CB228+CC274*CC228+CD274*CD228+CE274*CE228+CF274*CF228+CG274*CG228+CH274*CH228+CI274*CI228+CJ274*CJ228+CK274*CK228+CL274*CL228+CM274*CM228+CN274*CN228+CO274*CO228+CP274*CP228+CQ274*CQ228+CR274*CR228+CS274*CS228</f>
        <v>0</v>
      </c>
      <c r="DE228" s="2504">
        <f>E275*E228+F275*F228+G275*G228+H275*H228+I275*I228+J275*J228+K275*K228+L275*L228+M275*M228+N275*N228+O275*O228+P275*P228+Q275*Q228+R275*R228+S275*S228+T275*T228+U275*U228+V275*V228+W275*W228+X275*X228+Y275*Y228+Z275*Z228+AA275*AA228+AB275*AB228+AC275*AC228+AD275*AD228+AE275*AE228+AF275*AF228+AG275*AG228+AH275*AH228+AI275*AI228+AJ275*AJ228+AK275*AK228+AL275*AL228+AM275*AM228+AN275*AN228+AO275*AO228+AP275*AP228+AQ275*AQ228+AR275*AR228+AS275*AS228+AT275*AT228+AU275*AU228+AV275*AV228+AW275*AW228+AX275*AX228+AY275*AY228+AZ275*AZ228+BA275*BA228+BB275*BB228+BC275*BC228+BD275*BD228+BE275*BE228+BF275*BF228+BG275*BG228+BH275*BH228+BI275*BI228+BJ275*BJ228+BK275*BK228+BL275*BL228+BM275*BM228+BN275*BN228+BO275*BO228+BP275*BP228+BQ275*BQ228+BR275*BR228+BS275*BS228+BT275*BT228+BU275*BU228+BV275*BV228+BW275*BW228+BX275*BX228+BY275*BY228+BZ275*BZ228+CA275*CA228+CB275*CB228+CC275*CC228+CD275*CD228+CE275*CE228+CF275*CF228+CG275*CG228+CH275*CH228+CI275*CI228+CJ275*CJ228+CK275*CK228+CL275*CL228+CM275*CM228+CN275*CN228+CO275*CO228+CP275*CP228+CQ275*CQ228+CR275*CR228+CS275*CS228</f>
        <v>0</v>
      </c>
      <c r="DF228" s="2504">
        <f>E276*E228+F276*F228+G276*G228+H276*H228+I276*I228+J276*J228+K276*K228+L276*L228+M276*M228+N276*N228+O276*O228+P276*P228+Q276*Q228+R276*R228+S276*S228+T276*T228+U276*U228+V276*V228+W276*W228+X276*X228+Y276*Y228+Z276*Z228+AA276*AA228+AB276*AB228+AC276*AC228+AD276*AD228+AE276*AE228+AF276*AF228+AG276*AG228+AH276*AH228+AI276*AI228+AJ276*AJ228+AK276*AK228+AL276*AL228+AM276*AM228+AN276*AN228+AO276*AO228+AP276*AP228+AQ276*AQ228+AR276*AR228+AS276*AS228+AT276*AT228+AU276*AU228+AV276*AV228+AW276*AW228+AX276*AX228+AY276*AY228+AZ276*AZ228+BA276*BA228+BB276*BB228+BC276*BC228+BD276*BD228+BE276*BE228+BF276*BF228+BG276*BG228+BH276*BH228+BI276*BI228+BJ276*BJ228+BK276*BK228+BL276*BL228+BM276*BM228+BN276*BN228+BO276*BO228+BP276*BP228+BQ276*BQ228+BR276*BR228+BS276*BS228+BT276*BT228+BU276*BU228+BV276*BV228+BW276*BW228+BX276*BX228+BY276*BY228+BZ276*BZ228+CA276*CA228+CB276*CB228+CC276*CC228+CD276*CD228+CE276*CE228+CF276*CF228+CG276*CG228+CH276*CH228+CI276*CI228+CJ276*CJ228+CK276*CK228+CL276*CL228+CM276*CM228+CN276*CN228+CO276*CO228+CP276*CP228+CQ276*CQ228+CR276*CR228+CS276*CS228</f>
        <v>0</v>
      </c>
    </row>
    <row r="229" spans="2:110" ht="18" x14ac:dyDescent="0.35">
      <c r="B229" s="1527">
        <v>87</v>
      </c>
      <c r="C229" s="1528" t="s">
        <v>3095</v>
      </c>
      <c r="D229" s="562" t="s">
        <v>3320</v>
      </c>
      <c r="E229" s="507">
        <f>0</f>
        <v>0</v>
      </c>
      <c r="F229" s="507">
        <f>0</f>
        <v>0</v>
      </c>
      <c r="G229" s="507">
        <f>0</f>
        <v>0</v>
      </c>
      <c r="H229" s="507">
        <f>0</f>
        <v>0</v>
      </c>
      <c r="I229" s="507">
        <f>0</f>
        <v>0</v>
      </c>
      <c r="J229" s="507">
        <f>0</f>
        <v>0</v>
      </c>
      <c r="K229" s="507">
        <f>0</f>
        <v>0</v>
      </c>
      <c r="L229" s="507">
        <f>0</f>
        <v>0</v>
      </c>
      <c r="M229" s="507">
        <f>0</f>
        <v>0</v>
      </c>
      <c r="N229" s="507">
        <f>0</f>
        <v>0</v>
      </c>
      <c r="O229" s="507">
        <f>0</f>
        <v>0</v>
      </c>
      <c r="P229" s="507">
        <f>0</f>
        <v>0</v>
      </c>
      <c r="Q229" s="507">
        <f>0</f>
        <v>0</v>
      </c>
      <c r="R229" s="558">
        <f>0</f>
        <v>0</v>
      </c>
      <c r="S229" s="507">
        <f>0</f>
        <v>0</v>
      </c>
      <c r="T229" s="507">
        <f>0</f>
        <v>0</v>
      </c>
      <c r="U229" s="507">
        <f>0</f>
        <v>0</v>
      </c>
      <c r="V229" s="507">
        <f>0</f>
        <v>0</v>
      </c>
      <c r="W229" s="507">
        <f>0</f>
        <v>0</v>
      </c>
      <c r="X229" s="507">
        <f>0</f>
        <v>0</v>
      </c>
      <c r="Y229" s="507">
        <f>0</f>
        <v>0</v>
      </c>
      <c r="Z229" s="507">
        <f>0</f>
        <v>0</v>
      </c>
      <c r="AA229" s="507">
        <f>0</f>
        <v>0</v>
      </c>
      <c r="AB229" s="507">
        <f>0</f>
        <v>0</v>
      </c>
      <c r="AC229" s="507">
        <f>0</f>
        <v>0</v>
      </c>
      <c r="AD229" s="507">
        <f>0</f>
        <v>0</v>
      </c>
      <c r="AE229" s="507">
        <f>0</f>
        <v>0</v>
      </c>
      <c r="AF229" s="507">
        <f>0</f>
        <v>0</v>
      </c>
      <c r="AG229" s="507">
        <f>0</f>
        <v>0</v>
      </c>
      <c r="AH229" s="507">
        <f>0</f>
        <v>0</v>
      </c>
      <c r="AI229" s="507">
        <f>0</f>
        <v>0</v>
      </c>
      <c r="AJ229" s="507">
        <f>0</f>
        <v>0</v>
      </c>
      <c r="AK229" s="507">
        <f>0</f>
        <v>0</v>
      </c>
      <c r="AL229" s="507">
        <f>0</f>
        <v>0</v>
      </c>
      <c r="AM229" s="558">
        <f>(A_SFHFO_H*(A_MP/A_MFe))*X_HFO_H_P_old/(X_HFO_H_P_old+X_HFO_L_P_old)+(A_SFHFO_L*(A_MP/A_MFe))*X_HFO_L_P_old/(X_HFO_H_P_old+X_HFO_L_P_old)</f>
        <v>0.38824663873220522</v>
      </c>
      <c r="AN229" s="507">
        <f>0</f>
        <v>0</v>
      </c>
      <c r="AO229" s="507">
        <f>0</f>
        <v>0</v>
      </c>
      <c r="AP229" s="507">
        <f>0</f>
        <v>0</v>
      </c>
      <c r="AQ229" s="507">
        <f>0</f>
        <v>0</v>
      </c>
      <c r="AR229" s="507">
        <f>0</f>
        <v>0</v>
      </c>
      <c r="AS229" s="507">
        <f>0</f>
        <v>0</v>
      </c>
      <c r="AT229" s="507">
        <f>0</f>
        <v>0</v>
      </c>
      <c r="AU229" s="507">
        <f>0</f>
        <v>0</v>
      </c>
      <c r="AV229" s="507">
        <f>0</f>
        <v>0</v>
      </c>
      <c r="AW229" s="507">
        <f>0</f>
        <v>0</v>
      </c>
      <c r="AX229" s="507">
        <f>0</f>
        <v>0</v>
      </c>
      <c r="AY229" s="507">
        <f>0</f>
        <v>0</v>
      </c>
      <c r="AZ229" s="507">
        <f>0</f>
        <v>0</v>
      </c>
      <c r="BA229" s="507">
        <f>0</f>
        <v>0</v>
      </c>
      <c r="BB229" s="507">
        <f>0</f>
        <v>0</v>
      </c>
      <c r="BC229" s="558">
        <f>0</f>
        <v>0</v>
      </c>
      <c r="BD229" s="507">
        <f>0</f>
        <v>0</v>
      </c>
      <c r="BE229" s="507">
        <f>0</f>
        <v>0</v>
      </c>
      <c r="BF229" s="558">
        <f>1</f>
        <v>1</v>
      </c>
      <c r="BG229" s="558">
        <f>0</f>
        <v>0</v>
      </c>
      <c r="BH229" s="507">
        <f>0</f>
        <v>0</v>
      </c>
      <c r="BI229" s="1584">
        <f>-X_HFO_H_P_old/(X_HFO_H_P_old+X_HFO_L_P_old)</f>
        <v>-0.5</v>
      </c>
      <c r="BJ229" s="1584">
        <f>-X_HFO_L_P_old/(X_HFO_H_P_old+X_HFO_L_P_old)</f>
        <v>-0.5</v>
      </c>
      <c r="BK229" s="563">
        <f>0</f>
        <v>0</v>
      </c>
      <c r="BL229" s="563">
        <f>0</f>
        <v>0</v>
      </c>
      <c r="BM229" s="564">
        <f>0</f>
        <v>0</v>
      </c>
      <c r="BN229" s="564">
        <f>0</f>
        <v>0</v>
      </c>
      <c r="BO229" s="563">
        <f>0</f>
        <v>0</v>
      </c>
      <c r="BP229" s="565">
        <f>0</f>
        <v>0</v>
      </c>
      <c r="BQ229" s="565">
        <f>0</f>
        <v>0</v>
      </c>
      <c r="BR229" s="558">
        <f>0</f>
        <v>0</v>
      </c>
      <c r="BS229" s="558">
        <f>0</f>
        <v>0</v>
      </c>
      <c r="BT229" s="558">
        <f>0</f>
        <v>0</v>
      </c>
      <c r="BU229" s="558">
        <f>0</f>
        <v>0</v>
      </c>
      <c r="BV229" s="558">
        <f>0</f>
        <v>0</v>
      </c>
      <c r="BW229" s="2369">
        <f>0</f>
        <v>0</v>
      </c>
      <c r="BX229" s="2369">
        <f>0</f>
        <v>0</v>
      </c>
      <c r="BY229" s="2369">
        <f>0</f>
        <v>0</v>
      </c>
      <c r="BZ229" s="2369">
        <f>0</f>
        <v>0</v>
      </c>
      <c r="CA229" s="558">
        <f>0</f>
        <v>0</v>
      </c>
      <c r="CB229" s="558">
        <f>0</f>
        <v>0</v>
      </c>
      <c r="CC229" s="558">
        <f>0</f>
        <v>0</v>
      </c>
      <c r="CD229" s="558">
        <f>0</f>
        <v>0</v>
      </c>
      <c r="CE229" s="558">
        <f>0</f>
        <v>0</v>
      </c>
      <c r="CF229" s="558">
        <f>0</f>
        <v>0</v>
      </c>
      <c r="CG229" s="558">
        <f>0</f>
        <v>0</v>
      </c>
      <c r="CH229" s="558">
        <f>0</f>
        <v>0</v>
      </c>
      <c r="CI229" s="558">
        <f>0</f>
        <v>0</v>
      </c>
      <c r="CJ229" s="558">
        <f>0</f>
        <v>0</v>
      </c>
      <c r="CK229" s="558">
        <f>0</f>
        <v>0</v>
      </c>
      <c r="CL229" s="558">
        <f>0</f>
        <v>0</v>
      </c>
      <c r="CM229" s="558">
        <f>0</f>
        <v>0</v>
      </c>
      <c r="CN229" s="558">
        <f>0</f>
        <v>0</v>
      </c>
      <c r="CO229" s="558">
        <f>0</f>
        <v>0</v>
      </c>
      <c r="CP229" s="558">
        <f>0</f>
        <v>0</v>
      </c>
      <c r="CQ229" s="558">
        <f>0</f>
        <v>0</v>
      </c>
      <c r="CR229" s="558">
        <f>0</f>
        <v>0</v>
      </c>
      <c r="CS229" s="558">
        <f>0</f>
        <v>0</v>
      </c>
      <c r="CT229" s="2493">
        <f>q_HFO_DISS*(X_HFO_H_P_old+X_HFO_L_P_old)*L_oginhSPO4_KiP_HFO_DISS</f>
        <v>0</v>
      </c>
      <c r="CV229" s="2502">
        <f>E266*E229+F266*F229+G266*G229+H266*H229+I266*I229+J266*J229+K266*K229+L266*L229+M266*M229+N266*N229+O266*O229+P266*P229+Q266*Q229+R266*R229+S266*S229+T266*T229+U266*U229+V266*V229+W266*W229+X266*X229+Y266*Y229+Z266*Z229+AA266*AA229+AB266*AB229+AC266*AC229+AD266*AD229+AE266*AE229+AF266*AF229+AG266*AG229+AH266*AH229+AI266*AI229+AJ266*AJ229+AK266*AK229+AL266*AL229+AM266*AM229+AN266*AN229+AO266*AO229+AP266*AP229+AQ266*AQ229+AR266*AR229+AS266*AS229+AT266*AT229+AU266*AU229+AV266*AV229+AW266*AW229+AX266*AX229+AY266*AY229+AZ266*AZ229+BA266*BA229+BB266*BB229+BC266*BC229+BD266*BD229+BE266*BE229+BF266*BF229+BG266*BG229+BH266*BH229+BI266*BI229+BJ266*BJ229+BK266*BK229+BL266*BL229+BM266*BM229+BN266*BN229+BO266*BO229+BP266*BP229+BQ266*BQ229+BR266*BR229+BS266*BS229+BT266*BT229+BU266*BU229+BV266*BV229+BW266*BW229+BX266*BX229+BY266*BY229+BZ266*BZ229+CA266*CA229+CB266*CB229+CC266*CC229+CD266*CD229+CE266*CE229+CF266*CF229+CG266*CG229+CH266*CH229+CI266*CI229+CJ266*CJ229+CK266*CK229+CL266*CL229+CM266*CM229+CN266*CN229+CO266*CO229+CP266*CP229+CQ266*CQ229+CR266*CR229+CS266*CS229</f>
        <v>0</v>
      </c>
      <c r="CW229" s="2502">
        <f>E267*E229+F267*F229+G267*G229+H267*H229+I267*I229+J267*J229+K267*K229+L267*L229+M267*M229+N267*N229+O267*O229+P267*P229+Q267*Q229+R267*R229+S267*S229+T267*T229+U267*U229+V267*V229+W267*W229+X267*X229+Y267*Y229+Z267*Z229+AA267*AA229+AB267*AB229+AC267*AC229+AD267*AD229+AE267*AE229+AF267*AF229+AG267*AG229+AH267*AH229+AI267*AI229+AJ267*AJ229+AK267*AK229+AL267*AL229+AM267*AM229+AN267*AN229+AO267*AO229+AP267*AP229+AQ267*AQ229+AR267*AR229+AS267*AS229+AT267*AT229+AU267*AU229+AV267*AV229+AW267*AW229+AX267*AX229+AY267*AY229+AZ267*AZ229+BA267*BA229+BB267*BB229+BC267*BC229+BD267*BD229+BE267*BE229+BF267*BF229+BG267*BG229+BH267*BH229+BI267*BI229+BJ267*BJ229+BK267*BK229+BL267*BL229+BM267*BM229+BN267*BN229+BO267*BO229+BP267*BP229+BQ267*BQ229+BR267*BR229+BS267*BS229+BT267*BT229+BU267*BU229+BV267*BV229+BW267*BW229+BX267*BX229+BY267*BY229+BZ267*BZ229+CA267*CA229+CB267*CB229+CC267*CC229+CD267*CD229+CE267*CE229+CF267*CF229+CG267*CG229+CH267*CH229+CI267*CI229+CJ267*CJ229+CK267*CK229+CL267*CL229+CM267*CM229+CN267*CN229+CO267*CO229+CP267*CP229+CQ267*CQ229+CR267*CR229+CS267*CS229</f>
        <v>0</v>
      </c>
      <c r="CX229" s="2503">
        <f>E268*E229+F268*F229+G268*G229+H268*H229+I268*I229+J268*J229+K268*K229+L268*L229+M268*M229+N268*N229+O268*O229+P268*P229+Q268*Q229+R268*R229+S268*S229+T268*T229+U268*U229+V268*V229+W268*W229+X268*X229+Y268*Y229+Z268*Z229+AA268*AA229+AB268*AB229+AC268*AC229+AD268*AD229+AE268*AE229+AF268*AF229+AG268*AG229+AH268*AH229+AI268*AI229+AJ268*AJ229+AK268*AK229+AL268*AL229+AM268*AM229+AN268*AN229+AO268*AO229+AP268*AP229+AQ268*AQ229+AR268*AR229+AS268*AS229+AT268*AT229+AU268*AU229+AV268*AV229+AW268*AW229+AX268*AX229+AY268*AY229+AZ268*AZ229+BA268*BA229+BB268*BB229+BC268*BC229+BD268*BD229+BE268*BE229+BF268*BF229+BG268*BG229+BH268*BH229+BI268*BI229+BJ268*BJ229+BK268*BK229+BL268*BL229+BM268*BM229+BN268*BN229+BO268*BO229+BP268*BP229+BQ268*BQ229+BR268*BR229+BS268*BS229+BT268*BT229+BU268*BU229+BV268*BV229+BW268*BW229+BX268*BX229+BY268*BY229+BZ268*BZ229+CA268*CA229+CB268*CB229+CC268*CC229+CD268*CD229+CE268*CE229+CF268*CF229+CG268*CG229+CH268*CH229+CI268*CI229+CJ268*CJ229+CK268*CK229+CL268*CL229+CM268*CM229+CN268*CN229+CO268*CO229+CP268*CP229+CQ268*CQ229+CR268*CR229+CS268*CS229</f>
        <v>0</v>
      </c>
      <c r="CY229" s="2504">
        <f>E269*E229+F269*F229+G269*G229+H269*H229+I269*I229+J269*J229+K269*K229+L269*L229+M269*M229+N269*N229+O269*O229+P269*P229+Q269*Q229+R269*R229+S269*S229+T269*T229+U269*U229+V269*V229+W269*W229+X269*X229+Y269*Y229+Z269*Z229+AA269*AA229+AB269*AB229+AC269*AC229+AD269*AD229+AE269*AE229+AF269*AF229+AG269*AG229+AH269*AH229+AI269*AI229+AJ269*AJ229+AK269*AK229+AL269*AL229+AM269*AM229+AN269*AN229+AO269*AO229+AP269*AP229+AQ269*AQ229+AR269*AR229+AS269*AS229+AT269*AT229+AU269*AU229+AV269*AV229+AW269*AW229+AX269*AX229+AY269*AY229+AZ269*AZ229+BA269*BA229+BB269*BB229+BC269*BC229+BD269*BD229+BE269*BE229+BF269*BF229+BG269*BG229+BH269*BH229+BI269*BI229+BJ269*BJ229+BK269*BK229+BL269*BL229+BM269*BM229+BN269*BN229+BO269*BO229+BP269*BP229+BQ269*BQ229+BR269*BR229+BS269*BS229+BT269*BT229+BU269*BU229+BV269*BV229+BW269*BW229+BX269*BX229+BY269*BY229+BZ269*BZ229+CA269*CA229+CB269*CB229+CC269*CC229+CD269*CD229+CE269*CE229+CF269*CF229+CG269*CG229+CH269*CH229+CI269*CI229+CJ269*CJ229+CK269*CK229+CL269*CL229+CM269*CM229+CN269*CN229+CO269*CO229+CP269*CP229+CQ269*CQ229+CR269*CR229+CS269*CS229</f>
        <v>2.7755575615628914E-17</v>
      </c>
      <c r="CZ229" s="2504">
        <f>E270*E229+F270*F229+G270*G229+H270*H229+I270*I229+J270*J229+K270*K229+L270*L229+M270*M229+N270*N229+O270*O229+P270*P229+Q270*Q229+R270*R229+S270*S229+T270*T229+U270*U229+V270*V229+W270*W229+X270*X229+Y270*Y229+Z270*Z229+AA270*AA229+AB270*AB229+AC270*AC229+AD270*AD229+AE270*AE229+AF270*AF229+AG270*AG229+AH270*AH229+AI270*AI229+AJ270*AJ229+AK270*AK229+AL270*AL229+AM270*AM229+AN270*AN229+AO270*AO229+AP270*AP229+AQ270*AQ229+AR270*AR229+AS270*AS229+AT270*AT229+AU270*AU229+AV270*AV229+AW270*AW229+AX270*AX229+AY270*AY229+AZ270*AZ229+BA270*BA229+BB270*BB229+BC270*BC229+BD270*BD229+BE270*BE229+BF270*BF229+BG270*BG229+BH270*BH229+BI270*BI229+BJ270*BJ229+BK270*BK229+BL270*BL229+BM270*BM229+BN270*BN229+BO270*BO229+BP270*BP229+BQ270*BQ229+BR270*BR229+BS270*BS229+BT270*BT229+BU270*BU229+BV270*BV229+BW270*BW229+BX270*BX229+BY270*BY229+BZ270*BZ229+CA270*CA229+CB270*CB229+CC270*CC229+CD270*CD229+CE270*CE229+CF270*CF229+CG270*CG229+CH270*CH229+CI270*CI229+CJ270*CJ229+CK270*CK229+CL270*CL229+CM270*CM229+CN270*CN229+CO270*CO229+CP270*CP229+CQ270*CQ229+CR270*CR229+CS270*CS229</f>
        <v>0</v>
      </c>
      <c r="DA229" s="2504">
        <f>E271*E229+F271*F229+G271*G229+H271*H229+I271*I229+J271*J229+K271*K229+L271*L229+M271*M229+N271*N229+O271*O229+P271*P229+Q271*Q229+R271*R229+S271*S229+T271*T229+U271*U229+V271*V229+W271*W229+X271*X229+Y271*Y229+Z271*Z229+AA271*AA229+AB271*AB229+AC271*AC229+AD271*AD229+AE271*AE229+AF271*AF229+AG271*AG229+AH271*AH229+AI271*AI229+AJ271*AJ229+AK271*AK229+AL271*AL229+AM271*AM229+AN271*AN229+AO271*AO229+AP271*AP229+AQ271*AQ229+AR271*AR229+AS271*AS229+AT271*AT229+AU271*AU229+AV271*AV229+AW271*AW229+AX271*AX229+AY271*AY229+AZ271*AZ229+BA271*BA229+BB271*BB229+BC271*BC229+BD271*BD229+BE271*BE229+BF271*BF229+BG271*BG229+BH271*BH229+BI271*BI229+BJ271*BJ229+BK271*BK229+BL271*BL229+BM271*BM229+BN271*BN229+BO271*BO229+BP271*BP229+BQ271*BQ229+BR271*BR229+BS271*BS229+BT271*BT229+BU271*BU229+BV271*BV229+BW271*BW229+BX271*BX229+BY271*BY229+BZ271*BZ229+CA271*CA229+CB271*CB229+CC271*CC229+CD271*CD229+CE271*CE229+CF271*CF229+CG271*CG229+CH271*CH229+CI271*CI229+CJ271*CJ229+CK271*CK229+CL271*CL229+CM271*CM229+CN271*CN229+CO271*CO229+CP271*CP229+CQ271*CQ229+CR271*CR229+CS271*CS229</f>
        <v>0</v>
      </c>
      <c r="DB229" s="2504">
        <f>E272*E229+F272*F229+G272*G229+H272*H229+I272*I229+J272*J229+K272*K229+L272*L229+M272*M229+N272*N229+O272*O229+P272*P229+Q272*Q229+R272*R229+S272*S229+T272*T229+U272*U229+V272*V229+W272*W229+X272*X229+Y272*Y229+Z272*Z229+AA272*AA229+AB272*AB229+AC272*AC229+AD272*AD229+AE272*AE229+AF272*AF229+AG272*AG229+AH272*AH229+AI272*AI229+AJ272*AJ229+AK272*AK229+AL272*AL229+AM272*AM229+AN272*AN229+AO272*AO229+AP272*AP229+AQ272*AQ229+AR272*AR229+AS272*AS229+AT272*AT229+AU272*AU229+AV272*AV229+AW272*AW229+AX272*AX229+AY272*AY229+AZ272*AZ229+BA272*BA229+BB272*BB229+BC272*BC229+BD272*BD229+BE272*BE229+BF272*BF229+BG272*BG229+BH272*BH229+BI272*BI229+BJ272*BJ229+BK272*BK229+BL272*BL229+BM272*BM229+BN272*BN229+BO272*BO229+BP272*BP229+BQ272*BQ229+BR272*BR229+BS272*BS229+BT272*BT229+BU272*BU229+BV272*BV229+BW272*BW229+BX272*BX229+BY272*BY229+BZ272*BZ229+CA272*CA229+CB272*CB229+CC272*CC229+CD272*CD229+CE272*CE229+CF272*CF229+CG272*CG229+CH272*CH229+CI272*CI229+CJ272*CJ229+CK272*CK229+CL272*CL229+CM272*CM229+CN272*CN229+CO272*CO229+CP272*CP229+CQ272*CQ229+CR272*CR229+CS272*CS229</f>
        <v>0</v>
      </c>
      <c r="DC229" s="2504">
        <f>E273*E229+F273*F229+G273*G229+H273*H229+I273*I229+J273*J229+K273*K229+L273*L229+M273*M229+N273*N229+O273*O229+P273*P229+Q273*Q229+R273*R229+S273*S229+T273*T229+U273*U229+V273*V229+W273*W229+X273*X229+Y273*Y229+Z273*Z229+AA273*AA229+AB273*AB229+AC273*AC229+AD273*AD229+AE273*AE229+AF273*AF229+AG273*AG229+AH273*AH229+AI273*AI229+AJ273*AJ229+AK273*AK229+AL273*AL229+AM273*AM229+AN273*AN229+AO273*AO229+AP273*AP229+AQ273*AQ229+AR273*AR229+AS273*AS229+AT273*AT229+AU273*AU229+AV273*AV229+AW273*AW229+AX273*AX229+AY273*AY229+AZ273*AZ229+BA273*BA229+BB273*BB229+BC273*BC229+BD273*BD229+BE273*BE229+BF273*BF229+BG273*BG229+BH273*BH229+BI273*BI229+BJ273*BJ229+BK273*BK229+BL273*BL229+BM273*BM229+BN273*BN229+BO273*BO229+BP273*BP229+BQ273*BQ229+BR273*BR229+BS273*BS229+BT273*BT229+BU273*BU229+BV273*BV229+BW273*BW229+BX273*BX229+BY273*BY229+BZ273*BZ229+CA273*CA229+CB273*CB229+CC273*CC229+CD273*CD229+CE273*CE229+CF273*CF229+CG273*CG229+CH273*CH229+CI273*CI229+CJ273*CJ229+CK273*CK229+CL273*CL229+CM273*CM229+CN273*CN229+CO273*CO229+CP273*CP229+CQ273*CQ229+CR273*CR229+CS273*CS229</f>
        <v>0</v>
      </c>
      <c r="DD229" s="2504">
        <f>E274*E229+F274*F229+G274*G229+H274*H229+I274*I229+J274*J229+K274*K229+L274*L229+M274*M229+N274*N229+O274*O229+P274*P229+Q274*Q229+R274*R229+S274*S229+T274*T229+U274*U229+V274*V229+W274*W229+X274*X229+Y274*Y229+Z274*Z229+AA274*AA229+AB274*AB229+AC274*AC229+AD274*AD229+AE274*AE229+AF274*AF229+AG274*AG229+AH274*AH229+AI274*AI229+AJ274*AJ229+AK274*AK229+AL274*AL229+AM274*AM229+AN274*AN229+AO274*AO229+AP274*AP229+AQ274*AQ229+AR274*AR229+AS274*AS229+AT274*AT229+AU274*AU229+AV274*AV229+AW274*AW229+AX274*AX229+AY274*AY229+AZ274*AZ229+BA274*BA229+BB274*BB229+BC274*BC229+BD274*BD229+BE274*BE229+BF274*BF229+BG274*BG229+BH274*BH229+BI274*BI229+BJ274*BJ229+BK274*BK229+BL274*BL229+BM274*BM229+BN274*BN229+BO274*BO229+BP274*BP229+BQ274*BQ229+BR274*BR229+BS274*BS229+BT274*BT229+BU274*BU229+BV274*BV229+BW274*BW229+BX274*BX229+BY274*BY229+BZ274*BZ229+CA274*CA229+CB274*CB229+CC274*CC229+CD274*CD229+CE274*CE229+CF274*CF229+CG274*CG229+CH274*CH229+CI274*CI229+CJ274*CJ229+CK274*CK229+CL274*CL229+CM274*CM229+CN274*CN229+CO274*CO229+CP274*CP229+CQ274*CQ229+CR274*CR229+CS274*CS229</f>
        <v>0</v>
      </c>
      <c r="DE229" s="2504">
        <f>E275*E229+F275*F229+G275*G229+H275*H229+I275*I229+J275*J229+K275*K229+L275*L229+M275*M229+N275*N229+O275*O229+P275*P229+Q275*Q229+R275*R229+S275*S229+T275*T229+U275*U229+V275*V229+W275*W229+X275*X229+Y275*Y229+Z275*Z229+AA275*AA229+AB275*AB229+AC275*AC229+AD275*AD229+AE275*AE229+AF275*AF229+AG275*AG229+AH275*AH229+AI275*AI229+AJ275*AJ229+AK275*AK229+AL275*AL229+AM275*AM229+AN275*AN229+AO275*AO229+AP275*AP229+AQ275*AQ229+AR275*AR229+AS275*AS229+AT275*AT229+AU275*AU229+AV275*AV229+AW275*AW229+AX275*AX229+AY275*AY229+AZ275*AZ229+BA275*BA229+BB275*BB229+BC275*BC229+BD275*BD229+BE275*BE229+BF275*BF229+BG275*BG229+BH275*BH229+BI275*BI229+BJ275*BJ229+BK275*BK229+BL275*BL229+BM275*BM229+BN275*BN229+BO275*BO229+BP275*BP229+BQ275*BQ229+BR275*BR229+BS275*BS229+BT275*BT229+BU275*BU229+BV275*BV229+BW275*BW229+BX275*BX229+BY275*BY229+BZ275*BZ229+CA275*CA229+CB275*CB229+CC275*CC229+CD275*CD229+CE275*CE229+CF275*CF229+CG275*CG229+CH275*CH229+CI275*CI229+CJ275*CJ229+CK275*CK229+CL275*CL229+CM275*CM229+CN275*CN229+CO275*CO229+CP275*CP229+CQ275*CQ229+CR275*CR229+CS275*CS229</f>
        <v>0</v>
      </c>
      <c r="DF229" s="2504">
        <f>E276*E229+F276*F229+G276*G229+H276*H229+I276*I229+J276*J229+K276*K229+L276*L229+M276*M229+N276*N229+O276*O229+P276*P229+Q276*Q229+R276*R229+S276*S229+T276*T229+U276*U229+V276*V229+W276*W229+X276*X229+Y276*Y229+Z276*Z229+AA276*AA229+AB276*AB229+AC276*AC229+AD276*AD229+AE276*AE229+AF276*AF229+AG276*AG229+AH276*AH229+AI276*AI229+AJ276*AJ229+AK276*AK229+AL276*AL229+AM276*AM229+AN276*AN229+AO276*AO229+AP276*AP229+AQ276*AQ229+AR276*AR229+AS276*AS229+AT276*AT229+AU276*AU229+AV276*AV229+AW276*AW229+AX276*AX229+AY276*AY229+AZ276*AZ229+BA276*BA229+BB276*BB229+BC276*BC229+BD276*BD229+BE276*BE229+BF276*BF229+BG276*BG229+BH276*BH229+BI276*BI229+BJ276*BJ229+BK276*BK229+BL276*BL229+BM276*BM229+BN276*BN229+BO276*BO229+BP276*BP229+BQ276*BQ229+BR276*BR229+BS276*BS229+BT276*BT229+BU276*BU229+BV276*BV229+BW276*BW229+BX276*BX229+BY276*BY229+BZ276*BZ229+CA276*CA229+CB276*CB229+CC276*CC229+CD276*CD229+CE276*CE229+CF276*CF229+CG276*CG229+CH276*CH229+CI276*CI229+CJ276*CJ229+CK276*CK229+CL276*CL229+CM276*CM229+CN276*CN229+CO276*CO229+CP276*CP229+CQ276*CQ229+CR276*CR229+CS276*CS229</f>
        <v>0</v>
      </c>
    </row>
    <row r="230" spans="2:110" ht="18" x14ac:dyDescent="0.25">
      <c r="B230" s="1529">
        <v>88</v>
      </c>
      <c r="C230" s="566" t="s">
        <v>3096</v>
      </c>
      <c r="D230" s="567" t="s">
        <v>1684</v>
      </c>
      <c r="E230" s="568">
        <f>-E_EQFe2*S_VFA/(S_B+S_VFA)</f>
        <v>-1.4183529553600002E-3</v>
      </c>
      <c r="F230" s="568">
        <f>-E_EQFe2*S_B/(S_B+S_VFA)</f>
        <v>-0.14183529553600002</v>
      </c>
      <c r="G230" s="508">
        <f>0</f>
        <v>0</v>
      </c>
      <c r="H230" s="508">
        <f>0</f>
        <v>0</v>
      </c>
      <c r="I230" s="508">
        <f>0</f>
        <v>0</v>
      </c>
      <c r="J230" s="508">
        <f>0</f>
        <v>0</v>
      </c>
      <c r="K230" s="508">
        <f>0</f>
        <v>0</v>
      </c>
      <c r="L230" s="508">
        <f>0</f>
        <v>0</v>
      </c>
      <c r="M230" s="508">
        <f>0</f>
        <v>0</v>
      </c>
      <c r="N230" s="508">
        <f>0</f>
        <v>0</v>
      </c>
      <c r="O230" s="508">
        <f>0</f>
        <v>0</v>
      </c>
      <c r="P230" s="508">
        <f>0</f>
        <v>0</v>
      </c>
      <c r="Q230" s="508">
        <f>0</f>
        <v>0</v>
      </c>
      <c r="R230" s="568">
        <f>0</f>
        <v>0</v>
      </c>
      <c r="S230" s="508">
        <f>0</f>
        <v>0</v>
      </c>
      <c r="T230" s="508">
        <f>0</f>
        <v>0</v>
      </c>
      <c r="U230" s="508">
        <f>0</f>
        <v>0</v>
      </c>
      <c r="V230" s="508">
        <f>0</f>
        <v>0</v>
      </c>
      <c r="W230" s="508">
        <f>0</f>
        <v>0</v>
      </c>
      <c r="X230" s="508">
        <f>0</f>
        <v>0</v>
      </c>
      <c r="Y230" s="508">
        <f>0</f>
        <v>0</v>
      </c>
      <c r="Z230" s="508">
        <f>0</f>
        <v>0</v>
      </c>
      <c r="AA230" s="508">
        <f>0</f>
        <v>0</v>
      </c>
      <c r="AB230" s="508">
        <f>0</f>
        <v>0</v>
      </c>
      <c r="AC230" s="508">
        <f>0</f>
        <v>0</v>
      </c>
      <c r="AD230" s="508">
        <f>0</f>
        <v>0</v>
      </c>
      <c r="AE230" s="508">
        <f>0</f>
        <v>0</v>
      </c>
      <c r="AF230" s="508">
        <f>0</f>
        <v>0</v>
      </c>
      <c r="AG230" s="508">
        <f>0</f>
        <v>0</v>
      </c>
      <c r="AH230" s="508">
        <f>0</f>
        <v>0</v>
      </c>
      <c r="AI230" s="508">
        <f>0</f>
        <v>0</v>
      </c>
      <c r="AJ230" s="508">
        <f>0</f>
        <v>0</v>
      </c>
      <c r="AK230" s="508">
        <f>0</f>
        <v>0</v>
      </c>
      <c r="AL230" s="508">
        <f>0</f>
        <v>0</v>
      </c>
      <c r="AM230" s="569">
        <f>X_HFO_P/X_HFO</f>
        <v>1.5529865549288207E-48</v>
      </c>
      <c r="AN230" s="508">
        <f>0</f>
        <v>0</v>
      </c>
      <c r="AO230" s="508">
        <f>0</f>
        <v>0</v>
      </c>
      <c r="AP230" s="508">
        <f>0</f>
        <v>0</v>
      </c>
      <c r="AQ230" s="508">
        <f>0</f>
        <v>0</v>
      </c>
      <c r="AR230" s="508">
        <f>0</f>
        <v>0</v>
      </c>
      <c r="AS230" s="508">
        <f>0</f>
        <v>0</v>
      </c>
      <c r="AT230" s="508">
        <f>0</f>
        <v>0</v>
      </c>
      <c r="AU230" s="508">
        <f>0</f>
        <v>0</v>
      </c>
      <c r="AV230" s="568">
        <f>i_CIT_SB*E_EQFe2*S_B/(S_B+S_VFA)+i_CIT_VFA*E_EQFe2*S_VFA/(S_B+S_VFA)</f>
        <v>4.1096776881556003E-2</v>
      </c>
      <c r="AW230" s="508">
        <f>0</f>
        <v>0</v>
      </c>
      <c r="AX230" s="508">
        <f>0</f>
        <v>0</v>
      </c>
      <c r="AY230" s="508">
        <f>0</f>
        <v>0</v>
      </c>
      <c r="AZ230" s="508">
        <f>0</f>
        <v>0</v>
      </c>
      <c r="BA230" s="508">
        <f>0</f>
        <v>0</v>
      </c>
      <c r="BB230" s="508">
        <f>0</f>
        <v>0</v>
      </c>
      <c r="BC230" s="568">
        <f>1</f>
        <v>1</v>
      </c>
      <c r="BD230" s="569">
        <f>-X_HFO_H/X_HFO</f>
        <v>-9.9999999999999997E-49</v>
      </c>
      <c r="BE230" s="569">
        <f>-X_HFO_L/X_HFO</f>
        <v>-9.9999999999999997E-49</v>
      </c>
      <c r="BF230" s="569">
        <f>-X_HFO_old/X_HFO</f>
        <v>-1</v>
      </c>
      <c r="BG230" s="569">
        <f>-X_HFO_H_P/X_HFO</f>
        <v>-9.9999999999999997E-49</v>
      </c>
      <c r="BH230" s="569">
        <f>-X_HFO_L_P/X_HFO</f>
        <v>-9.9999999999999997E-49</v>
      </c>
      <c r="BI230" s="569">
        <f>-X_HFO_H_P_old/X_HFO</f>
        <v>-9.9999999999999997E-49</v>
      </c>
      <c r="BJ230" s="569">
        <f>-X_HFO_L_P_old/X_HFO</f>
        <v>-9.9999999999999997E-49</v>
      </c>
      <c r="BK230" s="569">
        <f>0</f>
        <v>0</v>
      </c>
      <c r="BL230" s="569">
        <f>0</f>
        <v>0</v>
      </c>
      <c r="BM230" s="569">
        <f>0</f>
        <v>0</v>
      </c>
      <c r="BN230" s="569">
        <f>0</f>
        <v>0</v>
      </c>
      <c r="BO230" s="569">
        <f>0</f>
        <v>0</v>
      </c>
      <c r="BP230" s="569">
        <f>0</f>
        <v>0</v>
      </c>
      <c r="BQ230" s="569">
        <f>0</f>
        <v>0</v>
      </c>
      <c r="BR230" s="568">
        <f>0</f>
        <v>0</v>
      </c>
      <c r="BS230" s="568">
        <f>0</f>
        <v>0</v>
      </c>
      <c r="BT230" s="568">
        <f>0</f>
        <v>0</v>
      </c>
      <c r="BU230" s="568">
        <f>0</f>
        <v>0</v>
      </c>
      <c r="BV230" s="568">
        <f>0</f>
        <v>0</v>
      </c>
      <c r="BW230" s="2370">
        <f>0</f>
        <v>0</v>
      </c>
      <c r="BX230" s="2370">
        <f>0</f>
        <v>0</v>
      </c>
      <c r="BY230" s="2370">
        <f>0</f>
        <v>0</v>
      </c>
      <c r="BZ230" s="2370">
        <f>0</f>
        <v>0</v>
      </c>
      <c r="CA230" s="568">
        <f>0</f>
        <v>0</v>
      </c>
      <c r="CB230" s="568">
        <f>0</f>
        <v>0</v>
      </c>
      <c r="CC230" s="568">
        <f>0</f>
        <v>0</v>
      </c>
      <c r="CD230" s="568">
        <f>0</f>
        <v>0</v>
      </c>
      <c r="CE230" s="568">
        <f>0</f>
        <v>0</v>
      </c>
      <c r="CF230" s="568">
        <f>0</f>
        <v>0</v>
      </c>
      <c r="CG230" s="568">
        <f>0</f>
        <v>0</v>
      </c>
      <c r="CH230" s="568">
        <f>0</f>
        <v>0</v>
      </c>
      <c r="CI230" s="568">
        <f>0</f>
        <v>0</v>
      </c>
      <c r="CJ230" s="568">
        <f>0</f>
        <v>0</v>
      </c>
      <c r="CK230" s="568">
        <f>0</f>
        <v>0</v>
      </c>
      <c r="CL230" s="568">
        <f>0</f>
        <v>0</v>
      </c>
      <c r="CM230" s="568">
        <f>0</f>
        <v>0</v>
      </c>
      <c r="CN230" s="568">
        <f>0</f>
        <v>0</v>
      </c>
      <c r="CO230" s="568">
        <f>0</f>
        <v>0</v>
      </c>
      <c r="CP230" s="568">
        <f>0</f>
        <v>0</v>
      </c>
      <c r="CQ230" s="568">
        <f>0</f>
        <v>0</v>
      </c>
      <c r="CR230" s="568">
        <f>0</f>
        <v>0</v>
      </c>
      <c r="CS230" s="568">
        <f>0</f>
        <v>0</v>
      </c>
      <c r="CT230" s="2494">
        <f>q_HFO_RED_T*X_HFO*L_oginhORP_HFO*(M_satSB_KSB+M_satSVFA_KVFA)</f>
        <v>6.8384401301643267E-20</v>
      </c>
      <c r="CV230" s="2502">
        <f>E266*E230+F266*F230+G266*G230+H266*H230+I266*I230+J266*J230+K266*K230+L266*L230+M266*M230+N266*N230+O266*O230+P266*P230+Q266*Q230+R266*R230+S266*S230+T266*T230+U266*U230+V266*V230+W266*W230+X266*X230+Y266*Y230+Z266*Z230+AA266*AA230+AB266*AB230+AC266*AC230+AD266*AD230+AE266*AE230+AF266*AF230+AG266*AG230+AH266*AH230+AI266*AI230+AJ266*AJ230+AK266*AK230+AL266*AL230+AM266*AM230+AN266*AN230+AO266*AO230+AP266*AP230+AQ266*AQ230+AR266*AR230+AS266*AS230+AT266*AT230+AU266*AU230+AV266*AV230+AW266*AW230+AX266*AX230+AY266*AY230+AZ266*AZ230+BA266*BA230+BB266*BB230+BC266*BC230+BD266*BD230+BE266*BE230+BF266*BF230+BG266*BG230+BH266*BH230+BI266*BI230+BJ266*BJ230+BK266*BK230+BL266*BL230+BM266*BM230+BN266*BN230+BO266*BO230+BP266*BP230+BQ266*BQ230+BR266*BR230+BS266*BS230+BT266*BT230+BU266*BU230+BV266*BV230+BW266*BW230+BX266*BX230+BY266*BY230+BZ266*BZ230+CA266*CA230+CB266*CB230+CC266*CC230+CD266*CD230+CE266*CE230+CF266*CF230+CG266*CG230+CH266*CH230+CI266*CI230+CJ266*CJ230+CK266*CK230+CL266*CL230+CM266*CM230+CN266*CN230+CO266*CO230+CP266*CP230+CQ266*CQ230+CR266*CR230+CS266*CS230</f>
        <v>0</v>
      </c>
      <c r="CW230" s="2502">
        <f>E267*E230+F267*F230+G267*G230+H267*H230+I267*I230+J267*J230+K267*K230+L267*L230+M267*M230+N267*N230+O267*O230+P267*P230+Q267*Q230+R267*R230+S267*S230+T267*T230+U267*U230+V267*V230+W267*W230+X267*X230+Y267*Y230+Z267*Z230+AA267*AA230+AB267*AB230+AC267*AC230+AD267*AD230+AE267*AE230+AF267*AF230+AG267*AG230+AH267*AH230+AI267*AI230+AJ267*AJ230+AK267*AK230+AL267*AL230+AM267*AM230+AN267*AN230+AO267*AO230+AP267*AP230+AQ267*AQ230+AR267*AR230+AS267*AS230+AT267*AT230+AU267*AU230+AV267*AV230+AW267*AW230+AX267*AX230+AY267*AY230+AZ267*AZ230+BA267*BA230+BB267*BB230+BC267*BC230+BD267*BD230+BE267*BE230+BF267*BF230+BG267*BG230+BH267*BH230+BI267*BI230+BJ267*BJ230+BK267*BK230+BL267*BL230+BM267*BM230+BN267*BN230+BO267*BO230+BP267*BP230+BQ267*BQ230+BR267*BR230+BS267*BS230+BT267*BT230+BU267*BU230+BV267*BV230+BW267*BW230+BX267*BX230+BY267*BY230+BZ267*BZ230+CA267*CA230+CB267*CB230+CC267*CC230+CD267*CD230+CE267*CE230+CF267*CF230+CG267*CG230+CH267*CH230+CI267*CI230+CJ267*CJ230+CK267*CK230+CL267*CL230+CM267*CM230+CN267*CN230+CO267*CO230+CP267*CP230+CQ267*CQ230+CR267*CR230+CS267*CS230</f>
        <v>0</v>
      </c>
      <c r="CX230" s="2503">
        <f>E268*E230+F268*F230+G268*G230+H268*H230+I268*I230+J268*J230+K268*K230+L268*L230+M268*M230+N268*N230+O268*O230+P268*P230+Q268*Q230+R268*R230+S268*S230+T268*T230+U268*U230+V268*V230+W268*W230+X268*X230+Y268*Y230+Z268*Z230+AA268*AA230+AB268*AB230+AC268*AC230+AD268*AD230+AE268*AE230+AF268*AF230+AG268*AG230+AH268*AH230+AI268*AI230+AJ268*AJ230+AK268*AK230+AL268*AL230+AM268*AM230+AN268*AN230+AO268*AO230+AP268*AP230+AQ268*AQ230+AR268*AR230+AS268*AS230+AT268*AT230+AU268*AU230+AV268*AV230+AW268*AW230+AX268*AX230+AY268*AY230+AZ268*AZ230+BA268*BA230+BB268*BB230+BC268*BC230+BD268*BD230+BE268*BE230+BF268*BF230+BG268*BG230+BH268*BH230+BI268*BI230+BJ268*BJ230+BK268*BK230+BL268*BL230+BM268*BM230+BN268*BN230+BO268*BO230+BP268*BP230+BQ268*BQ230+BR268*BR230+BS268*BS230+BT268*BT230+BU268*BU230+BV268*BV230+BW268*BW230+BX268*BX230+BY268*BY230+BZ268*BZ230+CA268*CA230+CB268*CB230+CC268*CC230+CD268*CD230+CE268*CE230+CF268*CF230+CG268*CG230+CH268*CH230+CI268*CI230+CJ268*CJ230+CK268*CK230+CL268*CL230+CM268*CM230+CN268*CN230+CO268*CO230+CP268*CP230+CQ268*CQ230+CR268*CR230+CS268*CS230</f>
        <v>0</v>
      </c>
      <c r="CY230" s="2504">
        <f>E269*E230+F269*F230+G269*G230+H269*H230+I269*I230+J269*J230+K269*K230+L269*L230+M269*M230+N269*N230+O269*O230+P269*P230+Q269*Q230+R269*R230+S269*S230+T269*T230+U269*U230+V269*V230+W269*W230+X269*X230+Y269*Y230+Z269*Z230+AA269*AA230+AB269*AB230+AC269*AC230+AD269*AD230+AE269*AE230+AF269*AF230+AG269*AG230+AH269*AH230+AI269*AI230+AJ269*AJ230+AK269*AK230+AL269*AL230+AM269*AM230+AN269*AN230+AO269*AO230+AP269*AP230+AQ269*AQ230+AR269*AR230+AS269*AS230+AT269*AT230+AU269*AU230+AV269*AV230+AW269*AW230+AX269*AX230+AY269*AY230+AZ269*AZ230+BA269*BA230+BB269*BB230+BC269*BC230+BD269*BD230+BE269*BE230+BF269*BF230+BG269*BG230+BH269*BH230+BI269*BI230+BJ269*BJ230+BK269*BK230+BL269*BL230+BM269*BM230+BN269*BN230+BO269*BO230+BP269*BP230+BQ269*BQ230+BR269*BR230+BS269*BS230+BT269*BT230+BU269*BU230+BV269*BV230+BW269*BW230+BX269*BX230+BY269*BY230+BZ269*BZ230+CA269*CA230+CB269*CB230+CC269*CC230+CD269*CD230+CE269*CE230+CF269*CF230+CG269*CG230+CH269*CH230+CI269*CI230+CJ269*CJ230+CK269*CK230+CL269*CL230+CM269*CM230+CN269*CN230+CO269*CO230+CP269*CP230+CQ269*CQ230+CR269*CR230+CS269*CS230</f>
        <v>0</v>
      </c>
      <c r="CZ230" s="2504">
        <f>E270*E230+F270*F230+G270*G230+H270*H230+I270*I230+J270*J230+K270*K230+L270*L230+M270*M230+N270*N230+O270*O230+P270*P230+Q270*Q230+R270*R230+S270*S230+T270*T230+U270*U230+V270*V230+W270*W230+X270*X230+Y270*Y230+Z270*Z230+AA270*AA230+AB270*AB230+AC270*AC230+AD270*AD230+AE270*AE230+AF270*AF230+AG270*AG230+AH270*AH230+AI270*AI230+AJ270*AJ230+AK270*AK230+AL270*AL230+AM270*AM230+AN270*AN230+AO270*AO230+AP270*AP230+AQ270*AQ230+AR270*AR230+AS270*AS230+AT270*AT230+AU270*AU230+AV270*AV230+AW270*AW230+AX270*AX230+AY270*AY230+AZ270*AZ230+BA270*BA230+BB270*BB230+BC270*BC230+BD270*BD230+BE270*BE230+BF270*BF230+BG270*BG230+BH270*BH230+BI270*BI230+BJ270*BJ230+BK270*BK230+BL270*BL230+BM270*BM230+BN270*BN230+BO270*BO230+BP270*BP230+BQ270*BQ230+BR270*BR230+BS270*BS230+BT270*BT230+BU270*BU230+BV270*BV230+BW270*BW230+BX270*BX230+BY270*BY230+BZ270*BZ230+CA270*CA230+CB270*CB230+CC270*CC230+CD270*CD230+CE270*CE230+CF270*CF230+CG270*CG230+CH270*CH230+CI270*CI230+CJ270*CJ230+CK270*CK230+CL270*CL230+CM270*CM230+CN270*CN230+CO270*CO230+CP270*CP230+CQ270*CQ230+CR270*CR230+CS270*CS230</f>
        <v>0</v>
      </c>
      <c r="DA230" s="2504">
        <f>E271*E230+F271*F230+G271*G230+H271*H230+I271*I230+J271*J230+K271*K230+L271*L230+M271*M230+N271*N230+O271*O230+P271*P230+Q271*Q230+R271*R230+S271*S230+T271*T230+U271*U230+V271*V230+W271*W230+X271*X230+Y271*Y230+Z271*Z230+AA271*AA230+AB271*AB230+AC271*AC230+AD271*AD230+AE271*AE230+AF271*AF230+AG271*AG230+AH271*AH230+AI271*AI230+AJ271*AJ230+AK271*AK230+AL271*AL230+AM271*AM230+AN271*AN230+AO271*AO230+AP271*AP230+AQ271*AQ230+AR271*AR230+AS271*AS230+AT271*AT230+AU271*AU230+AV271*AV230+AW271*AW230+AX271*AX230+AY271*AY230+AZ271*AZ230+BA271*BA230+BB271*BB230+BC271*BC230+BD271*BD230+BE271*BE230+BF271*BF230+BG271*BG230+BH271*BH230+BI271*BI230+BJ271*BJ230+BK271*BK230+BL271*BL230+BM271*BM230+BN271*BN230+BO271*BO230+BP271*BP230+BQ271*BQ230+BR271*BR230+BS271*BS230+BT271*BT230+BU271*BU230+BV271*BV230+BW271*BW230+BX271*BX230+BY271*BY230+BZ271*BZ230+CA271*CA230+CB271*CB230+CC271*CC230+CD271*CD230+CE271*CE230+CF271*CF230+CG271*CG230+CH271*CH230+CI271*CI230+CJ271*CJ230+CK271*CK230+CL271*CL230+CM271*CM230+CN271*CN230+CO271*CO230+CP271*CP230+CQ271*CQ230+CR271*CR230+CS271*CS230</f>
        <v>0</v>
      </c>
      <c r="DB230" s="2504">
        <f>E272*E230+F272*F230+G272*G230+H272*H230+I272*I230+J272*J230+K272*K230+L272*L230+M272*M230+N272*N230+O272*O230+P272*P230+Q272*Q230+R272*R230+S272*S230+T272*T230+U272*U230+V272*V230+W272*W230+X272*X230+Y272*Y230+Z272*Z230+AA272*AA230+AB272*AB230+AC272*AC230+AD272*AD230+AE272*AE230+AF272*AF230+AG272*AG230+AH272*AH230+AI272*AI230+AJ272*AJ230+AK272*AK230+AL272*AL230+AM272*AM230+AN272*AN230+AO272*AO230+AP272*AP230+AQ272*AQ230+AR272*AR230+AS272*AS230+AT272*AT230+AU272*AU230+AV272*AV230+AW272*AW230+AX272*AX230+AY272*AY230+AZ272*AZ230+BA272*BA230+BB272*BB230+BC272*BC230+BD272*BD230+BE272*BE230+BF272*BF230+BG272*BG230+BH272*BH230+BI272*BI230+BJ272*BJ230+BK272*BK230+BL272*BL230+BM272*BM230+BN272*BN230+BO272*BO230+BP272*BP230+BQ272*BQ230+BR272*BR230+BS272*BS230+BT272*BT230+BU272*BU230+BV272*BV230+BW272*BW230+BX272*BX230+BY272*BY230+BZ272*BZ230+CA272*CA230+CB272*CB230+CC272*CC230+CD272*CD230+CE272*CE230+CF272*CF230+CG272*CG230+CH272*CH230+CI272*CI230+CJ272*CJ230+CK272*CK230+CL272*CL230+CM272*CM230+CN272*CN230+CO272*CO230+CP272*CP230+CQ272*CQ230+CR272*CR230+CS272*CS230</f>
        <v>0</v>
      </c>
      <c r="DC230" s="2504">
        <f>E273*E230+F273*F230+G273*G230+H273*H230+I273*I230+J273*J230+K273*K230+L273*L230+M273*M230+N273*N230+O273*O230+P273*P230+Q273*Q230+R273*R230+S273*S230+T273*T230+U273*U230+V273*V230+W273*W230+X273*X230+Y273*Y230+Z273*Z230+AA273*AA230+AB273*AB230+AC273*AC230+AD273*AD230+AE273*AE230+AF273*AF230+AG273*AG230+AH273*AH230+AI273*AI230+AJ273*AJ230+AK273*AK230+AL273*AL230+AM273*AM230+AN273*AN230+AO273*AO230+AP273*AP230+AQ273*AQ230+AR273*AR230+AS273*AS230+AT273*AT230+AU273*AU230+AV273*AV230+AW273*AW230+AX273*AX230+AY273*AY230+AZ273*AZ230+BA273*BA230+BB273*BB230+BC273*BC230+BD273*BD230+BE273*BE230+BF273*BF230+BG273*BG230+BH273*BH230+BI273*BI230+BJ273*BJ230+BK273*BK230+BL273*BL230+BM273*BM230+BN273*BN230+BO273*BO230+BP273*BP230+BQ273*BQ230+BR273*BR230+BS273*BS230+BT273*BT230+BU273*BU230+BV273*BV230+BW273*BW230+BX273*BX230+BY273*BY230+BZ273*BZ230+CA273*CA230+CB273*CB230+CC273*CC230+CD273*CD230+CE273*CE230+CF273*CF230+CG273*CG230+CH273*CH230+CI273*CI230+CJ273*CJ230+CK273*CK230+CL273*CL230+CM273*CM230+CN273*CN230+CO273*CO230+CP273*CP230+CQ273*CQ230+CR273*CR230+CS273*CS230</f>
        <v>0</v>
      </c>
      <c r="DD230" s="2504">
        <f>E274*E230+F274*F230+G274*G230+H274*H230+I274*I230+J274*J230+K274*K230+L274*L230+M274*M230+N274*N230+O274*O230+P274*P230+Q274*Q230+R274*R230+S274*S230+T274*T230+U274*U230+V274*V230+W274*W230+X274*X230+Y274*Y230+Z274*Z230+AA274*AA230+AB274*AB230+AC274*AC230+AD274*AD230+AE274*AE230+AF274*AF230+AG274*AG230+AH274*AH230+AI274*AI230+AJ274*AJ230+AK274*AK230+AL274*AL230+AM274*AM230+AN274*AN230+AO274*AO230+AP274*AP230+AQ274*AQ230+AR274*AR230+AS274*AS230+AT274*AT230+AU274*AU230+AV274*AV230+AW274*AW230+AX274*AX230+AY274*AY230+AZ274*AZ230+BA274*BA230+BB274*BB230+BC274*BC230+BD274*BD230+BE274*BE230+BF274*BF230+BG274*BG230+BH274*BH230+BI274*BI230+BJ274*BJ230+BK274*BK230+BL274*BL230+BM274*BM230+BN274*BN230+BO274*BO230+BP274*BP230+BQ274*BQ230+BR274*BR230+BS274*BS230+BT274*BT230+BU274*BU230+BV274*BV230+BW274*BW230+BX274*BX230+BY274*BY230+BZ274*BZ230+CA274*CA230+CB274*CB230+CC274*CC230+CD274*CD230+CE274*CE230+CF274*CF230+CG274*CG230+CH274*CH230+CI274*CI230+CJ274*CJ230+CK274*CK230+CL274*CL230+CM274*CM230+CN274*CN230+CO274*CO230+CP274*CP230+CQ274*CQ230+CR274*CR230+CS274*CS230</f>
        <v>0</v>
      </c>
      <c r="DE230" s="2504">
        <f>E275*E230+F275*F230+G275*G230+H275*H230+I275*I230+J275*J230+K275*K230+L275*L230+M275*M230+N275*N230+O275*O230+P275*P230+Q275*Q230+R275*R230+S275*S230+T275*T230+U275*U230+V275*V230+W275*W230+X275*X230+Y275*Y230+Z275*Z230+AA275*AA230+AB275*AB230+AC275*AC230+AD275*AD230+AE275*AE230+AF275*AF230+AG275*AG230+AH275*AH230+AI275*AI230+AJ275*AJ230+AK275*AK230+AL275*AL230+AM275*AM230+AN275*AN230+AO275*AO230+AP275*AP230+AQ275*AQ230+AR275*AR230+AS275*AS230+AT275*AT230+AU275*AU230+AV275*AV230+AW275*AW230+AX275*AX230+AY275*AY230+AZ275*AZ230+BA275*BA230+BB275*BB230+BC275*BC230+BD275*BD230+BE275*BE230+BF275*BF230+BG275*BG230+BH275*BH230+BI275*BI230+BJ275*BJ230+BK275*BK230+BL275*BL230+BM275*BM230+BN275*BN230+BO275*BO230+BP275*BP230+BQ275*BQ230+BR275*BR230+BS275*BS230+BT275*BT230+BU275*BU230+BV275*BV230+BW275*BW230+BX275*BX230+BY275*BY230+BZ275*BZ230+CA275*CA230+CB275*CB230+CC275*CC230+CD275*CD230+CE275*CE230+CF275*CF230+CG275*CG230+CH275*CH230+CI275*CI230+CJ275*CJ230+CK275*CK230+CL275*CL230+CM275*CM230+CN275*CN230+CO275*CO230+CP275*CP230+CQ275*CQ230+CR275*CR230+CS275*CS230</f>
        <v>-3.9999999999999999E-48</v>
      </c>
      <c r="DF230" s="2504">
        <f>E276*E230+F276*F230+G276*G230+H276*H230+I276*I230+J276*J230+K276*K230+L276*L230+M276*M230+N276*N230+O276*O230+P276*P230+Q276*Q230+R276*R230+S276*S230+T276*T230+U276*U230+V276*V230+W276*W230+X276*X230+Y276*Y230+Z276*Z230+AA276*AA230+AB276*AB230+AC276*AC230+AD276*AD230+AE276*AE230+AF276*AF230+AG276*AG230+AH276*AH230+AI276*AI230+AJ276*AJ230+AK276*AK230+AL276*AL230+AM276*AM230+AN276*AN230+AO276*AO230+AP276*AP230+AQ276*AQ230+AR276*AR230+AS276*AS230+AT276*AT230+AU276*AU230+AV276*AV230+AW276*AW230+AX276*AX230+AY276*AY230+AZ276*AZ230+BA276*BA230+BB276*BB230+BC276*BC230+BD276*BD230+BE276*BE230+BF276*BF230+BG276*BG230+BH276*BH230+BI276*BI230+BJ276*BJ230+BK276*BK230+BL276*BL230+BM276*BM230+BN276*BN230+BO276*BO230+BP276*BP230+BQ276*BQ230+BR276*BR230+BS276*BS230+BT276*BT230+BU276*BU230+BV276*BV230+BW276*BW230+BX276*BX230+BY276*BY230+BZ276*BZ230+CA276*CA230+CB276*CB230+CC276*CC230+CD276*CD230+CE276*CE230+CF276*CF230+CG276*CG230+CH276*CH230+CI276*CI230+CJ276*CJ230+CK276*CK230+CL276*CL230+CM276*CM230+CN276*CN230+CO276*CO230+CP276*CP230+CQ276*CQ230+CR276*CR230+CS276*CS230</f>
        <v>0</v>
      </c>
    </row>
    <row r="231" spans="2:110" ht="17.25" x14ac:dyDescent="0.25">
      <c r="B231" s="1530">
        <v>89</v>
      </c>
      <c r="C231" s="1531" t="s">
        <v>3097</v>
      </c>
      <c r="D231" s="571" t="s">
        <v>1685</v>
      </c>
      <c r="E231" s="508">
        <f>0</f>
        <v>0</v>
      </c>
      <c r="F231" s="508">
        <f>0</f>
        <v>0</v>
      </c>
      <c r="G231" s="508">
        <f>0</f>
        <v>0</v>
      </c>
      <c r="H231" s="508">
        <f>0</f>
        <v>0</v>
      </c>
      <c r="I231" s="508">
        <f>0</f>
        <v>0</v>
      </c>
      <c r="J231" s="508">
        <f>0</f>
        <v>0</v>
      </c>
      <c r="K231" s="508">
        <f>0</f>
        <v>0</v>
      </c>
      <c r="L231" s="508">
        <f>0</f>
        <v>0</v>
      </c>
      <c r="M231" s="508">
        <f>0</f>
        <v>0</v>
      </c>
      <c r="N231" s="508">
        <f>0</f>
        <v>0</v>
      </c>
      <c r="O231" s="508">
        <f>0</f>
        <v>0</v>
      </c>
      <c r="P231" s="508">
        <f>0</f>
        <v>0</v>
      </c>
      <c r="Q231" s="508">
        <f>0</f>
        <v>0</v>
      </c>
      <c r="R231" s="568">
        <f>0</f>
        <v>0</v>
      </c>
      <c r="S231" s="508">
        <f>0</f>
        <v>0</v>
      </c>
      <c r="T231" s="508">
        <f>0</f>
        <v>0</v>
      </c>
      <c r="U231" s="508">
        <f>0</f>
        <v>0</v>
      </c>
      <c r="V231" s="508">
        <f>0</f>
        <v>0</v>
      </c>
      <c r="W231" s="508">
        <f>0</f>
        <v>0</v>
      </c>
      <c r="X231" s="508">
        <f>0</f>
        <v>0</v>
      </c>
      <c r="Y231" s="508">
        <f>0</f>
        <v>0</v>
      </c>
      <c r="Z231" s="508">
        <f>0</f>
        <v>0</v>
      </c>
      <c r="AA231" s="508">
        <f>0</f>
        <v>0</v>
      </c>
      <c r="AB231" s="508">
        <f>0</f>
        <v>0</v>
      </c>
      <c r="AC231" s="508">
        <f>0</f>
        <v>0</v>
      </c>
      <c r="AD231" s="508">
        <f>0</f>
        <v>0</v>
      </c>
      <c r="AE231" s="508">
        <f>0</f>
        <v>0</v>
      </c>
      <c r="AF231" s="508">
        <f>0</f>
        <v>0</v>
      </c>
      <c r="AG231" s="508">
        <f>0</f>
        <v>0</v>
      </c>
      <c r="AH231" s="508">
        <f>0</f>
        <v>0</v>
      </c>
      <c r="AI231" s="508">
        <f>0</f>
        <v>0</v>
      </c>
      <c r="AJ231" s="508">
        <f>0</f>
        <v>0</v>
      </c>
      <c r="AK231" s="508">
        <f>0</f>
        <v>0</v>
      </c>
      <c r="AL231" s="508">
        <f>0</f>
        <v>0</v>
      </c>
      <c r="AM231" s="568">
        <f>0</f>
        <v>0</v>
      </c>
      <c r="AN231" s="508">
        <f>0</f>
        <v>0</v>
      </c>
      <c r="AO231" s="508">
        <f>0</f>
        <v>0</v>
      </c>
      <c r="AP231" s="508">
        <f>0</f>
        <v>0</v>
      </c>
      <c r="AQ231" s="508">
        <f>0</f>
        <v>0</v>
      </c>
      <c r="AR231" s="508">
        <f>0</f>
        <v>0</v>
      </c>
      <c r="AS231" s="568">
        <f>-E_EQFe2</f>
        <v>-0.14325364849136002</v>
      </c>
      <c r="AT231" s="508">
        <f>0</f>
        <v>0</v>
      </c>
      <c r="AU231" s="508">
        <f>0</f>
        <v>0</v>
      </c>
      <c r="AV231" s="568">
        <f>0</f>
        <v>0</v>
      </c>
      <c r="AW231" s="508">
        <f>0</f>
        <v>0</v>
      </c>
      <c r="AX231" s="508">
        <f>0</f>
        <v>0</v>
      </c>
      <c r="AY231" s="508">
        <f>0</f>
        <v>0</v>
      </c>
      <c r="AZ231" s="508">
        <f>0</f>
        <v>0</v>
      </c>
      <c r="BA231" s="508">
        <f>0</f>
        <v>0</v>
      </c>
      <c r="BB231" s="508">
        <f>0</f>
        <v>0</v>
      </c>
      <c r="BC231" s="568">
        <f>-1</f>
        <v>-1</v>
      </c>
      <c r="BD231" s="508">
        <f>1</f>
        <v>1</v>
      </c>
      <c r="BE231" s="508">
        <f>0</f>
        <v>0</v>
      </c>
      <c r="BF231" s="508">
        <f>0</f>
        <v>0</v>
      </c>
      <c r="BG231" s="568">
        <f>0</f>
        <v>0</v>
      </c>
      <c r="BH231" s="508">
        <f>0</f>
        <v>0</v>
      </c>
      <c r="BI231" s="568">
        <f>0</f>
        <v>0</v>
      </c>
      <c r="BJ231" s="568">
        <f>0</f>
        <v>0</v>
      </c>
      <c r="BK231" s="508">
        <f>0</f>
        <v>0</v>
      </c>
      <c r="BL231" s="508">
        <f>0</f>
        <v>0</v>
      </c>
      <c r="BM231" s="508">
        <f>0</f>
        <v>0</v>
      </c>
      <c r="BN231" s="568">
        <f>0</f>
        <v>0</v>
      </c>
      <c r="BO231" s="508">
        <f>0</f>
        <v>0</v>
      </c>
      <c r="BP231" s="568">
        <f>0</f>
        <v>0</v>
      </c>
      <c r="BQ231" s="568">
        <f>0</f>
        <v>0</v>
      </c>
      <c r="BR231" s="568">
        <f>0</f>
        <v>0</v>
      </c>
      <c r="BS231" s="568">
        <f>0</f>
        <v>0</v>
      </c>
      <c r="BT231" s="568">
        <f>0</f>
        <v>0</v>
      </c>
      <c r="BU231" s="568">
        <f>0</f>
        <v>0</v>
      </c>
      <c r="BV231" s="568">
        <f>0</f>
        <v>0</v>
      </c>
      <c r="BW231" s="2370">
        <f>0</f>
        <v>0</v>
      </c>
      <c r="BX231" s="2370">
        <f>0</f>
        <v>0</v>
      </c>
      <c r="BY231" s="2370">
        <f>0</f>
        <v>0</v>
      </c>
      <c r="BZ231" s="2370">
        <f>0</f>
        <v>0</v>
      </c>
      <c r="CA231" s="568">
        <f>0</f>
        <v>0</v>
      </c>
      <c r="CB231" s="568">
        <f>0</f>
        <v>0</v>
      </c>
      <c r="CC231" s="568">
        <f>0</f>
        <v>0</v>
      </c>
      <c r="CD231" s="568">
        <f>0</f>
        <v>0</v>
      </c>
      <c r="CE231" s="568">
        <f>0</f>
        <v>0</v>
      </c>
      <c r="CF231" s="568">
        <f>0</f>
        <v>0</v>
      </c>
      <c r="CG231" s="568">
        <f>0</f>
        <v>0</v>
      </c>
      <c r="CH231" s="568">
        <f>0</f>
        <v>0</v>
      </c>
      <c r="CI231" s="568">
        <f>0</f>
        <v>0</v>
      </c>
      <c r="CJ231" s="568">
        <f>0</f>
        <v>0</v>
      </c>
      <c r="CK231" s="568">
        <f>0</f>
        <v>0</v>
      </c>
      <c r="CL231" s="568">
        <f>0</f>
        <v>0</v>
      </c>
      <c r="CM231" s="568">
        <f>0</f>
        <v>0</v>
      </c>
      <c r="CN231" s="568">
        <f>0</f>
        <v>0</v>
      </c>
      <c r="CO231" s="568">
        <f>0</f>
        <v>0</v>
      </c>
      <c r="CP231" s="568">
        <f>0</f>
        <v>0</v>
      </c>
      <c r="CQ231" s="568">
        <f>0</f>
        <v>0</v>
      </c>
      <c r="CR231" s="568">
        <f>0</f>
        <v>0</v>
      </c>
      <c r="CS231" s="568">
        <f>0</f>
        <v>0</v>
      </c>
      <c r="CT231" s="2494">
        <f>q_Fe2_OX_T*S_Fe2*M_satSO2_KO2_OHO</f>
        <v>4.6511627906976739E-49</v>
      </c>
      <c r="CV231" s="2502">
        <f>E266*E231+F266*F231+G266*G231+H266*H231+I266*I231+J266*J231+K266*K231+L266*L231+M266*M231+N266*N231+O266*O231+P266*P231+Q266*Q231+R266*R231+S266*S231+T266*T231+U266*U231+V266*V231+W266*W231+X266*X231+Y266*Y231+Z266*Z231+AA266*AA231+AB266*AB231+AC266*AC231+AD266*AD231+AE266*AE231+AF266*AF231+AG266*AG231+AH266*AH231+AI266*AI231+AJ266*AJ231+AK266*AK231+AL266*AL231+AM266*AM231+AN266*AN231+AO266*AO231+AP266*AP231+AQ266*AQ231+AR266*AR231+AS266*AS231+AT266*AT231+AU266*AU231+AV266*AV231+AW266*AW231+AX266*AX231+AY266*AY231+AZ266*AZ231+BA266*BA231+BB266*BB231+BC266*BC231+BD266*BD231+BE266*BE231+BF266*BF231+BG266*BG231+BH266*BH231+BI266*BI231+BJ266*BJ231+BK266*BK231+BL266*BL231+BM266*BM231+BN266*BN231+BO266*BO231+BP266*BP231+BQ266*BQ231+BR266*BR231+BS266*BS231+BT266*BT231+BU266*BU231+BV266*BV231+BW266*BW231+BX266*BX231+BY266*BY231+BZ266*BZ231+CA266*CA231+CB266*CB231+CC266*CC231+CD266*CD231+CE266*CE231+CF266*CF231+CG266*CG231+CH266*CH231+CI266*CI231+CJ266*CJ231+CK266*CK231+CL266*CL231+CM266*CM231+CN266*CN231+CO266*CO231+CP266*CP231+CQ266*CQ231+CR266*CR231+CS266*CS231</f>
        <v>0</v>
      </c>
      <c r="CW231" s="2502">
        <f>E267*E231+F267*F231+G267*G231+H267*H231+I267*I231+J267*J231+K267*K231+L267*L231+M267*M231+N267*N231+O267*O231+P267*P231+Q267*Q231+R267*R231+S267*S231+T267*T231+U267*U231+V267*V231+W267*W231+X267*X231+Y267*Y231+Z267*Z231+AA267*AA231+AB267*AB231+AC267*AC231+AD267*AD231+AE267*AE231+AF267*AF231+AG267*AG231+AH267*AH231+AI267*AI231+AJ267*AJ231+AK267*AK231+AL267*AL231+AM267*AM231+AN267*AN231+AO267*AO231+AP267*AP231+AQ267*AQ231+AR267*AR231+AS267*AS231+AT267*AT231+AU267*AU231+AV267*AV231+AW267*AW231+AX267*AX231+AY267*AY231+AZ267*AZ231+BA267*BA231+BB267*BB231+BC267*BC231+BD267*BD231+BE267*BE231+BF267*BF231+BG267*BG231+BH267*BH231+BI267*BI231+BJ267*BJ231+BK267*BK231+BL267*BL231+BM267*BM231+BN267*BN231+BO267*BO231+BP267*BP231+BQ267*BQ231+BR267*BR231+BS267*BS231+BT267*BT231+BU267*BU231+BV267*BV231+BW267*BW231+BX267*BX231+BY267*BY231+BZ267*BZ231+CA267*CA231+CB267*CB231+CC267*CC231+CD267*CD231+CE267*CE231+CF267*CF231+CG267*CG231+CH267*CH231+CI267*CI231+CJ267*CJ231+CK267*CK231+CL267*CL231+CM267*CM231+CN267*CN231+CO267*CO231+CP267*CP231+CQ267*CQ231+CR267*CR231+CS267*CS231</f>
        <v>0</v>
      </c>
      <c r="CX231" s="2503">
        <f>E268*E231+F268*F231+G268*G231+H268*H231+I268*I231+J268*J231+K268*K231+L268*L231+M268*M231+N268*N231+O268*O231+P268*P231+Q268*Q231+R268*R231+S268*S231+T268*T231+U268*U231+V268*V231+W268*W231+X268*X231+Y268*Y231+Z268*Z231+AA268*AA231+AB268*AB231+AC268*AC231+AD268*AD231+AE268*AE231+AF268*AF231+AG268*AG231+AH268*AH231+AI268*AI231+AJ268*AJ231+AK268*AK231+AL268*AL231+AM268*AM231+AN268*AN231+AO268*AO231+AP268*AP231+AQ268*AQ231+AR268*AR231+AS268*AS231+AT268*AT231+AU268*AU231+AV268*AV231+AW268*AW231+AX268*AX231+AY268*AY231+AZ268*AZ231+BA268*BA231+BB268*BB231+BC268*BC231+BD268*BD231+BE268*BE231+BF268*BF231+BG268*BG231+BH268*BH231+BI268*BI231+BJ268*BJ231+BK268*BK231+BL268*BL231+BM268*BM231+BN268*BN231+BO268*BO231+BP268*BP231+BQ268*BQ231+BR268*BR231+BS268*BS231+BT268*BT231+BU268*BU231+BV268*BV231+BW268*BW231+BX268*BX231+BY268*BY231+BZ268*BZ231+CA268*CA231+CB268*CB231+CC268*CC231+CD268*CD231+CE268*CE231+CF268*CF231+CG268*CG231+CH268*CH231+CI268*CI231+CJ268*CJ231+CK268*CK231+CL268*CL231+CM268*CM231+CN268*CN231+CO268*CO231+CP268*CP231+CQ268*CQ231+CR268*CR231+CS268*CS231</f>
        <v>0</v>
      </c>
      <c r="CY231" s="2504">
        <f>E269*E231+F269*F231+G269*G231+H269*H231+I269*I231+J269*J231+K269*K231+L269*L231+M269*M231+N269*N231+O269*O231+P269*P231+Q269*Q231+R269*R231+S269*S231+T269*T231+U269*U231+V269*V231+W269*W231+X269*X231+Y269*Y231+Z269*Z231+AA269*AA231+AB269*AB231+AC269*AC231+AD269*AD231+AE269*AE231+AF269*AF231+AG269*AG231+AH269*AH231+AI269*AI231+AJ269*AJ231+AK269*AK231+AL269*AL231+AM269*AM231+AN269*AN231+AO269*AO231+AP269*AP231+AQ269*AQ231+AR269*AR231+AS269*AS231+AT269*AT231+AU269*AU231+AV269*AV231+AW269*AW231+AX269*AX231+AY269*AY231+AZ269*AZ231+BA269*BA231+BB269*BB231+BC269*BC231+BD269*BD231+BE269*BE231+BF269*BF231+BG269*BG231+BH269*BH231+BI269*BI231+BJ269*BJ231+BK269*BK231+BL269*BL231+BM269*BM231+BN269*BN231+BO269*BO231+BP269*BP231+BQ269*BQ231+BR269*BR231+BS269*BS231+BT269*BT231+BU269*BU231+BV269*BV231+BW269*BW231+BX269*BX231+BY269*BY231+BZ269*BZ231+CA269*CA231+CB269*CB231+CC269*CC231+CD269*CD231+CE269*CE231+CF269*CF231+CG269*CG231+CH269*CH231+CI269*CI231+CJ269*CJ231+CK269*CK231+CL269*CL231+CM269*CM231+CN269*CN231+CO269*CO231+CP269*CP231+CQ269*CQ231+CR269*CR231+CS269*CS231</f>
        <v>0</v>
      </c>
      <c r="CZ231" s="2504">
        <f>E270*E231+F270*F231+G270*G231+H270*H231+I270*I231+J270*J231+K270*K231+L270*L231+M270*M231+N270*N231+O270*O231+P270*P231+Q270*Q231+R270*R231+S270*S231+T270*T231+U270*U231+V270*V231+W270*W231+X270*X231+Y270*Y231+Z270*Z231+AA270*AA231+AB270*AB231+AC270*AC231+AD270*AD231+AE270*AE231+AF270*AF231+AG270*AG231+AH270*AH231+AI270*AI231+AJ270*AJ231+AK270*AK231+AL270*AL231+AM270*AM231+AN270*AN231+AO270*AO231+AP270*AP231+AQ270*AQ231+AR270*AR231+AS270*AS231+AT270*AT231+AU270*AU231+AV270*AV231+AW270*AW231+AX270*AX231+AY270*AY231+AZ270*AZ231+BA270*BA231+BB270*BB231+BC270*BC231+BD270*BD231+BE270*BE231+BF270*BF231+BG270*BG231+BH270*BH231+BI270*BI231+BJ270*BJ231+BK270*BK231+BL270*BL231+BM270*BM231+BN270*BN231+BO270*BO231+BP270*BP231+BQ270*BQ231+BR270*BR231+BS270*BS231+BT270*BT231+BU270*BU231+BV270*BV231+BW270*BW231+BX270*BX231+BY270*BY231+BZ270*BZ231+CA270*CA231+CB270*CB231+CC270*CC231+CD270*CD231+CE270*CE231+CF270*CF231+CG270*CG231+CH270*CH231+CI270*CI231+CJ270*CJ231+CK270*CK231+CL270*CL231+CM270*CM231+CN270*CN231+CO270*CO231+CP270*CP231+CQ270*CQ231+CR270*CR231+CS270*CS231</f>
        <v>0</v>
      </c>
      <c r="DA231" s="2504">
        <f>E271*E231+F271*F231+G271*G231+H271*H231+I271*I231+J271*J231+K271*K231+L271*L231+M271*M231+N271*N231+O271*O231+P271*P231+Q271*Q231+R271*R231+S271*S231+T271*T231+U271*U231+V271*V231+W271*W231+X271*X231+Y271*Y231+Z271*Z231+AA271*AA231+AB271*AB231+AC271*AC231+AD271*AD231+AE271*AE231+AF271*AF231+AG271*AG231+AH271*AH231+AI271*AI231+AJ271*AJ231+AK271*AK231+AL271*AL231+AM271*AM231+AN271*AN231+AO271*AO231+AP271*AP231+AQ271*AQ231+AR271*AR231+AS271*AS231+AT271*AT231+AU271*AU231+AV271*AV231+AW271*AW231+AX271*AX231+AY271*AY231+AZ271*AZ231+BA271*BA231+BB271*BB231+BC271*BC231+BD271*BD231+BE271*BE231+BF271*BF231+BG271*BG231+BH271*BH231+BI271*BI231+BJ271*BJ231+BK271*BK231+BL271*BL231+BM271*BM231+BN271*BN231+BO271*BO231+BP271*BP231+BQ271*BQ231+BR271*BR231+BS271*BS231+BT271*BT231+BU271*BU231+BV271*BV231+BW271*BW231+BX271*BX231+BY271*BY231+BZ271*BZ231+CA271*CA231+CB271*CB231+CC271*CC231+CD271*CD231+CE271*CE231+CF271*CF231+CG271*CG231+CH271*CH231+CI271*CI231+CJ271*CJ231+CK271*CK231+CL271*CL231+CM271*CM231+CN271*CN231+CO271*CO231+CP271*CP231+CQ271*CQ231+CR271*CR231+CS271*CS231</f>
        <v>0</v>
      </c>
      <c r="DB231" s="2504">
        <f>E272*E231+F272*F231+G272*G231+H272*H231+I272*I231+J272*J231+K272*K231+L272*L231+M272*M231+N272*N231+O272*O231+P272*P231+Q272*Q231+R272*R231+S272*S231+T272*T231+U272*U231+V272*V231+W272*W231+X272*X231+Y272*Y231+Z272*Z231+AA272*AA231+AB272*AB231+AC272*AC231+AD272*AD231+AE272*AE231+AF272*AF231+AG272*AG231+AH272*AH231+AI272*AI231+AJ272*AJ231+AK272*AK231+AL272*AL231+AM272*AM231+AN272*AN231+AO272*AO231+AP272*AP231+AQ272*AQ231+AR272*AR231+AS272*AS231+AT272*AT231+AU272*AU231+AV272*AV231+AW272*AW231+AX272*AX231+AY272*AY231+AZ272*AZ231+BA272*BA231+BB272*BB231+BC272*BC231+BD272*BD231+BE272*BE231+BF272*BF231+BG272*BG231+BH272*BH231+BI272*BI231+BJ272*BJ231+BK272*BK231+BL272*BL231+BM272*BM231+BN272*BN231+BO272*BO231+BP272*BP231+BQ272*BQ231+BR272*BR231+BS272*BS231+BT272*BT231+BU272*BU231+BV272*BV231+BW272*BW231+BX272*BX231+BY272*BY231+BZ272*BZ231+CA272*CA231+CB272*CB231+CC272*CC231+CD272*CD231+CE272*CE231+CF272*CF231+CG272*CG231+CH272*CH231+CI272*CI231+CJ272*CJ231+CK272*CK231+CL272*CL231+CM272*CM231+CN272*CN231+CO272*CO231+CP272*CP231+CQ272*CQ231+CR272*CR231+CS272*CS231</f>
        <v>0</v>
      </c>
      <c r="DC231" s="2504">
        <f>E273*E231+F273*F231+G273*G231+H273*H231+I273*I231+J273*J231+K273*K231+L273*L231+M273*M231+N273*N231+O273*O231+P273*P231+Q273*Q231+R273*R231+S273*S231+T273*T231+U273*U231+V273*V231+W273*W231+X273*X231+Y273*Y231+Z273*Z231+AA273*AA231+AB273*AB231+AC273*AC231+AD273*AD231+AE273*AE231+AF273*AF231+AG273*AG231+AH273*AH231+AI273*AI231+AJ273*AJ231+AK273*AK231+AL273*AL231+AM273*AM231+AN273*AN231+AO273*AO231+AP273*AP231+AQ273*AQ231+AR273*AR231+AS273*AS231+AT273*AT231+AU273*AU231+AV273*AV231+AW273*AW231+AX273*AX231+AY273*AY231+AZ273*AZ231+BA273*BA231+BB273*BB231+BC273*BC231+BD273*BD231+BE273*BE231+BF273*BF231+BG273*BG231+BH273*BH231+BI273*BI231+BJ273*BJ231+BK273*BK231+BL273*BL231+BM273*BM231+BN273*BN231+BO273*BO231+BP273*BP231+BQ273*BQ231+BR273*BR231+BS273*BS231+BT273*BT231+BU273*BU231+BV273*BV231+BW273*BW231+BX273*BX231+BY273*BY231+BZ273*BZ231+CA273*CA231+CB273*CB231+CC273*CC231+CD273*CD231+CE273*CE231+CF273*CF231+CG273*CG231+CH273*CH231+CI273*CI231+CJ273*CJ231+CK273*CK231+CL273*CL231+CM273*CM231+CN273*CN231+CO273*CO231+CP273*CP231+CQ273*CQ231+CR273*CR231+CS273*CS231</f>
        <v>0</v>
      </c>
      <c r="DD231" s="2504">
        <f>E274*E231+F274*F231+G274*G231+H274*H231+I274*I231+J274*J231+K274*K231+L274*L231+M274*M231+N274*N231+O274*O231+P274*P231+Q274*Q231+R274*R231+S274*S231+T274*T231+U274*U231+V274*V231+W274*W231+X274*X231+Y274*Y231+Z274*Z231+AA274*AA231+AB274*AB231+AC274*AC231+AD274*AD231+AE274*AE231+AF274*AF231+AG274*AG231+AH274*AH231+AI274*AI231+AJ274*AJ231+AK274*AK231+AL274*AL231+AM274*AM231+AN274*AN231+AO274*AO231+AP274*AP231+AQ274*AQ231+AR274*AR231+AS274*AS231+AT274*AT231+AU274*AU231+AV274*AV231+AW274*AW231+AX274*AX231+AY274*AY231+AZ274*AZ231+BA274*BA231+BB274*BB231+BC274*BC231+BD274*BD231+BE274*BE231+BF274*BF231+BG274*BG231+BH274*BH231+BI274*BI231+BJ274*BJ231+BK274*BK231+BL274*BL231+BM274*BM231+BN274*BN231+BO274*BO231+BP274*BP231+BQ274*BQ231+BR274*BR231+BS274*BS231+BT274*BT231+BU274*BU231+BV274*BV231+BW274*BW231+BX274*BX231+BY274*BY231+BZ274*BZ231+CA274*CA231+CB274*CB231+CC274*CC231+CD274*CD231+CE274*CE231+CF274*CF231+CG274*CG231+CH274*CH231+CI274*CI231+CJ274*CJ231+CK274*CK231+CL274*CL231+CM274*CM231+CN274*CN231+CO274*CO231+CP274*CP231+CQ274*CQ231+CR274*CR231+CS274*CS231</f>
        <v>0</v>
      </c>
      <c r="DE231" s="2504">
        <f>E275*E231+F275*F231+G275*G231+H275*H231+I275*I231+J275*J231+K275*K231+L275*L231+M275*M231+N275*N231+O275*O231+P275*P231+Q275*Q231+R275*R231+S275*S231+T275*T231+U275*U231+V275*V231+W275*W231+X275*X231+Y275*Y231+Z275*Z231+AA275*AA231+AB275*AB231+AC275*AC231+AD275*AD231+AE275*AE231+AF275*AF231+AG275*AG231+AH275*AH231+AI275*AI231+AJ275*AJ231+AK275*AK231+AL275*AL231+AM275*AM231+AN275*AN231+AO275*AO231+AP275*AP231+AQ275*AQ231+AR275*AR231+AS275*AS231+AT275*AT231+AU275*AU231+AV275*AV231+AW275*AW231+AX275*AX231+AY275*AY231+AZ275*AZ231+BA275*BA231+BB275*BB231+BC275*BC231+BD275*BD231+BE275*BE231+BF275*BF231+BG275*BG231+BH275*BH231+BI275*BI231+BJ275*BJ231+BK275*BK231+BL275*BL231+BM275*BM231+BN275*BN231+BO275*BO231+BP275*BP231+BQ275*BQ231+BR275*BR231+BS275*BS231+BT275*BT231+BU275*BU231+BV275*BV231+BW275*BW231+BX275*BX231+BY275*BY231+BZ275*BZ231+CA275*CA231+CB275*CB231+CC275*CC231+CD275*CD231+CE275*CE231+CF275*CF231+CG275*CG231+CH275*CH231+CI275*CI231+CJ275*CJ231+CK275*CK231+CL275*CL231+CM275*CM231+CN275*CN231+CO275*CO231+CP275*CP231+CQ275*CQ231+CR275*CR231+CS275*CS231</f>
        <v>0</v>
      </c>
      <c r="DF231" s="2504">
        <f>E276*E231+F276*F231+G276*G231+H276*H231+I276*I231+J276*J231+K276*K231+L276*L231+M276*M231+N276*N231+O276*O231+P276*P231+Q276*Q231+R276*R231+S276*S231+T276*T231+U276*U231+V276*V231+W276*W231+X276*X231+Y276*Y231+Z276*Z231+AA276*AA231+AB276*AB231+AC276*AC231+AD276*AD231+AE276*AE231+AF276*AF231+AG276*AG231+AH276*AH231+AI276*AI231+AJ276*AJ231+AK276*AK231+AL276*AL231+AM276*AM231+AN276*AN231+AO276*AO231+AP276*AP231+AQ276*AQ231+AR276*AR231+AS276*AS231+AT276*AT231+AU276*AU231+AV276*AV231+AW276*AW231+AX276*AX231+AY276*AY231+AZ276*AZ231+BA276*BA231+BB276*BB231+BC276*BC231+BD276*BD231+BE276*BE231+BF276*BF231+BG276*BG231+BH276*BH231+BI276*BI231+BJ276*BJ231+BK276*BK231+BL276*BL231+BM276*BM231+BN276*BN231+BO276*BO231+BP276*BP231+BQ276*BQ231+BR276*BR231+BS276*BS231+BT276*BT231+BU276*BU231+BV276*BV231+BW276*BW231+BX276*BX231+BY276*BY231+BZ276*BZ231+CA276*CA231+CB276*CB231+CC276*CC231+CD276*CD231+CE276*CE231+CF276*CF231+CG276*CG231+CH276*CH231+CI276*CI231+CJ276*CJ231+CK276*CK231+CL276*CL231+CM276*CM231+CN276*CN231+CO276*CO231+CP276*CP231+CQ276*CQ231+CR276*CR231+CS276*CS231</f>
        <v>0</v>
      </c>
    </row>
    <row r="232" spans="2:110" x14ac:dyDescent="0.25">
      <c r="B232" s="1532">
        <v>90</v>
      </c>
      <c r="C232" s="1406" t="s">
        <v>3098</v>
      </c>
      <c r="D232" s="1407" t="s">
        <v>4182</v>
      </c>
      <c r="E232" s="506">
        <f>0</f>
        <v>0</v>
      </c>
      <c r="F232" s="506">
        <f>0</f>
        <v>0</v>
      </c>
      <c r="G232" s="506">
        <f>0</f>
        <v>0</v>
      </c>
      <c r="H232" s="506">
        <f>0</f>
        <v>0</v>
      </c>
      <c r="I232" s="506">
        <f>0</f>
        <v>0</v>
      </c>
      <c r="J232" s="506">
        <f>0</f>
        <v>0</v>
      </c>
      <c r="K232" s="506">
        <f>0</f>
        <v>0</v>
      </c>
      <c r="L232" s="506">
        <f>0</f>
        <v>0</v>
      </c>
      <c r="M232" s="506">
        <f>0</f>
        <v>0</v>
      </c>
      <c r="N232" s="506">
        <f>0</f>
        <v>0</v>
      </c>
      <c r="O232" s="506">
        <f>0</f>
        <v>0</v>
      </c>
      <c r="P232" s="506">
        <f>0</f>
        <v>0</v>
      </c>
      <c r="Q232" s="506">
        <f>0</f>
        <v>0</v>
      </c>
      <c r="R232" s="556">
        <f>0</f>
        <v>0</v>
      </c>
      <c r="S232" s="506">
        <f>0</f>
        <v>0</v>
      </c>
      <c r="T232" s="506">
        <f>0</f>
        <v>0</v>
      </c>
      <c r="U232" s="506">
        <f>0</f>
        <v>0</v>
      </c>
      <c r="V232" s="506">
        <f>0</f>
        <v>0</v>
      </c>
      <c r="W232" s="506">
        <f>0</f>
        <v>0</v>
      </c>
      <c r="X232" s="506">
        <f>0</f>
        <v>0</v>
      </c>
      <c r="Y232" s="506">
        <f>0</f>
        <v>0</v>
      </c>
      <c r="Z232" s="506">
        <f>0</f>
        <v>0</v>
      </c>
      <c r="AA232" s="506">
        <f>0</f>
        <v>0</v>
      </c>
      <c r="AB232" s="506">
        <f>0</f>
        <v>0</v>
      </c>
      <c r="AC232" s="506">
        <f>0</f>
        <v>0</v>
      </c>
      <c r="AD232" s="506">
        <f>0</f>
        <v>0</v>
      </c>
      <c r="AE232" s="1587">
        <f>0</f>
        <v>0</v>
      </c>
      <c r="AF232" s="1587">
        <f>0</f>
        <v>0</v>
      </c>
      <c r="AG232" s="506">
        <f>0</f>
        <v>0</v>
      </c>
      <c r="AH232" s="506">
        <f>0</f>
        <v>0</v>
      </c>
      <c r="AI232" s="506">
        <f>0</f>
        <v>0</v>
      </c>
      <c r="AJ232" s="506">
        <f>0</f>
        <v>0</v>
      </c>
      <c r="AK232" s="506">
        <f>0</f>
        <v>0</v>
      </c>
      <c r="AL232" s="506">
        <f>0</f>
        <v>0</v>
      </c>
      <c r="AM232" s="1587">
        <f>0</f>
        <v>0</v>
      </c>
      <c r="AN232" s="506">
        <f>0</f>
        <v>0</v>
      </c>
      <c r="AO232" s="556">
        <f>0</f>
        <v>0</v>
      </c>
      <c r="AP232" s="506">
        <f>0</f>
        <v>0</v>
      </c>
      <c r="AQ232" s="506">
        <f>0</f>
        <v>0</v>
      </c>
      <c r="AR232" s="506">
        <f>0</f>
        <v>0</v>
      </c>
      <c r="AS232" s="556">
        <f>0</f>
        <v>0</v>
      </c>
      <c r="AT232" s="506">
        <f>0</f>
        <v>0</v>
      </c>
      <c r="AU232" s="506">
        <f>0</f>
        <v>0</v>
      </c>
      <c r="AV232" s="506">
        <f>0</f>
        <v>0</v>
      </c>
      <c r="AW232" s="506">
        <f>0</f>
        <v>0</v>
      </c>
      <c r="AX232" s="506">
        <f>0</f>
        <v>0</v>
      </c>
      <c r="AY232" s="506">
        <f>0</f>
        <v>0</v>
      </c>
      <c r="AZ232" s="556">
        <f>0</f>
        <v>0</v>
      </c>
      <c r="BA232" s="506">
        <f>0</f>
        <v>0</v>
      </c>
      <c r="BB232" s="506">
        <f>0</f>
        <v>0</v>
      </c>
      <c r="BC232" s="506">
        <f>0</f>
        <v>0</v>
      </c>
      <c r="BD232" s="556">
        <f>0</f>
        <v>0</v>
      </c>
      <c r="BE232" s="506">
        <f>0</f>
        <v>0</v>
      </c>
      <c r="BF232" s="556">
        <f>0</f>
        <v>0</v>
      </c>
      <c r="BG232" s="556">
        <f>0</f>
        <v>0</v>
      </c>
      <c r="BH232" s="1588">
        <f>0</f>
        <v>0</v>
      </c>
      <c r="BI232" s="1588">
        <f>0</f>
        <v>0</v>
      </c>
      <c r="BJ232" s="506">
        <f>0</f>
        <v>0</v>
      </c>
      <c r="BK232" s="1588">
        <f>-X_HAO_H/(X_HAO_H+X_HAO_H_P)</f>
        <v>-0.5</v>
      </c>
      <c r="BL232" s="1588">
        <f>X_HAO_H/(X_HAO_H+X_HAO_H_P)</f>
        <v>0.5</v>
      </c>
      <c r="BM232" s="506">
        <f>0</f>
        <v>0</v>
      </c>
      <c r="BN232" s="1588">
        <f>-X_HAO_H_P/(X_HAO_H+X_HAO_H_P)</f>
        <v>-0.5</v>
      </c>
      <c r="BO232" s="506">
        <f>0</f>
        <v>0</v>
      </c>
      <c r="BP232" s="1588">
        <f>X_HAO_H_P/(X_HAO_H+X_HAO_H_P)</f>
        <v>0.5</v>
      </c>
      <c r="BQ232" s="506">
        <f>0</f>
        <v>0</v>
      </c>
      <c r="BR232" s="556">
        <f>0</f>
        <v>0</v>
      </c>
      <c r="BS232" s="556">
        <f>0</f>
        <v>0</v>
      </c>
      <c r="BT232" s="556">
        <f>0</f>
        <v>0</v>
      </c>
      <c r="BU232" s="556">
        <f>0</f>
        <v>0</v>
      </c>
      <c r="BV232" s="556">
        <f>0</f>
        <v>0</v>
      </c>
      <c r="BW232" s="2371">
        <f>0</f>
        <v>0</v>
      </c>
      <c r="BX232" s="2371">
        <f>0</f>
        <v>0</v>
      </c>
      <c r="BY232" s="2371">
        <f>0</f>
        <v>0</v>
      </c>
      <c r="BZ232" s="2371">
        <f>0</f>
        <v>0</v>
      </c>
      <c r="CA232" s="556">
        <f>0</f>
        <v>0</v>
      </c>
      <c r="CB232" s="556">
        <f>0</f>
        <v>0</v>
      </c>
      <c r="CC232" s="556">
        <f>0</f>
        <v>0</v>
      </c>
      <c r="CD232" s="556">
        <f>0</f>
        <v>0</v>
      </c>
      <c r="CE232" s="556">
        <f>0</f>
        <v>0</v>
      </c>
      <c r="CF232" s="556">
        <f>0</f>
        <v>0</v>
      </c>
      <c r="CG232" s="556">
        <f>0</f>
        <v>0</v>
      </c>
      <c r="CH232" s="556">
        <f>0</f>
        <v>0</v>
      </c>
      <c r="CI232" s="556">
        <f>0</f>
        <v>0</v>
      </c>
      <c r="CJ232" s="556">
        <f>0</f>
        <v>0</v>
      </c>
      <c r="CK232" s="556">
        <f>0</f>
        <v>0</v>
      </c>
      <c r="CL232" s="556">
        <f>0</f>
        <v>0</v>
      </c>
      <c r="CM232" s="556">
        <f>0</f>
        <v>0</v>
      </c>
      <c r="CN232" s="556">
        <f>0</f>
        <v>0</v>
      </c>
      <c r="CO232" s="556">
        <f>0</f>
        <v>0</v>
      </c>
      <c r="CP232" s="556">
        <f>0</f>
        <v>0</v>
      </c>
      <c r="CQ232" s="556">
        <f>0</f>
        <v>0</v>
      </c>
      <c r="CR232" s="556">
        <f>0</f>
        <v>0</v>
      </c>
      <c r="CS232" s="556">
        <f>0</f>
        <v>0</v>
      </c>
      <c r="CT232" s="2491">
        <f>q_HAOH_AGING*(X_HAO_H+X_HAO_H_P)</f>
        <v>1.5E-48</v>
      </c>
      <c r="CV232" s="2502">
        <f>E266*E232+F266*F232+G266*G232+H266*H232+I266*I232+J266*J232+K266*K232+L266*L232+M266*M232+N266*N232+O266*O232+P266*P232+Q266*Q232+R266*R232+S266*S232+T266*T232+U266*U232+V266*V232+W266*W232+X266*X232+Y266*Y232+Z266*Z232+AA266*AA232+AB266*AB232+AC266*AC232+AD266*AD232+AE266*AE232+AF266*AF232+AG266*AG232+AH266*AH232+AI266*AI232+AJ266*AJ232+AK266*AK232+AL266*AL232+AM266*AM232+AN266*AN232+AO266*AO232+AP266*AP232+AQ266*AQ232+AR266*AR232+AS266*AS232+AT266*AT232+AU266*AU232+AV266*AV232+AW266*AW232+AX266*AX232+AY266*AY232+AZ266*AZ232+BA266*BA232+BB266*BB232+BC266*BC232+BD266*BD232+BE266*BE232+BF266*BF232+BG266*BG232+BH266*BH232+BI266*BI232+BJ266*BJ232+BK266*BK232+BL266*BL232+BM266*BM232+BN266*BN232+BO266*BO232+BP266*BP232+BQ266*BQ232+BR266*BR232+BS266*BS232+BT266*BT232+BU266*BU232+BV266*BV232+BW266*BW232+BX266*BX232+BY266*BY232+BZ266*BZ232+CA266*CA232+CB266*CB232+CC266*CC232+CD266*CD232+CE266*CE232+CF266*CF232+CG266*CG232+CH266*CH232+CI266*CI232+CJ266*CJ232+CK266*CK232+CL266*CL232+CM266*CM232+CN266*CN232+CO266*CO232+CP266*CP232+CQ266*CQ232+CR266*CR232+CS266*CS232</f>
        <v>0</v>
      </c>
      <c r="CW232" s="2502">
        <f>E267*E232+F267*F232+G267*G232+H267*H232+I267*I232+J267*J232+K267*K232+L267*L232+M267*M232+N267*N232+O267*O232+P267*P232+Q267*Q232+R267*R232+S267*S232+T267*T232+U267*U232+V267*V232+W267*W232+X267*X232+Y267*Y232+Z267*Z232+AA267*AA232+AB267*AB232+AC267*AC232+AD267*AD232+AE267*AE232+AF267*AF232+AG267*AG232+AH267*AH232+AI267*AI232+AJ267*AJ232+AK267*AK232+AL267*AL232+AM267*AM232+AN267*AN232+AO267*AO232+AP267*AP232+AQ267*AQ232+AR267*AR232+AS267*AS232+AT267*AT232+AU267*AU232+AV267*AV232+AW267*AW232+AX267*AX232+AY267*AY232+AZ267*AZ232+BA267*BA232+BB267*BB232+BC267*BC232+BD267*BD232+BE267*BE232+BF267*BF232+BG267*BG232+BH267*BH232+BI267*BI232+BJ267*BJ232+BK267*BK232+BL267*BL232+BM267*BM232+BN267*BN232+BO267*BO232+BP267*BP232+BQ267*BQ232+BR267*BR232+BS267*BS232+BT267*BT232+BU267*BU232+BV267*BV232+BW267*BW232+BX267*BX232+BY267*BY232+BZ267*BZ232+CA267*CA232+CB267*CB232+CC267*CC232+CD267*CD232+CE267*CE232+CF267*CF232+CG267*CG232+CH267*CH232+CI267*CI232+CJ267*CJ232+CK267*CK232+CL267*CL232+CM267*CM232+CN267*CN232+CO267*CO232+CP267*CP232+CQ267*CQ232+CR267*CR232+CS267*CS232</f>
        <v>0</v>
      </c>
      <c r="CX232" s="2503">
        <f>E268*E232+F268*F232+G268*G232+H268*H232+I268*I232+J268*J232+K268*K232+L268*L232+M268*M232+N268*N232+O268*O232+P268*P232+Q268*Q232+R268*R232+S268*S232+T268*T232+U268*U232+V268*V232+W268*W232+X268*X232+Y268*Y232+Z268*Z232+AA268*AA232+AB268*AB232+AC268*AC232+AD268*AD232+AE268*AE232+AF268*AF232+AG268*AG232+AH268*AH232+AI268*AI232+AJ268*AJ232+AK268*AK232+AL268*AL232+AM268*AM232+AN268*AN232+AO268*AO232+AP268*AP232+AQ268*AQ232+AR268*AR232+AS268*AS232+AT268*AT232+AU268*AU232+AV268*AV232+AW268*AW232+AX268*AX232+AY268*AY232+AZ268*AZ232+BA268*BA232+BB268*BB232+BC268*BC232+BD268*BD232+BE268*BE232+BF268*BF232+BG268*BG232+BH268*BH232+BI268*BI232+BJ268*BJ232+BK268*BK232+BL268*BL232+BM268*BM232+BN268*BN232+BO268*BO232+BP268*BP232+BQ268*BQ232+BR268*BR232+BS268*BS232+BT268*BT232+BU268*BU232+BV268*BV232+BW268*BW232+BX268*BX232+BY268*BY232+BZ268*BZ232+CA268*CA232+CB268*CB232+CC268*CC232+CD268*CD232+CE268*CE232+CF268*CF232+CG268*CG232+CH268*CH232+CI268*CI232+CJ268*CJ232+CK268*CK232+CL268*CL232+CM268*CM232+CN268*CN232+CO268*CO232+CP268*CP232+CQ268*CQ232+CR268*CR232+CS268*CS232</f>
        <v>0</v>
      </c>
      <c r="CY232" s="2504">
        <f>E269*E232+F269*F232+G269*G232+H269*H232+I269*I232+J269*J232+K269*K232+L269*L232+M269*M232+N269*N232+O269*O232+P269*P232+Q269*Q232+R269*R232+S269*S232+T269*T232+U269*U232+V269*V232+W269*W232+X269*X232+Y269*Y232+Z269*Z232+AA269*AA232+AB269*AB232+AC269*AC232+AD269*AD232+AE269*AE232+AF269*AF232+AG269*AG232+AH269*AH232+AI269*AI232+AJ269*AJ232+AK269*AK232+AL269*AL232+AM269*AM232+AN269*AN232+AO269*AO232+AP269*AP232+AQ269*AQ232+AR269*AR232+AS269*AS232+AT269*AT232+AU269*AU232+AV269*AV232+AW269*AW232+AX269*AX232+AY269*AY232+AZ269*AZ232+BA269*BA232+BB269*BB232+BC269*BC232+BD269*BD232+BE269*BE232+BF269*BF232+BG269*BG232+BH269*BH232+BI269*BI232+BJ269*BJ232+BK269*BK232+BL269*BL232+BM269*BM232+BN269*BN232+BO269*BO232+BP269*BP232+BQ269*BQ232+BR269*BR232+BS269*BS232+BT269*BT232+BU269*BU232+BV269*BV232+BW269*BW232+BX269*BX232+BY269*BY232+BZ269*BZ232+CA269*CA232+CB269*CB232+CC269*CC232+CD269*CD232+CE269*CE232+CF269*CF232+CG269*CG232+CH269*CH232+CI269*CI232+CJ269*CJ232+CK269*CK232+CL269*CL232+CM269*CM232+CN269*CN232+CO269*CO232+CP269*CP232+CQ269*CQ232+CR269*CR232+CS269*CS232</f>
        <v>0</v>
      </c>
      <c r="CZ232" s="2504">
        <f>E270*E232+F270*F232+G270*G232+H270*H232+I270*I232+J270*J232+K270*K232+L270*L232+M270*M232+N270*N232+O270*O232+P270*P232+Q270*Q232+R270*R232+S270*S232+T270*T232+U270*U232+V270*V232+W270*W232+X270*X232+Y270*Y232+Z270*Z232+AA270*AA232+AB270*AB232+AC270*AC232+AD270*AD232+AE270*AE232+AF270*AF232+AG270*AG232+AH270*AH232+AI270*AI232+AJ270*AJ232+AK270*AK232+AL270*AL232+AM270*AM232+AN270*AN232+AO270*AO232+AP270*AP232+AQ270*AQ232+AR270*AR232+AS270*AS232+AT270*AT232+AU270*AU232+AV270*AV232+AW270*AW232+AX270*AX232+AY270*AY232+AZ270*AZ232+BA270*BA232+BB270*BB232+BC270*BC232+BD270*BD232+BE270*BE232+BF270*BF232+BG270*BG232+BH270*BH232+BI270*BI232+BJ270*BJ232+BK270*BK232+BL270*BL232+BM270*BM232+BN270*BN232+BO270*BO232+BP270*BP232+BQ270*BQ232+BR270*BR232+BS270*BS232+BT270*BT232+BU270*BU232+BV270*BV232+BW270*BW232+BX270*BX232+BY270*BY232+BZ270*BZ232+CA270*CA232+CB270*CB232+CC270*CC232+CD270*CD232+CE270*CE232+CF270*CF232+CG270*CG232+CH270*CH232+CI270*CI232+CJ270*CJ232+CK270*CK232+CL270*CL232+CM270*CM232+CN270*CN232+CO270*CO232+CP270*CP232+CQ270*CQ232+CR270*CR232+CS270*CS232</f>
        <v>0</v>
      </c>
      <c r="DA232" s="2504">
        <f>E271*E232+F271*F232+G271*G232+H271*H232+I271*I232+J271*J232+K271*K232+L271*L232+M271*M232+N271*N232+O271*O232+P271*P232+Q271*Q232+R271*R232+S271*S232+T271*T232+U271*U232+V271*V232+W271*W232+X271*X232+Y271*Y232+Z271*Z232+AA271*AA232+AB271*AB232+AC271*AC232+AD271*AD232+AE271*AE232+AF271*AF232+AG271*AG232+AH271*AH232+AI271*AI232+AJ271*AJ232+AK271*AK232+AL271*AL232+AM271*AM232+AN271*AN232+AO271*AO232+AP271*AP232+AQ271*AQ232+AR271*AR232+AS271*AS232+AT271*AT232+AU271*AU232+AV271*AV232+AW271*AW232+AX271*AX232+AY271*AY232+AZ271*AZ232+BA271*BA232+BB271*BB232+BC271*BC232+BD271*BD232+BE271*BE232+BF271*BF232+BG271*BG232+BH271*BH232+BI271*BI232+BJ271*BJ232+BK271*BK232+BL271*BL232+BM271*BM232+BN271*BN232+BO271*BO232+BP271*BP232+BQ271*BQ232+BR271*BR232+BS271*BS232+BT271*BT232+BU271*BU232+BV271*BV232+BW271*BW232+BX271*BX232+BY271*BY232+BZ271*BZ232+CA271*CA232+CB271*CB232+CC271*CC232+CD271*CD232+CE271*CE232+CF271*CF232+CG271*CG232+CH271*CH232+CI271*CI232+CJ271*CJ232+CK271*CK232+CL271*CL232+CM271*CM232+CN271*CN232+CO271*CO232+CP271*CP232+CQ271*CQ232+CR271*CR232+CS271*CS232</f>
        <v>0</v>
      </c>
      <c r="DB232" s="2504">
        <f>E272*E232+F272*F232+G272*G232+H272*H232+I272*I232+J272*J232+K272*K232+L272*L232+M272*M232+N272*N232+O272*O232+P272*P232+Q272*Q232+R272*R232+S272*S232+T272*T232+U272*U232+V272*V232+W272*W232+X272*X232+Y272*Y232+Z272*Z232+AA272*AA232+AB272*AB232+AC272*AC232+AD272*AD232+AE272*AE232+AF272*AF232+AG272*AG232+AH272*AH232+AI272*AI232+AJ272*AJ232+AK272*AK232+AL272*AL232+AM272*AM232+AN272*AN232+AO272*AO232+AP272*AP232+AQ272*AQ232+AR272*AR232+AS272*AS232+AT272*AT232+AU272*AU232+AV272*AV232+AW272*AW232+AX272*AX232+AY272*AY232+AZ272*AZ232+BA272*BA232+BB272*BB232+BC272*BC232+BD272*BD232+BE272*BE232+BF272*BF232+BG272*BG232+BH272*BH232+BI272*BI232+BJ272*BJ232+BK272*BK232+BL272*BL232+BM272*BM232+BN272*BN232+BO272*BO232+BP272*BP232+BQ272*BQ232+BR272*BR232+BS272*BS232+BT272*BT232+BU272*BU232+BV272*BV232+BW272*BW232+BX272*BX232+BY272*BY232+BZ272*BZ232+CA272*CA232+CB272*CB232+CC272*CC232+CD272*CD232+CE272*CE232+CF272*CF232+CG272*CG232+CH272*CH232+CI272*CI232+CJ272*CJ232+CK272*CK232+CL272*CL232+CM272*CM232+CN272*CN232+CO272*CO232+CP272*CP232+CQ272*CQ232+CR272*CR232+CS272*CS232</f>
        <v>0</v>
      </c>
      <c r="DC232" s="2504">
        <f>E273*E232+F273*F232+G273*G232+H273*H232+I273*I232+J273*J232+K273*K232+L273*L232+M273*M232+N273*N232+O273*O232+P273*P232+Q273*Q232+R273*R232+S273*S232+T273*T232+U273*U232+V273*V232+W273*W232+X273*X232+Y273*Y232+Z273*Z232+AA273*AA232+AB273*AB232+AC273*AC232+AD273*AD232+AE273*AE232+AF273*AF232+AG273*AG232+AH273*AH232+AI273*AI232+AJ273*AJ232+AK273*AK232+AL273*AL232+AM273*AM232+AN273*AN232+AO273*AO232+AP273*AP232+AQ273*AQ232+AR273*AR232+AS273*AS232+AT273*AT232+AU273*AU232+AV273*AV232+AW273*AW232+AX273*AX232+AY273*AY232+AZ273*AZ232+BA273*BA232+BB273*BB232+BC273*BC232+BD273*BD232+BE273*BE232+BF273*BF232+BG273*BG232+BH273*BH232+BI273*BI232+BJ273*BJ232+BK273*BK232+BL273*BL232+BM273*BM232+BN273*BN232+BO273*BO232+BP273*BP232+BQ273*BQ232+BR273*BR232+BS273*BS232+BT273*BT232+BU273*BU232+BV273*BV232+BW273*BW232+BX273*BX232+BY273*BY232+BZ273*BZ232+CA273*CA232+CB273*CB232+CC273*CC232+CD273*CD232+CE273*CE232+CF273*CF232+CG273*CG232+CH273*CH232+CI273*CI232+CJ273*CJ232+CK273*CK232+CL273*CL232+CM273*CM232+CN273*CN232+CO273*CO232+CP273*CP232+CQ273*CQ232+CR273*CR232+CS273*CS232</f>
        <v>0</v>
      </c>
      <c r="DD232" s="2504">
        <f>E274*E232+F274*F232+G274*G232+H274*H232+I274*I232+J274*J232+K274*K232+L274*L232+M274*M232+N274*N232+O274*O232+P274*P232+Q274*Q232+R274*R232+S274*S232+T274*T232+U274*U232+V274*V232+W274*W232+X274*X232+Y274*Y232+Z274*Z232+AA274*AA232+AB274*AB232+AC274*AC232+AD274*AD232+AE274*AE232+AF274*AF232+AG274*AG232+AH274*AH232+AI274*AI232+AJ274*AJ232+AK274*AK232+AL274*AL232+AM274*AM232+AN274*AN232+AO274*AO232+AP274*AP232+AQ274*AQ232+AR274*AR232+AS274*AS232+AT274*AT232+AU274*AU232+AV274*AV232+AW274*AW232+AX274*AX232+AY274*AY232+AZ274*AZ232+BA274*BA232+BB274*BB232+BC274*BC232+BD274*BD232+BE274*BE232+BF274*BF232+BG274*BG232+BH274*BH232+BI274*BI232+BJ274*BJ232+BK274*BK232+BL274*BL232+BM274*BM232+BN274*BN232+BO274*BO232+BP274*BP232+BQ274*BQ232+BR274*BR232+BS274*BS232+BT274*BT232+BU274*BU232+BV274*BV232+BW274*BW232+BX274*BX232+BY274*BY232+BZ274*BZ232+CA274*CA232+CB274*CB232+CC274*CC232+CD274*CD232+CE274*CE232+CF274*CF232+CG274*CG232+CH274*CH232+CI274*CI232+CJ274*CJ232+CK274*CK232+CL274*CL232+CM274*CM232+CN274*CN232+CO274*CO232+CP274*CP232+CQ274*CQ232+CR274*CR232+CS274*CS232</f>
        <v>0</v>
      </c>
      <c r="DE232" s="2504">
        <f>E275*E232+F275*F232+G275*G232+H275*H232+I275*I232+J275*J232+K275*K232+L275*L232+M275*M232+N275*N232+O275*O232+P275*P232+Q275*Q232+R275*R232+S275*S232+T275*T232+U275*U232+V275*V232+W275*W232+X275*X232+Y275*Y232+Z275*Z232+AA275*AA232+AB275*AB232+AC275*AC232+AD275*AD232+AE275*AE232+AF275*AF232+AG275*AG232+AH275*AH232+AI275*AI232+AJ275*AJ232+AK275*AK232+AL275*AL232+AM275*AM232+AN275*AN232+AO275*AO232+AP275*AP232+AQ275*AQ232+AR275*AR232+AS275*AS232+AT275*AT232+AU275*AU232+AV275*AV232+AW275*AW232+AX275*AX232+AY275*AY232+AZ275*AZ232+BA275*BA232+BB275*BB232+BC275*BC232+BD275*BD232+BE275*BE232+BF275*BF232+BG275*BG232+BH275*BH232+BI275*BI232+BJ275*BJ232+BK275*BK232+BL275*BL232+BM275*BM232+BN275*BN232+BO275*BO232+BP275*BP232+BQ275*BQ232+BR275*BR232+BS275*BS232+BT275*BT232+BU275*BU232+BV275*BV232+BW275*BW232+BX275*BX232+BY275*BY232+BZ275*BZ232+CA275*CA232+CB275*CB232+CC275*CC232+CD275*CD232+CE275*CE232+CF275*CF232+CG275*CG232+CH275*CH232+CI275*CI232+CJ275*CJ232+CK275*CK232+CL275*CL232+CM275*CM232+CN275*CN232+CO275*CO232+CP275*CP232+CQ275*CQ232+CR275*CR232+CS275*CS232</f>
        <v>0</v>
      </c>
      <c r="DF232" s="2504">
        <f>E276*E232+F276*F232+G276*G232+H276*H232+I276*I232+J276*J232+K276*K232+L276*L232+M276*M232+N276*N232+O276*O232+P276*P232+Q276*Q232+R276*R232+S276*S232+T276*T232+U276*U232+V276*V232+W276*W232+X276*X232+Y276*Y232+Z276*Z232+AA276*AA232+AB276*AB232+AC276*AC232+AD276*AD232+AE276*AE232+AF276*AF232+AG276*AG232+AH276*AH232+AI276*AI232+AJ276*AJ232+AK276*AK232+AL276*AL232+AM276*AM232+AN276*AN232+AO276*AO232+AP276*AP232+AQ276*AQ232+AR276*AR232+AS276*AS232+AT276*AT232+AU276*AU232+AV276*AV232+AW276*AW232+AX276*AX232+AY276*AY232+AZ276*AZ232+BA276*BA232+BB276*BB232+BC276*BC232+BD276*BD232+BE276*BE232+BF276*BF232+BG276*BG232+BH276*BH232+BI276*BI232+BJ276*BJ232+BK276*BK232+BL276*BL232+BM276*BM232+BN276*BN232+BO276*BO232+BP276*BP232+BQ276*BQ232+BR276*BR232+BS276*BS232+BT276*BT232+BU276*BU232+BV276*BV232+BW276*BW232+BX276*BX232+BY276*BY232+BZ276*BZ232+CA276*CA232+CB276*CB232+CC276*CC232+CD276*CD232+CE276*CE232+CF276*CF232+CG276*CG232+CH276*CH232+CI276*CI232+CJ276*CJ232+CK276*CK232+CL276*CL232+CM276*CM232+CN276*CN232+CO276*CO232+CP276*CP232+CQ276*CQ232+CR276*CR232+CS276*CS232</f>
        <v>0</v>
      </c>
    </row>
    <row r="233" spans="2:110" x14ac:dyDescent="0.25">
      <c r="B233" s="1532">
        <v>91</v>
      </c>
      <c r="C233" s="1406" t="s">
        <v>3099</v>
      </c>
      <c r="D233" s="1407" t="s">
        <v>4188</v>
      </c>
      <c r="E233" s="506">
        <f>0</f>
        <v>0</v>
      </c>
      <c r="F233" s="506">
        <f>0</f>
        <v>0</v>
      </c>
      <c r="G233" s="506">
        <f>0</f>
        <v>0</v>
      </c>
      <c r="H233" s="506">
        <f>0</f>
        <v>0</v>
      </c>
      <c r="I233" s="506">
        <f>0</f>
        <v>0</v>
      </c>
      <c r="J233" s="506">
        <f>0</f>
        <v>0</v>
      </c>
      <c r="K233" s="506">
        <f>0</f>
        <v>0</v>
      </c>
      <c r="L233" s="506">
        <f>0</f>
        <v>0</v>
      </c>
      <c r="M233" s="506">
        <f>0</f>
        <v>0</v>
      </c>
      <c r="N233" s="506">
        <f>0</f>
        <v>0</v>
      </c>
      <c r="O233" s="506">
        <f>0</f>
        <v>0</v>
      </c>
      <c r="P233" s="506">
        <f>0</f>
        <v>0</v>
      </c>
      <c r="Q233" s="506">
        <f>0</f>
        <v>0</v>
      </c>
      <c r="R233" s="556">
        <f>0</f>
        <v>0</v>
      </c>
      <c r="S233" s="506">
        <f>0</f>
        <v>0</v>
      </c>
      <c r="T233" s="506">
        <f>0</f>
        <v>0</v>
      </c>
      <c r="U233" s="506">
        <f>0</f>
        <v>0</v>
      </c>
      <c r="V233" s="506">
        <f>0</f>
        <v>0</v>
      </c>
      <c r="W233" s="506">
        <f>0</f>
        <v>0</v>
      </c>
      <c r="X233" s="506">
        <f>0</f>
        <v>0</v>
      </c>
      <c r="Y233" s="506">
        <f>0</f>
        <v>0</v>
      </c>
      <c r="Z233" s="506">
        <f>0</f>
        <v>0</v>
      </c>
      <c r="AA233" s="506">
        <f>0</f>
        <v>0</v>
      </c>
      <c r="AB233" s="506">
        <f>0</f>
        <v>0</v>
      </c>
      <c r="AC233" s="506">
        <f>0</f>
        <v>0</v>
      </c>
      <c r="AD233" s="506">
        <f>0</f>
        <v>0</v>
      </c>
      <c r="AE233" s="1587">
        <f>0</f>
        <v>0</v>
      </c>
      <c r="AF233" s="1587">
        <f>0</f>
        <v>0</v>
      </c>
      <c r="AG233" s="506">
        <f>0</f>
        <v>0</v>
      </c>
      <c r="AH233" s="506">
        <f>0</f>
        <v>0</v>
      </c>
      <c r="AI233" s="506">
        <f>0</f>
        <v>0</v>
      </c>
      <c r="AJ233" s="506">
        <f>0</f>
        <v>0</v>
      </c>
      <c r="AK233" s="506">
        <f>0</f>
        <v>0</v>
      </c>
      <c r="AL233" s="506">
        <f>0</f>
        <v>0</v>
      </c>
      <c r="AM233" s="1587">
        <f>0</f>
        <v>0</v>
      </c>
      <c r="AN233" s="506">
        <f>0</f>
        <v>0</v>
      </c>
      <c r="AO233" s="556">
        <f>0</f>
        <v>0</v>
      </c>
      <c r="AP233" s="506">
        <f>0</f>
        <v>0</v>
      </c>
      <c r="AQ233" s="506">
        <f>0</f>
        <v>0</v>
      </c>
      <c r="AR233" s="506">
        <f>0</f>
        <v>0</v>
      </c>
      <c r="AS233" s="556">
        <f>0</f>
        <v>0</v>
      </c>
      <c r="AT233" s="506">
        <f>0</f>
        <v>0</v>
      </c>
      <c r="AU233" s="506">
        <f>0</f>
        <v>0</v>
      </c>
      <c r="AV233" s="506">
        <f>0</f>
        <v>0</v>
      </c>
      <c r="AW233" s="506">
        <f>0</f>
        <v>0</v>
      </c>
      <c r="AX233" s="506">
        <f>0</f>
        <v>0</v>
      </c>
      <c r="AY233" s="506">
        <f>0</f>
        <v>0</v>
      </c>
      <c r="AZ233" s="556">
        <f>0</f>
        <v>0</v>
      </c>
      <c r="BA233" s="506">
        <f>0</f>
        <v>0</v>
      </c>
      <c r="BB233" s="506">
        <f>0</f>
        <v>0</v>
      </c>
      <c r="BC233" s="506">
        <f>0</f>
        <v>0</v>
      </c>
      <c r="BD233" s="556">
        <f>0</f>
        <v>0</v>
      </c>
      <c r="BE233" s="506">
        <f>0</f>
        <v>0</v>
      </c>
      <c r="BF233" s="556">
        <f>0</f>
        <v>0</v>
      </c>
      <c r="BG233" s="556">
        <f>0</f>
        <v>0</v>
      </c>
      <c r="BH233" s="506">
        <f>0</f>
        <v>0</v>
      </c>
      <c r="BI233" s="1588">
        <f>0</f>
        <v>0</v>
      </c>
      <c r="BJ233" s="1588">
        <f>0</f>
        <v>0</v>
      </c>
      <c r="BK233" s="506">
        <f>0</f>
        <v>0</v>
      </c>
      <c r="BL233" s="1588">
        <f>-X_HAO_L/(X_HAO_L+X_HAO_L_P)</f>
        <v>-0.5</v>
      </c>
      <c r="BM233" s="1588">
        <f>X_HAO_L/(X_HAO_L+X_HAO_L_P)</f>
        <v>0.5</v>
      </c>
      <c r="BN233" s="1588">
        <f>0</f>
        <v>0</v>
      </c>
      <c r="BO233" s="1588">
        <f>-X_HAO_L_P/(X_HAO_L+X_HAO_L_P)</f>
        <v>-0.5</v>
      </c>
      <c r="BP233" s="1588">
        <f>0</f>
        <v>0</v>
      </c>
      <c r="BQ233" s="1588">
        <f>X_HAO_L_P/(X_HAO_L+X_HAO_L_P)</f>
        <v>0.5</v>
      </c>
      <c r="BR233" s="556">
        <f>0</f>
        <v>0</v>
      </c>
      <c r="BS233" s="556">
        <f>0</f>
        <v>0</v>
      </c>
      <c r="BT233" s="556">
        <f>0</f>
        <v>0</v>
      </c>
      <c r="BU233" s="556">
        <f>0</f>
        <v>0</v>
      </c>
      <c r="BV233" s="556">
        <f>0</f>
        <v>0</v>
      </c>
      <c r="BW233" s="2371">
        <f>0</f>
        <v>0</v>
      </c>
      <c r="BX233" s="2371">
        <f>0</f>
        <v>0</v>
      </c>
      <c r="BY233" s="2371">
        <f>0</f>
        <v>0</v>
      </c>
      <c r="BZ233" s="2371">
        <f>0</f>
        <v>0</v>
      </c>
      <c r="CA233" s="556">
        <f>0</f>
        <v>0</v>
      </c>
      <c r="CB233" s="556">
        <f>0</f>
        <v>0</v>
      </c>
      <c r="CC233" s="556">
        <f>0</f>
        <v>0</v>
      </c>
      <c r="CD233" s="556">
        <f>0</f>
        <v>0</v>
      </c>
      <c r="CE233" s="556">
        <f>0</f>
        <v>0</v>
      </c>
      <c r="CF233" s="556">
        <f>0</f>
        <v>0</v>
      </c>
      <c r="CG233" s="556">
        <f>0</f>
        <v>0</v>
      </c>
      <c r="CH233" s="556">
        <f>0</f>
        <v>0</v>
      </c>
      <c r="CI233" s="556">
        <f>0</f>
        <v>0</v>
      </c>
      <c r="CJ233" s="556">
        <f>0</f>
        <v>0</v>
      </c>
      <c r="CK233" s="556">
        <f>0</f>
        <v>0</v>
      </c>
      <c r="CL233" s="556">
        <f>0</f>
        <v>0</v>
      </c>
      <c r="CM233" s="556">
        <f>0</f>
        <v>0</v>
      </c>
      <c r="CN233" s="556">
        <f>0</f>
        <v>0</v>
      </c>
      <c r="CO233" s="556">
        <f>0</f>
        <v>0</v>
      </c>
      <c r="CP233" s="556">
        <f>0</f>
        <v>0</v>
      </c>
      <c r="CQ233" s="556">
        <f>0</f>
        <v>0</v>
      </c>
      <c r="CR233" s="556">
        <f>0</f>
        <v>0</v>
      </c>
      <c r="CS233" s="556">
        <f>0</f>
        <v>0</v>
      </c>
      <c r="CT233" s="2491">
        <f>q_HAOL_AGING*(X_HAO_L+X_HAO_L_P)</f>
        <v>2E-50</v>
      </c>
      <c r="CV233" s="2502">
        <f>E266*E233+F266*F233+G266*G233+H266*H233+I266*I233+J266*J233+K266*K233+L266*L233+M266*M233+N266*N233+O266*O233+P266*P233+Q266*Q233+R266*R233+S266*S233+T266*T233+U266*U233+V266*V233+W266*W233+X266*X233+Y266*Y233+Z266*Z233+AA266*AA233+AB266*AB233+AC266*AC233+AD266*AD233+AE266*AE233+AF266*AF233+AG266*AG233+AH266*AH233+AI266*AI233+AJ266*AJ233+AK266*AK233+AL266*AL233+AM266*AM233+AN266*AN233+AO266*AO233+AP266*AP233+AQ266*AQ233+AR266*AR233+AS266*AS233+AT266*AT233+AU266*AU233+AV266*AV233+AW266*AW233+AX266*AX233+AY266*AY233+AZ266*AZ233+BA266*BA233+BB266*BB233+BC266*BC233+BD266*BD233+BE266*BE233+BF266*BF233+BG266*BG233+BH266*BH233+BI266*BI233+BJ266*BJ233+BK266*BK233+BL266*BL233+BM266*BM233+BN266*BN233+BO266*BO233+BP266*BP233+BQ266*BQ233+BR266*BR233+BS266*BS233+BT266*BT233+BU266*BU233+BV266*BV233+BW266*BW233+BX266*BX233+BY266*BY233+BZ266*BZ233+CA266*CA233+CB266*CB233+CC266*CC233+CD266*CD233+CE266*CE233+CF266*CF233+CG266*CG233+CH266*CH233+CI266*CI233+CJ266*CJ233+CK266*CK233+CL266*CL233+CM266*CM233+CN266*CN233+CO266*CO233+CP266*CP233+CQ266*CQ233+CR266*CR233+CS266*CS233</f>
        <v>0</v>
      </c>
      <c r="CW233" s="2502">
        <f>E267*E233+F267*F233+G267*G233+H267*H233+I267*I233+J267*J233+K267*K233+L267*L233+M267*M233+N267*N233+O267*O233+P267*P233+Q267*Q233+R267*R233+S267*S233+T267*T233+U267*U233+V267*V233+W267*W233+X267*X233+Y267*Y233+Z267*Z233+AA267*AA233+AB267*AB233+AC267*AC233+AD267*AD233+AE267*AE233+AF267*AF233+AG267*AG233+AH267*AH233+AI267*AI233+AJ267*AJ233+AK267*AK233+AL267*AL233+AM267*AM233+AN267*AN233+AO267*AO233+AP267*AP233+AQ267*AQ233+AR267*AR233+AS267*AS233+AT267*AT233+AU267*AU233+AV267*AV233+AW267*AW233+AX267*AX233+AY267*AY233+AZ267*AZ233+BA267*BA233+BB267*BB233+BC267*BC233+BD267*BD233+BE267*BE233+BF267*BF233+BG267*BG233+BH267*BH233+BI267*BI233+BJ267*BJ233+BK267*BK233+BL267*BL233+BM267*BM233+BN267*BN233+BO267*BO233+BP267*BP233+BQ267*BQ233+BR267*BR233+BS267*BS233+BT267*BT233+BU267*BU233+BV267*BV233+BW267*BW233+BX267*BX233+BY267*BY233+BZ267*BZ233+CA267*CA233+CB267*CB233+CC267*CC233+CD267*CD233+CE267*CE233+CF267*CF233+CG267*CG233+CH267*CH233+CI267*CI233+CJ267*CJ233+CK267*CK233+CL267*CL233+CM267*CM233+CN267*CN233+CO267*CO233+CP267*CP233+CQ267*CQ233+CR267*CR233+CS267*CS233</f>
        <v>0</v>
      </c>
      <c r="CX233" s="2503">
        <f>E268*E233+F268*F233+G268*G233+H268*H233+I268*I233+J268*J233+K268*K233+L268*L233+M268*M233+N268*N233+O268*O233+P268*P233+Q268*Q233+R268*R233+S268*S233+T268*T233+U268*U233+V268*V233+W268*W233+X268*X233+Y268*Y233+Z268*Z233+AA268*AA233+AB268*AB233+AC268*AC233+AD268*AD233+AE268*AE233+AF268*AF233+AG268*AG233+AH268*AH233+AI268*AI233+AJ268*AJ233+AK268*AK233+AL268*AL233+AM268*AM233+AN268*AN233+AO268*AO233+AP268*AP233+AQ268*AQ233+AR268*AR233+AS268*AS233+AT268*AT233+AU268*AU233+AV268*AV233+AW268*AW233+AX268*AX233+AY268*AY233+AZ268*AZ233+BA268*BA233+BB268*BB233+BC268*BC233+BD268*BD233+BE268*BE233+BF268*BF233+BG268*BG233+BH268*BH233+BI268*BI233+BJ268*BJ233+BK268*BK233+BL268*BL233+BM268*BM233+BN268*BN233+BO268*BO233+BP268*BP233+BQ268*BQ233+BR268*BR233+BS268*BS233+BT268*BT233+BU268*BU233+BV268*BV233+BW268*BW233+BX268*BX233+BY268*BY233+BZ268*BZ233+CA268*CA233+CB268*CB233+CC268*CC233+CD268*CD233+CE268*CE233+CF268*CF233+CG268*CG233+CH268*CH233+CI268*CI233+CJ268*CJ233+CK268*CK233+CL268*CL233+CM268*CM233+CN268*CN233+CO268*CO233+CP268*CP233+CQ268*CQ233+CR268*CR233+CS268*CS233</f>
        <v>0</v>
      </c>
      <c r="CY233" s="2504">
        <f>E269*E233+F269*F233+G269*G233+H269*H233+I269*I233+J269*J233+K269*K233+L269*L233+M269*M233+N269*N233+O269*O233+P269*P233+Q269*Q233+R269*R233+S269*S233+T269*T233+U269*U233+V269*V233+W269*W233+X269*X233+Y269*Y233+Z269*Z233+AA269*AA233+AB269*AB233+AC269*AC233+AD269*AD233+AE269*AE233+AF269*AF233+AG269*AG233+AH269*AH233+AI269*AI233+AJ269*AJ233+AK269*AK233+AL269*AL233+AM269*AM233+AN269*AN233+AO269*AO233+AP269*AP233+AQ269*AQ233+AR269*AR233+AS269*AS233+AT269*AT233+AU269*AU233+AV269*AV233+AW269*AW233+AX269*AX233+AY269*AY233+AZ269*AZ233+BA269*BA233+BB269*BB233+BC269*BC233+BD269*BD233+BE269*BE233+BF269*BF233+BG269*BG233+BH269*BH233+BI269*BI233+BJ269*BJ233+BK269*BK233+BL269*BL233+BM269*BM233+BN269*BN233+BO269*BO233+BP269*BP233+BQ269*BQ233+BR269*BR233+BS269*BS233+BT269*BT233+BU269*BU233+BV269*BV233+BW269*BW233+BX269*BX233+BY269*BY233+BZ269*BZ233+CA269*CA233+CB269*CB233+CC269*CC233+CD269*CD233+CE269*CE233+CF269*CF233+CG269*CG233+CH269*CH233+CI269*CI233+CJ269*CJ233+CK269*CK233+CL269*CL233+CM269*CM233+CN269*CN233+CO269*CO233+CP269*CP233+CQ269*CQ233+CR269*CR233+CS269*CS233</f>
        <v>0</v>
      </c>
      <c r="CZ233" s="2504">
        <f>E270*E233+F270*F233+G270*G233+H270*H233+I270*I233+J270*J233+K270*K233+L270*L233+M270*M233+N270*N233+O270*O233+P270*P233+Q270*Q233+R270*R233+S270*S233+T270*T233+U270*U233+V270*V233+W270*W233+X270*X233+Y270*Y233+Z270*Z233+AA270*AA233+AB270*AB233+AC270*AC233+AD270*AD233+AE270*AE233+AF270*AF233+AG270*AG233+AH270*AH233+AI270*AI233+AJ270*AJ233+AK270*AK233+AL270*AL233+AM270*AM233+AN270*AN233+AO270*AO233+AP270*AP233+AQ270*AQ233+AR270*AR233+AS270*AS233+AT270*AT233+AU270*AU233+AV270*AV233+AW270*AW233+AX270*AX233+AY270*AY233+AZ270*AZ233+BA270*BA233+BB270*BB233+BC270*BC233+BD270*BD233+BE270*BE233+BF270*BF233+BG270*BG233+BH270*BH233+BI270*BI233+BJ270*BJ233+BK270*BK233+BL270*BL233+BM270*BM233+BN270*BN233+BO270*BO233+BP270*BP233+BQ270*BQ233+BR270*BR233+BS270*BS233+BT270*BT233+BU270*BU233+BV270*BV233+BW270*BW233+BX270*BX233+BY270*BY233+BZ270*BZ233+CA270*CA233+CB270*CB233+CC270*CC233+CD270*CD233+CE270*CE233+CF270*CF233+CG270*CG233+CH270*CH233+CI270*CI233+CJ270*CJ233+CK270*CK233+CL270*CL233+CM270*CM233+CN270*CN233+CO270*CO233+CP270*CP233+CQ270*CQ233+CR270*CR233+CS270*CS233</f>
        <v>0</v>
      </c>
      <c r="DA233" s="2504">
        <f>E271*E233+F271*F233+G271*G233+H271*H233+I271*I233+J271*J233+K271*K233+L271*L233+M271*M233+N271*N233+O271*O233+P271*P233+Q271*Q233+R271*R233+S271*S233+T271*T233+U271*U233+V271*V233+W271*W233+X271*X233+Y271*Y233+Z271*Z233+AA271*AA233+AB271*AB233+AC271*AC233+AD271*AD233+AE271*AE233+AF271*AF233+AG271*AG233+AH271*AH233+AI271*AI233+AJ271*AJ233+AK271*AK233+AL271*AL233+AM271*AM233+AN271*AN233+AO271*AO233+AP271*AP233+AQ271*AQ233+AR271*AR233+AS271*AS233+AT271*AT233+AU271*AU233+AV271*AV233+AW271*AW233+AX271*AX233+AY271*AY233+AZ271*AZ233+BA271*BA233+BB271*BB233+BC271*BC233+BD271*BD233+BE271*BE233+BF271*BF233+BG271*BG233+BH271*BH233+BI271*BI233+BJ271*BJ233+BK271*BK233+BL271*BL233+BM271*BM233+BN271*BN233+BO271*BO233+BP271*BP233+BQ271*BQ233+BR271*BR233+BS271*BS233+BT271*BT233+BU271*BU233+BV271*BV233+BW271*BW233+BX271*BX233+BY271*BY233+BZ271*BZ233+CA271*CA233+CB271*CB233+CC271*CC233+CD271*CD233+CE271*CE233+CF271*CF233+CG271*CG233+CH271*CH233+CI271*CI233+CJ271*CJ233+CK271*CK233+CL271*CL233+CM271*CM233+CN271*CN233+CO271*CO233+CP271*CP233+CQ271*CQ233+CR271*CR233+CS271*CS233</f>
        <v>0</v>
      </c>
      <c r="DB233" s="2504">
        <f>E272*E233+F272*F233+G272*G233+H272*H233+I272*I233+J272*J233+K272*K233+L272*L233+M272*M233+N272*N233+O272*O233+P272*P233+Q272*Q233+R272*R233+S272*S233+T272*T233+U272*U233+V272*V233+W272*W233+X272*X233+Y272*Y233+Z272*Z233+AA272*AA233+AB272*AB233+AC272*AC233+AD272*AD233+AE272*AE233+AF272*AF233+AG272*AG233+AH272*AH233+AI272*AI233+AJ272*AJ233+AK272*AK233+AL272*AL233+AM272*AM233+AN272*AN233+AO272*AO233+AP272*AP233+AQ272*AQ233+AR272*AR233+AS272*AS233+AT272*AT233+AU272*AU233+AV272*AV233+AW272*AW233+AX272*AX233+AY272*AY233+AZ272*AZ233+BA272*BA233+BB272*BB233+BC272*BC233+BD272*BD233+BE272*BE233+BF272*BF233+BG272*BG233+BH272*BH233+BI272*BI233+BJ272*BJ233+BK272*BK233+BL272*BL233+BM272*BM233+BN272*BN233+BO272*BO233+BP272*BP233+BQ272*BQ233+BR272*BR233+BS272*BS233+BT272*BT233+BU272*BU233+BV272*BV233+BW272*BW233+BX272*BX233+BY272*BY233+BZ272*BZ233+CA272*CA233+CB272*CB233+CC272*CC233+CD272*CD233+CE272*CE233+CF272*CF233+CG272*CG233+CH272*CH233+CI272*CI233+CJ272*CJ233+CK272*CK233+CL272*CL233+CM272*CM233+CN272*CN233+CO272*CO233+CP272*CP233+CQ272*CQ233+CR272*CR233+CS272*CS233</f>
        <v>0</v>
      </c>
      <c r="DC233" s="2504">
        <f>E273*E233+F273*F233+G273*G233+H273*H233+I273*I233+J273*J233+K273*K233+L273*L233+M273*M233+N273*N233+O273*O233+P273*P233+Q273*Q233+R273*R233+S273*S233+T273*T233+U273*U233+V273*V233+W273*W233+X273*X233+Y273*Y233+Z273*Z233+AA273*AA233+AB273*AB233+AC273*AC233+AD273*AD233+AE273*AE233+AF273*AF233+AG273*AG233+AH273*AH233+AI273*AI233+AJ273*AJ233+AK273*AK233+AL273*AL233+AM273*AM233+AN273*AN233+AO273*AO233+AP273*AP233+AQ273*AQ233+AR273*AR233+AS273*AS233+AT273*AT233+AU273*AU233+AV273*AV233+AW273*AW233+AX273*AX233+AY273*AY233+AZ273*AZ233+BA273*BA233+BB273*BB233+BC273*BC233+BD273*BD233+BE273*BE233+BF273*BF233+BG273*BG233+BH273*BH233+BI273*BI233+BJ273*BJ233+BK273*BK233+BL273*BL233+BM273*BM233+BN273*BN233+BO273*BO233+BP273*BP233+BQ273*BQ233+BR273*BR233+BS273*BS233+BT273*BT233+BU273*BU233+BV273*BV233+BW273*BW233+BX273*BX233+BY273*BY233+BZ273*BZ233+CA273*CA233+CB273*CB233+CC273*CC233+CD273*CD233+CE273*CE233+CF273*CF233+CG273*CG233+CH273*CH233+CI273*CI233+CJ273*CJ233+CK273*CK233+CL273*CL233+CM273*CM233+CN273*CN233+CO273*CO233+CP273*CP233+CQ273*CQ233+CR273*CR233+CS273*CS233</f>
        <v>0</v>
      </c>
      <c r="DD233" s="2504">
        <f>E274*E233+F274*F233+G274*G233+H274*H233+I274*I233+J274*J233+K274*K233+L274*L233+M274*M233+N274*N233+O274*O233+P274*P233+Q274*Q233+R274*R233+S274*S233+T274*T233+U274*U233+V274*V233+W274*W233+X274*X233+Y274*Y233+Z274*Z233+AA274*AA233+AB274*AB233+AC274*AC233+AD274*AD233+AE274*AE233+AF274*AF233+AG274*AG233+AH274*AH233+AI274*AI233+AJ274*AJ233+AK274*AK233+AL274*AL233+AM274*AM233+AN274*AN233+AO274*AO233+AP274*AP233+AQ274*AQ233+AR274*AR233+AS274*AS233+AT274*AT233+AU274*AU233+AV274*AV233+AW274*AW233+AX274*AX233+AY274*AY233+AZ274*AZ233+BA274*BA233+BB274*BB233+BC274*BC233+BD274*BD233+BE274*BE233+BF274*BF233+BG274*BG233+BH274*BH233+BI274*BI233+BJ274*BJ233+BK274*BK233+BL274*BL233+BM274*BM233+BN274*BN233+BO274*BO233+BP274*BP233+BQ274*BQ233+BR274*BR233+BS274*BS233+BT274*BT233+BU274*BU233+BV274*BV233+BW274*BW233+BX274*BX233+BY274*BY233+BZ274*BZ233+CA274*CA233+CB274*CB233+CC274*CC233+CD274*CD233+CE274*CE233+CF274*CF233+CG274*CG233+CH274*CH233+CI274*CI233+CJ274*CJ233+CK274*CK233+CL274*CL233+CM274*CM233+CN274*CN233+CO274*CO233+CP274*CP233+CQ274*CQ233+CR274*CR233+CS274*CS233</f>
        <v>0</v>
      </c>
      <c r="DE233" s="2504">
        <f>E275*E233+F275*F233+G275*G233+H275*H233+I275*I233+J275*J233+K275*K233+L275*L233+M275*M233+N275*N233+O275*O233+P275*P233+Q275*Q233+R275*R233+S275*S233+T275*T233+U275*U233+V275*V233+W275*W233+X275*X233+Y275*Y233+Z275*Z233+AA275*AA233+AB275*AB233+AC275*AC233+AD275*AD233+AE275*AE233+AF275*AF233+AG275*AG233+AH275*AH233+AI275*AI233+AJ275*AJ233+AK275*AK233+AL275*AL233+AM275*AM233+AN275*AN233+AO275*AO233+AP275*AP233+AQ275*AQ233+AR275*AR233+AS275*AS233+AT275*AT233+AU275*AU233+AV275*AV233+AW275*AW233+AX275*AX233+AY275*AY233+AZ275*AZ233+BA275*BA233+BB275*BB233+BC275*BC233+BD275*BD233+BE275*BE233+BF275*BF233+BG275*BG233+BH275*BH233+BI275*BI233+BJ275*BJ233+BK275*BK233+BL275*BL233+BM275*BM233+BN275*BN233+BO275*BO233+BP275*BP233+BQ275*BQ233+BR275*BR233+BS275*BS233+BT275*BT233+BU275*BU233+BV275*BV233+BW275*BW233+BX275*BX233+BY275*BY233+BZ275*BZ233+CA275*CA233+CB275*CB233+CC275*CC233+CD275*CD233+CE275*CE233+CF275*CF233+CG275*CG233+CH275*CH233+CI275*CI233+CJ275*CJ233+CK275*CK233+CL275*CL233+CM275*CM233+CN275*CN233+CO275*CO233+CP275*CP233+CQ275*CQ233+CR275*CR233+CS275*CS233</f>
        <v>0</v>
      </c>
      <c r="DF233" s="2504">
        <f>E276*E233+F276*F233+G276*G233+H276*H233+I276*I233+J276*J233+K276*K233+L276*L233+M276*M233+N276*N233+O276*O233+P276*P233+Q276*Q233+R276*R233+S276*S233+T276*T233+U276*U233+V276*V233+W276*W233+X276*X233+Y276*Y233+Z276*Z233+AA276*AA233+AB276*AB233+AC276*AC233+AD276*AD233+AE276*AE233+AF276*AF233+AG276*AG233+AH276*AH233+AI276*AI233+AJ276*AJ233+AK276*AK233+AL276*AL233+AM276*AM233+AN276*AN233+AO276*AO233+AP276*AP233+AQ276*AQ233+AR276*AR233+AS276*AS233+AT276*AT233+AU276*AU233+AV276*AV233+AW276*AW233+AX276*AX233+AY276*AY233+AZ276*AZ233+BA276*BA233+BB276*BB233+BC276*BC233+BD276*BD233+BE276*BE233+BF276*BF233+BG276*BG233+BH276*BH233+BI276*BI233+BJ276*BJ233+BK276*BK233+BL276*BL233+BM276*BM233+BN276*BN233+BO276*BO233+BP276*BP233+BQ276*BQ233+BR276*BR233+BS276*BS233+BT276*BT233+BU276*BU233+BV276*BV233+BW276*BW233+BX276*BX233+BY276*BY233+BZ276*BZ233+CA276*CA233+CB276*CB233+CC276*CC233+CD276*CD233+CE276*CE233+CF276*CF233+CG276*CG233+CH276*CH233+CI276*CI233+CJ276*CJ233+CK276*CK233+CL276*CL233+CM276*CM233+CN276*CN233+CO276*CO233+CP276*CP233+CQ276*CQ233+CR276*CR233+CS276*CS233</f>
        <v>0</v>
      </c>
    </row>
    <row r="234" spans="2:110" x14ac:dyDescent="0.25">
      <c r="B234" s="1532">
        <v>92</v>
      </c>
      <c r="C234" s="1406" t="s">
        <v>3299</v>
      </c>
      <c r="D234" s="1407" t="s">
        <v>4194</v>
      </c>
      <c r="E234" s="506">
        <f>0</f>
        <v>0</v>
      </c>
      <c r="F234" s="506">
        <f>0</f>
        <v>0</v>
      </c>
      <c r="G234" s="506">
        <f>0</f>
        <v>0</v>
      </c>
      <c r="H234" s="506">
        <f>0</f>
        <v>0</v>
      </c>
      <c r="I234" s="506">
        <f>0</f>
        <v>0</v>
      </c>
      <c r="J234" s="506">
        <f>0</f>
        <v>0</v>
      </c>
      <c r="K234" s="506">
        <f>0</f>
        <v>0</v>
      </c>
      <c r="L234" s="506">
        <f>0</f>
        <v>0</v>
      </c>
      <c r="M234" s="506">
        <f>0</f>
        <v>0</v>
      </c>
      <c r="N234" s="506">
        <f>0</f>
        <v>0</v>
      </c>
      <c r="O234" s="506">
        <f>0</f>
        <v>0</v>
      </c>
      <c r="P234" s="506">
        <f>0</f>
        <v>0</v>
      </c>
      <c r="Q234" s="506">
        <f>0</f>
        <v>0</v>
      </c>
      <c r="R234" s="556">
        <f>0</f>
        <v>0</v>
      </c>
      <c r="S234" s="506">
        <f>0</f>
        <v>0</v>
      </c>
      <c r="T234" s="506">
        <f>0</f>
        <v>0</v>
      </c>
      <c r="U234" s="506">
        <f>0</f>
        <v>0</v>
      </c>
      <c r="V234" s="506">
        <f>0</f>
        <v>0</v>
      </c>
      <c r="W234" s="506">
        <f>0</f>
        <v>0</v>
      </c>
      <c r="X234" s="506">
        <f>0</f>
        <v>0</v>
      </c>
      <c r="Y234" s="506">
        <f>0</f>
        <v>0</v>
      </c>
      <c r="Z234" s="506">
        <f>0</f>
        <v>0</v>
      </c>
      <c r="AA234" s="506">
        <f>0</f>
        <v>0</v>
      </c>
      <c r="AB234" s="506">
        <f>0</f>
        <v>0</v>
      </c>
      <c r="AC234" s="506">
        <f>0</f>
        <v>0</v>
      </c>
      <c r="AD234" s="506">
        <f>0</f>
        <v>0</v>
      </c>
      <c r="AE234" s="1587">
        <f>0</f>
        <v>0</v>
      </c>
      <c r="AF234" s="1587">
        <f>0</f>
        <v>0</v>
      </c>
      <c r="AG234" s="506">
        <f>0</f>
        <v>0</v>
      </c>
      <c r="AH234" s="506">
        <f>0</f>
        <v>0</v>
      </c>
      <c r="AI234" s="506">
        <f>0</f>
        <v>0</v>
      </c>
      <c r="AJ234" s="506">
        <f>0</f>
        <v>0</v>
      </c>
      <c r="AK234" s="506">
        <f>0</f>
        <v>0</v>
      </c>
      <c r="AL234" s="506">
        <f>0</f>
        <v>0</v>
      </c>
      <c r="AM234" s="1587">
        <f>-1</f>
        <v>-1</v>
      </c>
      <c r="AN234" s="506">
        <f>0</f>
        <v>0</v>
      </c>
      <c r="AO234" s="556">
        <f>0</f>
        <v>0</v>
      </c>
      <c r="AP234" s="506">
        <f>0</f>
        <v>0</v>
      </c>
      <c r="AQ234" s="506">
        <f>0</f>
        <v>0</v>
      </c>
      <c r="AR234" s="506">
        <f>0</f>
        <v>0</v>
      </c>
      <c r="AS234" s="556">
        <f>0</f>
        <v>0</v>
      </c>
      <c r="AT234" s="506">
        <f>0</f>
        <v>0</v>
      </c>
      <c r="AU234" s="506">
        <f>0</f>
        <v>0</v>
      </c>
      <c r="AV234" s="506">
        <f>0</f>
        <v>0</v>
      </c>
      <c r="AW234" s="506">
        <f>0</f>
        <v>0</v>
      </c>
      <c r="AX234" s="506">
        <f>0</f>
        <v>0</v>
      </c>
      <c r="AY234" s="506">
        <f>0</f>
        <v>0</v>
      </c>
      <c r="AZ234" s="556">
        <f>0</f>
        <v>0</v>
      </c>
      <c r="BA234" s="506">
        <f>0</f>
        <v>0</v>
      </c>
      <c r="BB234" s="506">
        <f>0</f>
        <v>0</v>
      </c>
      <c r="BC234" s="506">
        <f>0</f>
        <v>0</v>
      </c>
      <c r="BD234" s="556">
        <f>0</f>
        <v>0</v>
      </c>
      <c r="BE234" s="506">
        <f>0</f>
        <v>0</v>
      </c>
      <c r="BF234" s="556">
        <f>0</f>
        <v>0</v>
      </c>
      <c r="BG234" s="556">
        <f>0</f>
        <v>0</v>
      </c>
      <c r="BH234" s="556">
        <f>0</f>
        <v>0</v>
      </c>
      <c r="BI234" s="506">
        <f>0</f>
        <v>0</v>
      </c>
      <c r="BJ234" s="506">
        <f>0</f>
        <v>0</v>
      </c>
      <c r="BK234" s="556">
        <f>-1/(A_SFHAO_H*(A_MP/A_MAl))</f>
        <v>-0.87110825691042471</v>
      </c>
      <c r="BL234" s="506">
        <f>0</f>
        <v>0</v>
      </c>
      <c r="BM234" s="506">
        <f>0</f>
        <v>0</v>
      </c>
      <c r="BN234" s="556">
        <f>1/(A_SFHAO_H*(A_MP/A_MAl))</f>
        <v>0.87110825691042471</v>
      </c>
      <c r="BO234" s="506">
        <f>0</f>
        <v>0</v>
      </c>
      <c r="BP234" s="556">
        <f>0</f>
        <v>0</v>
      </c>
      <c r="BQ234" s="556">
        <f>0</f>
        <v>0</v>
      </c>
      <c r="BR234" s="556">
        <f>0</f>
        <v>0</v>
      </c>
      <c r="BS234" s="556">
        <f>0</f>
        <v>0</v>
      </c>
      <c r="BT234" s="556">
        <f>0</f>
        <v>0</v>
      </c>
      <c r="BU234" s="556">
        <f>0</f>
        <v>0</v>
      </c>
      <c r="BV234" s="556">
        <f>0</f>
        <v>0</v>
      </c>
      <c r="BW234" s="2371">
        <f>0</f>
        <v>0</v>
      </c>
      <c r="BX234" s="2371">
        <f>0</f>
        <v>0</v>
      </c>
      <c r="BY234" s="2371">
        <f>0</f>
        <v>0</v>
      </c>
      <c r="BZ234" s="2371">
        <f>0</f>
        <v>0</v>
      </c>
      <c r="CA234" s="556">
        <f>0</f>
        <v>0</v>
      </c>
      <c r="CB234" s="556">
        <f>0</f>
        <v>0</v>
      </c>
      <c r="CC234" s="556">
        <f>0</f>
        <v>0</v>
      </c>
      <c r="CD234" s="556">
        <f>0</f>
        <v>0</v>
      </c>
      <c r="CE234" s="556">
        <f>0</f>
        <v>0</v>
      </c>
      <c r="CF234" s="556">
        <f>0</f>
        <v>0</v>
      </c>
      <c r="CG234" s="556">
        <f>0</f>
        <v>0</v>
      </c>
      <c r="CH234" s="556">
        <f>0</f>
        <v>0</v>
      </c>
      <c r="CI234" s="556">
        <f>0</f>
        <v>0</v>
      </c>
      <c r="CJ234" s="556">
        <f>0</f>
        <v>0</v>
      </c>
      <c r="CK234" s="556">
        <f>0</f>
        <v>0</v>
      </c>
      <c r="CL234" s="556">
        <f>0</f>
        <v>0</v>
      </c>
      <c r="CM234" s="556">
        <f>0</f>
        <v>0</v>
      </c>
      <c r="CN234" s="556">
        <f>0</f>
        <v>0</v>
      </c>
      <c r="CO234" s="556">
        <f>0</f>
        <v>0</v>
      </c>
      <c r="CP234" s="556">
        <f>0</f>
        <v>0</v>
      </c>
      <c r="CQ234" s="556">
        <f>0</f>
        <v>0</v>
      </c>
      <c r="CR234" s="556">
        <f>0</f>
        <v>0</v>
      </c>
      <c r="CS234" s="556">
        <f>0</f>
        <v>0</v>
      </c>
      <c r="CT234" s="2491">
        <f>q_P_HAO_COPREC*X_HAO_H*M_satSPO4_KP_HAO_BIND</f>
        <v>1.4583333333333333E-48</v>
      </c>
      <c r="CV234" s="2502">
        <f>E266*E234+F266*F234+G266*G234+H266*H234+I266*I234+J266*J234+K266*K234+L266*L234+M266*M234+N266*N234+O266*O234+P266*P234+Q266*Q234+R266*R234+S266*S234+T266*T234+U266*U234+V266*V234+W266*W234+X266*X234+Y266*Y234+Z266*Z234+AA266*AA234+AB266*AB234+AC266*AC234+AD266*AD234+AE266*AE234+AF266*AF234+AG266*AG234+AH266*AH234+AI266*AI234+AJ266*AJ234+AK266*AK234+AL266*AL234+AM266*AM234+AN266*AN234+AO266*AO234+AP266*AP234+AQ266*AQ234+AR266*AR234+AS266*AS234+AT266*AT234+AU266*AU234+AV266*AV234+AW266*AW234+AX266*AX234+AY266*AY234+AZ266*AZ234+BA266*BA234+BB266*BB234+BC266*BC234+BD266*BD234+BE266*BE234+BF266*BF234+BG266*BG234+BH266*BH234+BI266*BI234+BJ266*BJ234+BK266*BK234+BL266*BL234+BM266*BM234+BN266*BN234+BO266*BO234+BP266*BP234+BQ266*BQ234+BR266*BR234+BS266*BS234+BT266*BT234+BU266*BU234+BV266*BV234+BW266*BW234+BX266*BX234+BY266*BY234+BZ266*BZ234+CA266*CA234+CB266*CB234+CC266*CC234+CD266*CD234+CE266*CE234+CF266*CF234+CG266*CG234+CH266*CH234+CI266*CI234+CJ266*CJ234+CK266*CK234+CL266*CL234+CM266*CM234+CN266*CN234+CO266*CO234+CP266*CP234+CQ266*CQ234+CR266*CR234+CS266*CS234</f>
        <v>0</v>
      </c>
      <c r="CW234" s="2502">
        <f>E267*E234+F267*F234+G267*G234+H267*H234+I267*I234+J267*J234+K267*K234+L267*L234+M267*M234+N267*N234+O267*O234+P267*P234+Q267*Q234+R267*R234+S267*S234+T267*T234+U267*U234+V267*V234+W267*W234+X267*X234+Y267*Y234+Z267*Z234+AA267*AA234+AB267*AB234+AC267*AC234+AD267*AD234+AE267*AE234+AF267*AF234+AG267*AG234+AH267*AH234+AI267*AI234+AJ267*AJ234+AK267*AK234+AL267*AL234+AM267*AM234+AN267*AN234+AO267*AO234+AP267*AP234+AQ267*AQ234+AR267*AR234+AS267*AS234+AT267*AT234+AU267*AU234+AV267*AV234+AW267*AW234+AX267*AX234+AY267*AY234+AZ267*AZ234+BA267*BA234+BB267*BB234+BC267*BC234+BD267*BD234+BE267*BE234+BF267*BF234+BG267*BG234+BH267*BH234+BI267*BI234+BJ267*BJ234+BK267*BK234+BL267*BL234+BM267*BM234+BN267*BN234+BO267*BO234+BP267*BP234+BQ267*BQ234+BR267*BR234+BS267*BS234+BT267*BT234+BU267*BU234+BV267*BV234+BW267*BW234+BX267*BX234+BY267*BY234+BZ267*BZ234+CA267*CA234+CB267*CB234+CC267*CC234+CD267*CD234+CE267*CE234+CF267*CF234+CG267*CG234+CH267*CH234+CI267*CI234+CJ267*CJ234+CK267*CK234+CL267*CL234+CM267*CM234+CN267*CN234+CO267*CO234+CP267*CP234+CQ267*CQ234+CR267*CR234+CS267*CS234</f>
        <v>0</v>
      </c>
      <c r="CX234" s="2503">
        <f>E268*E234+F268*F234+G268*G234+H268*H234+I268*I234+J268*J234+K268*K234+L268*L234+M268*M234+N268*N234+O268*O234+P268*P234+Q268*Q234+R268*R234+S268*S234+T268*T234+U268*U234+V268*V234+W268*W234+X268*X234+Y268*Y234+Z268*Z234+AA268*AA234+AB268*AB234+AC268*AC234+AD268*AD234+AE268*AE234+AF268*AF234+AG268*AG234+AH268*AH234+AI268*AI234+AJ268*AJ234+AK268*AK234+AL268*AL234+AM268*AM234+AN268*AN234+AO268*AO234+AP268*AP234+AQ268*AQ234+AR268*AR234+AS268*AS234+AT268*AT234+AU268*AU234+AV268*AV234+AW268*AW234+AX268*AX234+AY268*AY234+AZ268*AZ234+BA268*BA234+BB268*BB234+BC268*BC234+BD268*BD234+BE268*BE234+BF268*BF234+BG268*BG234+BH268*BH234+BI268*BI234+BJ268*BJ234+BK268*BK234+BL268*BL234+BM268*BM234+BN268*BN234+BO268*BO234+BP268*BP234+BQ268*BQ234+BR268*BR234+BS268*BS234+BT268*BT234+BU268*BU234+BV268*BV234+BW268*BW234+BX268*BX234+BY268*BY234+BZ268*BZ234+CA268*CA234+CB268*CB234+CC268*CC234+CD268*CD234+CE268*CE234+CF268*CF234+CG268*CG234+CH268*CH234+CI268*CI234+CJ268*CJ234+CK268*CK234+CL268*CL234+CM268*CM234+CN268*CN234+CO268*CO234+CP268*CP234+CQ268*CQ234+CR268*CR234+CS268*CS234</f>
        <v>0</v>
      </c>
      <c r="CY234" s="2504">
        <f>E269*E234+F269*F234+G269*G234+H269*H234+I269*I234+J269*J234+K269*K234+L269*L234+M269*M234+N269*N234+O269*O234+P269*P234+Q269*Q234+R269*R234+S269*S234+T269*T234+U269*U234+V269*V234+W269*W234+X269*X234+Y269*Y234+Z269*Z234+AA269*AA234+AB269*AB234+AC269*AC234+AD269*AD234+AE269*AE234+AF269*AF234+AG269*AG234+AH269*AH234+AI269*AI234+AJ269*AJ234+AK269*AK234+AL269*AL234+AM269*AM234+AN269*AN234+AO269*AO234+AP269*AP234+AQ269*AQ234+AR269*AR234+AS269*AS234+AT269*AT234+AU269*AU234+AV269*AV234+AW269*AW234+AX269*AX234+AY269*AY234+AZ269*AZ234+BA269*BA234+BB269*BB234+BC269*BC234+BD269*BD234+BE269*BE234+BF269*BF234+BG269*BG234+BH269*BH234+BI269*BI234+BJ269*BJ234+BK269*BK234+BL269*BL234+BM269*BM234+BN269*BN234+BO269*BO234+BP269*BP234+BQ269*BQ234+BR269*BR234+BS269*BS234+BT269*BT234+BU269*BU234+BV269*BV234+BW269*BW234+BX269*BX234+BY269*BY234+BZ269*BZ234+CA269*CA234+CB269*CB234+CC269*CC234+CD269*CD234+CE269*CE234+CF269*CF234+CG269*CG234+CH269*CH234+CI269*CI234+CJ269*CJ234+CK269*CK234+CL269*CL234+CM269*CM234+CN269*CN234+CO269*CO234+CP269*CP234+CQ269*CQ234+CR269*CR234+CS269*CS234</f>
        <v>0</v>
      </c>
      <c r="CZ234" s="2504">
        <f>E270*E234+F270*F234+G270*G234+H270*H234+I270*I234+J270*J234+K270*K234+L270*L234+M270*M234+N270*N234+O270*O234+P270*P234+Q270*Q234+R270*R234+S270*S234+T270*T234+U270*U234+V270*V234+W270*W234+X270*X234+Y270*Y234+Z270*Z234+AA270*AA234+AB270*AB234+AC270*AC234+AD270*AD234+AE270*AE234+AF270*AF234+AG270*AG234+AH270*AH234+AI270*AI234+AJ270*AJ234+AK270*AK234+AL270*AL234+AM270*AM234+AN270*AN234+AO270*AO234+AP270*AP234+AQ270*AQ234+AR270*AR234+AS270*AS234+AT270*AT234+AU270*AU234+AV270*AV234+AW270*AW234+AX270*AX234+AY270*AY234+AZ270*AZ234+BA270*BA234+BB270*BB234+BC270*BC234+BD270*BD234+BE270*BE234+BF270*BF234+BG270*BG234+BH270*BH234+BI270*BI234+BJ270*BJ234+BK270*BK234+BL270*BL234+BM270*BM234+BN270*BN234+BO270*BO234+BP270*BP234+BQ270*BQ234+BR270*BR234+BS270*BS234+BT270*BT234+BU270*BU234+BV270*BV234+BW270*BW234+BX270*BX234+BY270*BY234+BZ270*BZ234+CA270*CA234+CB270*CB234+CC270*CC234+CD270*CD234+CE270*CE234+CF270*CF234+CG270*CG234+CH270*CH234+CI270*CI234+CJ270*CJ234+CK270*CK234+CL270*CL234+CM270*CM234+CN270*CN234+CO270*CO234+CP270*CP234+CQ270*CQ234+CR270*CR234+CS270*CS234</f>
        <v>0</v>
      </c>
      <c r="DA234" s="2504">
        <f>E271*E234+F271*F234+G271*G234+H271*H234+I271*I234+J271*J234+K271*K234+L271*L234+M271*M234+N271*N234+O271*O234+P271*P234+Q271*Q234+R271*R234+S271*S234+T271*T234+U271*U234+V271*V234+W271*W234+X271*X234+Y271*Y234+Z271*Z234+AA271*AA234+AB271*AB234+AC271*AC234+AD271*AD234+AE271*AE234+AF271*AF234+AG271*AG234+AH271*AH234+AI271*AI234+AJ271*AJ234+AK271*AK234+AL271*AL234+AM271*AM234+AN271*AN234+AO271*AO234+AP271*AP234+AQ271*AQ234+AR271*AR234+AS271*AS234+AT271*AT234+AU271*AU234+AV271*AV234+AW271*AW234+AX271*AX234+AY271*AY234+AZ271*AZ234+BA271*BA234+BB271*BB234+BC271*BC234+BD271*BD234+BE271*BE234+BF271*BF234+BG271*BG234+BH271*BH234+BI271*BI234+BJ271*BJ234+BK271*BK234+BL271*BL234+BM271*BM234+BN271*BN234+BO271*BO234+BP271*BP234+BQ271*BQ234+BR271*BR234+BS271*BS234+BT271*BT234+BU271*BU234+BV271*BV234+BW271*BW234+BX271*BX234+BY271*BY234+BZ271*BZ234+CA271*CA234+CB271*CB234+CC271*CC234+CD271*CD234+CE271*CE234+CF271*CF234+CG271*CG234+CH271*CH234+CI271*CI234+CJ271*CJ234+CK271*CK234+CL271*CL234+CM271*CM234+CN271*CN234+CO271*CO234+CP271*CP234+CQ271*CQ234+CR271*CR234+CS271*CS234</f>
        <v>0</v>
      </c>
      <c r="DB234" s="2504">
        <f>E272*E234+F272*F234+G272*G234+H272*H234+I272*I234+J272*J234+K272*K234+L272*L234+M272*M234+N272*N234+O272*O234+P272*P234+Q272*Q234+R272*R234+S272*S234+T272*T234+U272*U234+V272*V234+W272*W234+X272*X234+Y272*Y234+Z272*Z234+AA272*AA234+AB272*AB234+AC272*AC234+AD272*AD234+AE272*AE234+AF272*AF234+AG272*AG234+AH272*AH234+AI272*AI234+AJ272*AJ234+AK272*AK234+AL272*AL234+AM272*AM234+AN272*AN234+AO272*AO234+AP272*AP234+AQ272*AQ234+AR272*AR234+AS272*AS234+AT272*AT234+AU272*AU234+AV272*AV234+AW272*AW234+AX272*AX234+AY272*AY234+AZ272*AZ234+BA272*BA234+BB272*BB234+BC272*BC234+BD272*BD234+BE272*BE234+BF272*BF234+BG272*BG234+BH272*BH234+BI272*BI234+BJ272*BJ234+BK272*BK234+BL272*BL234+BM272*BM234+BN272*BN234+BO272*BO234+BP272*BP234+BQ272*BQ234+BR272*BR234+BS272*BS234+BT272*BT234+BU272*BU234+BV272*BV234+BW272*BW234+BX272*BX234+BY272*BY234+BZ272*BZ234+CA272*CA234+CB272*CB234+CC272*CC234+CD272*CD234+CE272*CE234+CF272*CF234+CG272*CG234+CH272*CH234+CI272*CI234+CJ272*CJ234+CK272*CK234+CL272*CL234+CM272*CM234+CN272*CN234+CO272*CO234+CP272*CP234+CQ272*CQ234+CR272*CR234+CS272*CS234</f>
        <v>0</v>
      </c>
      <c r="DC234" s="2504">
        <f>E273*E234+F273*F234+G273*G234+H273*H234+I273*I234+J273*J234+K273*K234+L273*L234+M273*M234+N273*N234+O273*O234+P273*P234+Q273*Q234+R273*R234+S273*S234+T273*T234+U273*U234+V273*V234+W273*W234+X273*X234+Y273*Y234+Z273*Z234+AA273*AA234+AB273*AB234+AC273*AC234+AD273*AD234+AE273*AE234+AF273*AF234+AG273*AG234+AH273*AH234+AI273*AI234+AJ273*AJ234+AK273*AK234+AL273*AL234+AM273*AM234+AN273*AN234+AO273*AO234+AP273*AP234+AQ273*AQ234+AR273*AR234+AS273*AS234+AT273*AT234+AU273*AU234+AV273*AV234+AW273*AW234+AX273*AX234+AY273*AY234+AZ273*AZ234+BA273*BA234+BB273*BB234+BC273*BC234+BD273*BD234+BE273*BE234+BF273*BF234+BG273*BG234+BH273*BH234+BI273*BI234+BJ273*BJ234+BK273*BK234+BL273*BL234+BM273*BM234+BN273*BN234+BO273*BO234+BP273*BP234+BQ273*BQ234+BR273*BR234+BS273*BS234+BT273*BT234+BU273*BU234+BV273*BV234+BW273*BW234+BX273*BX234+BY273*BY234+BZ273*BZ234+CA273*CA234+CB273*CB234+CC273*CC234+CD273*CD234+CE273*CE234+CF273*CF234+CG273*CG234+CH273*CH234+CI273*CI234+CJ273*CJ234+CK273*CK234+CL273*CL234+CM273*CM234+CN273*CN234+CO273*CO234+CP273*CP234+CQ273*CQ234+CR273*CR234+CS273*CS234</f>
        <v>0</v>
      </c>
      <c r="DD234" s="2504">
        <f>E274*E234+F274*F234+G274*G234+H274*H234+I274*I234+J274*J234+K274*K234+L274*L234+M274*M234+N274*N234+O274*O234+P274*P234+Q274*Q234+R274*R234+S274*S234+T274*T234+U274*U234+V274*V234+W274*W234+X274*X234+Y274*Y234+Z274*Z234+AA274*AA234+AB274*AB234+AC274*AC234+AD274*AD234+AE274*AE234+AF274*AF234+AG274*AG234+AH274*AH234+AI274*AI234+AJ274*AJ234+AK274*AK234+AL274*AL234+AM274*AM234+AN274*AN234+AO274*AO234+AP274*AP234+AQ274*AQ234+AR274*AR234+AS274*AS234+AT274*AT234+AU274*AU234+AV274*AV234+AW274*AW234+AX274*AX234+AY274*AY234+AZ274*AZ234+BA274*BA234+BB274*BB234+BC274*BC234+BD274*BD234+BE274*BE234+BF274*BF234+BG274*BG234+BH274*BH234+BI274*BI234+BJ274*BJ234+BK274*BK234+BL274*BL234+BM274*BM234+BN274*BN234+BO274*BO234+BP274*BP234+BQ274*BQ234+BR274*BR234+BS274*BS234+BT274*BT234+BU274*BU234+BV274*BV234+BW274*BW234+BX274*BX234+BY274*BY234+BZ274*BZ234+CA274*CA234+CB274*CB234+CC274*CC234+CD274*CD234+CE274*CE234+CF274*CF234+CG274*CG234+CH274*CH234+CI274*CI234+CJ274*CJ234+CK274*CK234+CL274*CL234+CM274*CM234+CN274*CN234+CO274*CO234+CP274*CP234+CQ274*CQ234+CR274*CR234+CS274*CS234</f>
        <v>0</v>
      </c>
      <c r="DE234" s="2504">
        <f>E275*E234+F275*F234+G275*G234+H275*H234+I275*I234+J275*J234+K275*K234+L275*L234+M275*M234+N275*N234+O275*O234+P275*P234+Q275*Q234+R275*R234+S275*S234+T275*T234+U275*U234+V275*V234+W275*W234+X275*X234+Y275*Y234+Z275*Z234+AA275*AA234+AB275*AB234+AC275*AC234+AD275*AD234+AE275*AE234+AF275*AF234+AG275*AG234+AH275*AH234+AI275*AI234+AJ275*AJ234+AK275*AK234+AL275*AL234+AM275*AM234+AN275*AN234+AO275*AO234+AP275*AP234+AQ275*AQ234+AR275*AR234+AS275*AS234+AT275*AT234+AU275*AU234+AV275*AV234+AW275*AW234+AX275*AX234+AY275*AY234+AZ275*AZ234+BA275*BA234+BB275*BB234+BC275*BC234+BD275*BD234+BE275*BE234+BF275*BF234+BG275*BG234+BH275*BH234+BI275*BI234+BJ275*BJ234+BK275*BK234+BL275*BL234+BM275*BM234+BN275*BN234+BO275*BO234+BP275*BP234+BQ275*BQ234+BR275*BR234+BS275*BS234+BT275*BT234+BU275*BU234+BV275*BV234+BW275*BW234+BX275*BX234+BY275*BY234+BZ275*BZ234+CA275*CA234+CB275*CB234+CC275*CC234+CD275*CD234+CE275*CE234+CF275*CF234+CG275*CG234+CH275*CH234+CI275*CI234+CJ275*CJ234+CK275*CK234+CL275*CL234+CM275*CM234+CN275*CN234+CO275*CO234+CP275*CP234+CQ275*CQ234+CR275*CR234+CS275*CS234</f>
        <v>0</v>
      </c>
      <c r="DF234" s="2504">
        <f>E276*E234+F276*F234+G276*G234+H276*H234+I276*I234+J276*J234+K276*K234+L276*L234+M276*M234+N276*N234+O276*O234+P276*P234+Q276*Q234+R276*R234+S276*S234+T276*T234+U276*U234+V276*V234+W276*W234+X276*X234+Y276*Y234+Z276*Z234+AA276*AA234+AB276*AB234+AC276*AC234+AD276*AD234+AE276*AE234+AF276*AF234+AG276*AG234+AH276*AH234+AI276*AI234+AJ276*AJ234+AK276*AK234+AL276*AL234+AM276*AM234+AN276*AN234+AO276*AO234+AP276*AP234+AQ276*AQ234+AR276*AR234+AS276*AS234+AT276*AT234+AU276*AU234+AV276*AV234+AW276*AW234+AX276*AX234+AY276*AY234+AZ276*AZ234+BA276*BA234+BB276*BB234+BC276*BC234+BD276*BD234+BE276*BE234+BF276*BF234+BG276*BG234+BH276*BH234+BI276*BI234+BJ276*BJ234+BK276*BK234+BL276*BL234+BM276*BM234+BN276*BN234+BO276*BO234+BP276*BP234+BQ276*BQ234+BR276*BR234+BS276*BS234+BT276*BT234+BU276*BU234+BV276*BV234+BW276*BW234+BX276*BX234+BY276*BY234+BZ276*BZ234+CA276*CA234+CB276*CB234+CC276*CC234+CD276*CD234+CE276*CE234+CF276*CF234+CG276*CG234+CH276*CH234+CI276*CI234+CJ276*CJ234+CK276*CK234+CL276*CL234+CM276*CM234+CN276*CN234+CO276*CO234+CP276*CP234+CQ276*CQ234+CR276*CR234+CS276*CS234</f>
        <v>0</v>
      </c>
    </row>
    <row r="235" spans="2:110" x14ac:dyDescent="0.25">
      <c r="B235" s="1532">
        <v>93</v>
      </c>
      <c r="C235" s="1406" t="s">
        <v>3300</v>
      </c>
      <c r="D235" s="1407" t="s">
        <v>4198</v>
      </c>
      <c r="E235" s="506">
        <f>0</f>
        <v>0</v>
      </c>
      <c r="F235" s="506">
        <f>0</f>
        <v>0</v>
      </c>
      <c r="G235" s="506">
        <f>0</f>
        <v>0</v>
      </c>
      <c r="H235" s="506">
        <f>0</f>
        <v>0</v>
      </c>
      <c r="I235" s="506">
        <f>0</f>
        <v>0</v>
      </c>
      <c r="J235" s="506">
        <f>0</f>
        <v>0</v>
      </c>
      <c r="K235" s="506">
        <f>0</f>
        <v>0</v>
      </c>
      <c r="L235" s="506">
        <f>0</f>
        <v>0</v>
      </c>
      <c r="M235" s="506">
        <f>0</f>
        <v>0</v>
      </c>
      <c r="N235" s="506">
        <f>0</f>
        <v>0</v>
      </c>
      <c r="O235" s="506">
        <f>0</f>
        <v>0</v>
      </c>
      <c r="P235" s="506">
        <f>0</f>
        <v>0</v>
      </c>
      <c r="Q235" s="506">
        <f>0</f>
        <v>0</v>
      </c>
      <c r="R235" s="556">
        <f>0</f>
        <v>0</v>
      </c>
      <c r="S235" s="506">
        <f>0</f>
        <v>0</v>
      </c>
      <c r="T235" s="506">
        <f>0</f>
        <v>0</v>
      </c>
      <c r="U235" s="506">
        <f>0</f>
        <v>0</v>
      </c>
      <c r="V235" s="506">
        <f>0</f>
        <v>0</v>
      </c>
      <c r="W235" s="506">
        <f>0</f>
        <v>0</v>
      </c>
      <c r="X235" s="506">
        <f>0</f>
        <v>0</v>
      </c>
      <c r="Y235" s="506">
        <f>0</f>
        <v>0</v>
      </c>
      <c r="Z235" s="506">
        <f>0</f>
        <v>0</v>
      </c>
      <c r="AA235" s="506">
        <f>0</f>
        <v>0</v>
      </c>
      <c r="AB235" s="506">
        <f>0</f>
        <v>0</v>
      </c>
      <c r="AC235" s="506">
        <f>0</f>
        <v>0</v>
      </c>
      <c r="AD235" s="506">
        <f>0</f>
        <v>0</v>
      </c>
      <c r="AE235" s="1587">
        <f>0</f>
        <v>0</v>
      </c>
      <c r="AF235" s="1587">
        <f>0</f>
        <v>0</v>
      </c>
      <c r="AG235" s="506">
        <f>0</f>
        <v>0</v>
      </c>
      <c r="AH235" s="506">
        <f>0</f>
        <v>0</v>
      </c>
      <c r="AI235" s="506">
        <f>0</f>
        <v>0</v>
      </c>
      <c r="AJ235" s="506">
        <f>0</f>
        <v>0</v>
      </c>
      <c r="AK235" s="506">
        <f>0</f>
        <v>0</v>
      </c>
      <c r="AL235" s="506">
        <f>0</f>
        <v>0</v>
      </c>
      <c r="AM235" s="1587">
        <f>-1</f>
        <v>-1</v>
      </c>
      <c r="AN235" s="506">
        <f>0</f>
        <v>0</v>
      </c>
      <c r="AO235" s="556">
        <f>0</f>
        <v>0</v>
      </c>
      <c r="AP235" s="506">
        <f>0</f>
        <v>0</v>
      </c>
      <c r="AQ235" s="506">
        <f>0</f>
        <v>0</v>
      </c>
      <c r="AR235" s="506">
        <f>0</f>
        <v>0</v>
      </c>
      <c r="AS235" s="556">
        <f>0</f>
        <v>0</v>
      </c>
      <c r="AT235" s="506">
        <f>0</f>
        <v>0</v>
      </c>
      <c r="AU235" s="506">
        <f>0</f>
        <v>0</v>
      </c>
      <c r="AV235" s="506">
        <f>0</f>
        <v>0</v>
      </c>
      <c r="AW235" s="506">
        <f>0</f>
        <v>0</v>
      </c>
      <c r="AX235" s="506">
        <f>0</f>
        <v>0</v>
      </c>
      <c r="AY235" s="506">
        <f>0</f>
        <v>0</v>
      </c>
      <c r="AZ235" s="556">
        <f>0</f>
        <v>0</v>
      </c>
      <c r="BA235" s="506">
        <f>0</f>
        <v>0</v>
      </c>
      <c r="BB235" s="506">
        <f>0</f>
        <v>0</v>
      </c>
      <c r="BC235" s="506">
        <f>0</f>
        <v>0</v>
      </c>
      <c r="BD235" s="556">
        <f>0</f>
        <v>0</v>
      </c>
      <c r="BE235" s="506">
        <f>0</f>
        <v>0</v>
      </c>
      <c r="BF235" s="556">
        <f>0</f>
        <v>0</v>
      </c>
      <c r="BG235" s="556">
        <f>0</f>
        <v>0</v>
      </c>
      <c r="BH235" s="506">
        <f>0</f>
        <v>0</v>
      </c>
      <c r="BI235" s="556">
        <f>0</f>
        <v>0</v>
      </c>
      <c r="BJ235" s="506">
        <f>0</f>
        <v>0</v>
      </c>
      <c r="BK235" s="506">
        <f>0</f>
        <v>0</v>
      </c>
      <c r="BL235" s="556">
        <f>-1/(A_SFHAO_L*(A_MP/A_MAl))</f>
        <v>-8.7110825691042457</v>
      </c>
      <c r="BM235" s="506">
        <f>0</f>
        <v>0</v>
      </c>
      <c r="BN235" s="506">
        <f>0</f>
        <v>0</v>
      </c>
      <c r="BO235" s="556">
        <f>1/(A_SFHAO_L*(A_MP/A_MAl))</f>
        <v>8.7110825691042457</v>
      </c>
      <c r="BP235" s="506">
        <f>0</f>
        <v>0</v>
      </c>
      <c r="BQ235" s="506">
        <f>0</f>
        <v>0</v>
      </c>
      <c r="BR235" s="556">
        <f>0</f>
        <v>0</v>
      </c>
      <c r="BS235" s="556">
        <f>0</f>
        <v>0</v>
      </c>
      <c r="BT235" s="556">
        <f>0</f>
        <v>0</v>
      </c>
      <c r="BU235" s="556">
        <f>0</f>
        <v>0</v>
      </c>
      <c r="BV235" s="556">
        <f>0</f>
        <v>0</v>
      </c>
      <c r="BW235" s="2371">
        <f>0</f>
        <v>0</v>
      </c>
      <c r="BX235" s="2371">
        <f>0</f>
        <v>0</v>
      </c>
      <c r="BY235" s="2371">
        <f>0</f>
        <v>0</v>
      </c>
      <c r="BZ235" s="2371">
        <f>0</f>
        <v>0</v>
      </c>
      <c r="CA235" s="556">
        <f>0</f>
        <v>0</v>
      </c>
      <c r="CB235" s="556">
        <f>0</f>
        <v>0</v>
      </c>
      <c r="CC235" s="556">
        <f>0</f>
        <v>0</v>
      </c>
      <c r="CD235" s="556">
        <f>0</f>
        <v>0</v>
      </c>
      <c r="CE235" s="556">
        <f>0</f>
        <v>0</v>
      </c>
      <c r="CF235" s="556">
        <f>0</f>
        <v>0</v>
      </c>
      <c r="CG235" s="556">
        <f>0</f>
        <v>0</v>
      </c>
      <c r="CH235" s="556">
        <f>0</f>
        <v>0</v>
      </c>
      <c r="CI235" s="556">
        <f>0</f>
        <v>0</v>
      </c>
      <c r="CJ235" s="556">
        <f>0</f>
        <v>0</v>
      </c>
      <c r="CK235" s="556">
        <f>0</f>
        <v>0</v>
      </c>
      <c r="CL235" s="556">
        <f>0</f>
        <v>0</v>
      </c>
      <c r="CM235" s="556">
        <f>0</f>
        <v>0</v>
      </c>
      <c r="CN235" s="556">
        <f>0</f>
        <v>0</v>
      </c>
      <c r="CO235" s="556">
        <f>0</f>
        <v>0</v>
      </c>
      <c r="CP235" s="556">
        <f>0</f>
        <v>0</v>
      </c>
      <c r="CQ235" s="556">
        <f>0</f>
        <v>0</v>
      </c>
      <c r="CR235" s="556">
        <f>0</f>
        <v>0</v>
      </c>
      <c r="CS235" s="556">
        <f>0</f>
        <v>0</v>
      </c>
      <c r="CT235" s="2491">
        <f>q_P_HAO_BIND*X_HAO_L*M_satSPO4_KP_HAO_BIND</f>
        <v>8.3333333333333332E-51</v>
      </c>
      <c r="CV235" s="2502">
        <f>E266*E235+F266*F235+G266*G235+H266*H235+I266*I235+J266*J235+K266*K235+L266*L235+M266*M235+N266*N235+O266*O235+P266*P235+Q266*Q235+R266*R235+S266*S235+T266*T235+U266*U235+V266*V235+W266*W235+X266*X235+Y266*Y235+Z266*Z235+AA266*AA235+AB266*AB235+AC266*AC235+AD266*AD235+AE266*AE235+AF266*AF235+AG266*AG235+AH266*AH235+AI266*AI235+AJ266*AJ235+AK266*AK235+AL266*AL235+AM266*AM235+AN266*AN235+AO266*AO235+AP266*AP235+AQ266*AQ235+AR266*AR235+AS266*AS235+AT266*AT235+AU266*AU235+AV266*AV235+AW266*AW235+AX266*AX235+AY266*AY235+AZ266*AZ235+BA266*BA235+BB266*BB235+BC266*BC235+BD266*BD235+BE266*BE235+BF266*BF235+BG266*BG235+BH266*BH235+BI266*BI235+BJ266*BJ235+BK266*BK235+BL266*BL235+BM266*BM235+BN266*BN235+BO266*BO235+BP266*BP235+BQ266*BQ235+BR266*BR235+BS266*BS235+BT266*BT235+BU266*BU235+BV266*BV235+BW266*BW235+BX266*BX235+BY266*BY235+BZ266*BZ235+CA266*CA235+CB266*CB235+CC266*CC235+CD266*CD235+CE266*CE235+CF266*CF235+CG266*CG235+CH266*CH235+CI266*CI235+CJ266*CJ235+CK266*CK235+CL266*CL235+CM266*CM235+CN266*CN235+CO266*CO235+CP266*CP235+CQ266*CQ235+CR266*CR235+CS266*CS235</f>
        <v>0</v>
      </c>
      <c r="CW235" s="2502">
        <f>E267*E235+F267*F235+G267*G235+H267*H235+I267*I235+J267*J235+K267*K235+L267*L235+M267*M235+N267*N235+O267*O235+P267*P235+Q267*Q235+R267*R235+S267*S235+T267*T235+U267*U235+V267*V235+W267*W235+X267*X235+Y267*Y235+Z267*Z235+AA267*AA235+AB267*AB235+AC267*AC235+AD267*AD235+AE267*AE235+AF267*AF235+AG267*AG235+AH267*AH235+AI267*AI235+AJ267*AJ235+AK267*AK235+AL267*AL235+AM267*AM235+AN267*AN235+AO267*AO235+AP267*AP235+AQ267*AQ235+AR267*AR235+AS267*AS235+AT267*AT235+AU267*AU235+AV267*AV235+AW267*AW235+AX267*AX235+AY267*AY235+AZ267*AZ235+BA267*BA235+BB267*BB235+BC267*BC235+BD267*BD235+BE267*BE235+BF267*BF235+BG267*BG235+BH267*BH235+BI267*BI235+BJ267*BJ235+BK267*BK235+BL267*BL235+BM267*BM235+BN267*BN235+BO267*BO235+BP267*BP235+BQ267*BQ235+BR267*BR235+BS267*BS235+BT267*BT235+BU267*BU235+BV267*BV235+BW267*BW235+BX267*BX235+BY267*BY235+BZ267*BZ235+CA267*CA235+CB267*CB235+CC267*CC235+CD267*CD235+CE267*CE235+CF267*CF235+CG267*CG235+CH267*CH235+CI267*CI235+CJ267*CJ235+CK267*CK235+CL267*CL235+CM267*CM235+CN267*CN235+CO267*CO235+CP267*CP235+CQ267*CQ235+CR267*CR235+CS267*CS235</f>
        <v>0</v>
      </c>
      <c r="CX235" s="2503">
        <f>E268*E235+F268*F235+G268*G235+H268*H235+I268*I235+J268*J235+K268*K235+L268*L235+M268*M235+N268*N235+O268*O235+P268*P235+Q268*Q235+R268*R235+S268*S235+T268*T235+U268*U235+V268*V235+W268*W235+X268*X235+Y268*Y235+Z268*Z235+AA268*AA235+AB268*AB235+AC268*AC235+AD268*AD235+AE268*AE235+AF268*AF235+AG268*AG235+AH268*AH235+AI268*AI235+AJ268*AJ235+AK268*AK235+AL268*AL235+AM268*AM235+AN268*AN235+AO268*AO235+AP268*AP235+AQ268*AQ235+AR268*AR235+AS268*AS235+AT268*AT235+AU268*AU235+AV268*AV235+AW268*AW235+AX268*AX235+AY268*AY235+AZ268*AZ235+BA268*BA235+BB268*BB235+BC268*BC235+BD268*BD235+BE268*BE235+BF268*BF235+BG268*BG235+BH268*BH235+BI268*BI235+BJ268*BJ235+BK268*BK235+BL268*BL235+BM268*BM235+BN268*BN235+BO268*BO235+BP268*BP235+BQ268*BQ235+BR268*BR235+BS268*BS235+BT268*BT235+BU268*BU235+BV268*BV235+BW268*BW235+BX268*BX235+BY268*BY235+BZ268*BZ235+CA268*CA235+CB268*CB235+CC268*CC235+CD268*CD235+CE268*CE235+CF268*CF235+CG268*CG235+CH268*CH235+CI268*CI235+CJ268*CJ235+CK268*CK235+CL268*CL235+CM268*CM235+CN268*CN235+CO268*CO235+CP268*CP235+CQ268*CQ235+CR268*CR235+CS268*CS235</f>
        <v>0</v>
      </c>
      <c r="CY235" s="2504">
        <f>E269*E235+F269*F235+G269*G235+H269*H235+I269*I235+J269*J235+K269*K235+L269*L235+M269*M235+N269*N235+O269*O235+P269*P235+Q269*Q235+R269*R235+S269*S235+T269*T235+U269*U235+V269*V235+W269*W235+X269*X235+Y269*Y235+Z269*Z235+AA269*AA235+AB269*AB235+AC269*AC235+AD269*AD235+AE269*AE235+AF269*AF235+AG269*AG235+AH269*AH235+AI269*AI235+AJ269*AJ235+AK269*AK235+AL269*AL235+AM269*AM235+AN269*AN235+AO269*AO235+AP269*AP235+AQ269*AQ235+AR269*AR235+AS269*AS235+AT269*AT235+AU269*AU235+AV269*AV235+AW269*AW235+AX269*AX235+AY269*AY235+AZ269*AZ235+BA269*BA235+BB269*BB235+BC269*BC235+BD269*BD235+BE269*BE235+BF269*BF235+BG269*BG235+BH269*BH235+BI269*BI235+BJ269*BJ235+BK269*BK235+BL269*BL235+BM269*BM235+BN269*BN235+BO269*BO235+BP269*BP235+BQ269*BQ235+BR269*BR235+BS269*BS235+BT269*BT235+BU269*BU235+BV269*BV235+BW269*BW235+BX269*BX235+BY269*BY235+BZ269*BZ235+CA269*CA235+CB269*CB235+CC269*CC235+CD269*CD235+CE269*CE235+CF269*CF235+CG269*CG235+CH269*CH235+CI269*CI235+CJ269*CJ235+CK269*CK235+CL269*CL235+CM269*CM235+CN269*CN235+CO269*CO235+CP269*CP235+CQ269*CQ235+CR269*CR235+CS269*CS235</f>
        <v>0</v>
      </c>
      <c r="CZ235" s="2504">
        <f>E270*E235+F270*F235+G270*G235+H270*H235+I270*I235+J270*J235+K270*K235+L270*L235+M270*M235+N270*N235+O270*O235+P270*P235+Q270*Q235+R270*R235+S270*S235+T270*T235+U270*U235+V270*V235+W270*W235+X270*X235+Y270*Y235+Z270*Z235+AA270*AA235+AB270*AB235+AC270*AC235+AD270*AD235+AE270*AE235+AF270*AF235+AG270*AG235+AH270*AH235+AI270*AI235+AJ270*AJ235+AK270*AK235+AL270*AL235+AM270*AM235+AN270*AN235+AO270*AO235+AP270*AP235+AQ270*AQ235+AR270*AR235+AS270*AS235+AT270*AT235+AU270*AU235+AV270*AV235+AW270*AW235+AX270*AX235+AY270*AY235+AZ270*AZ235+BA270*BA235+BB270*BB235+BC270*BC235+BD270*BD235+BE270*BE235+BF270*BF235+BG270*BG235+BH270*BH235+BI270*BI235+BJ270*BJ235+BK270*BK235+BL270*BL235+BM270*BM235+BN270*BN235+BO270*BO235+BP270*BP235+BQ270*BQ235+BR270*BR235+BS270*BS235+BT270*BT235+BU270*BU235+BV270*BV235+BW270*BW235+BX270*BX235+BY270*BY235+BZ270*BZ235+CA270*CA235+CB270*CB235+CC270*CC235+CD270*CD235+CE270*CE235+CF270*CF235+CG270*CG235+CH270*CH235+CI270*CI235+CJ270*CJ235+CK270*CK235+CL270*CL235+CM270*CM235+CN270*CN235+CO270*CO235+CP270*CP235+CQ270*CQ235+CR270*CR235+CS270*CS235</f>
        <v>0</v>
      </c>
      <c r="DA235" s="2504">
        <f>E271*E235+F271*F235+G271*G235+H271*H235+I271*I235+J271*J235+K271*K235+L271*L235+M271*M235+N271*N235+O271*O235+P271*P235+Q271*Q235+R271*R235+S271*S235+T271*T235+U271*U235+V271*V235+W271*W235+X271*X235+Y271*Y235+Z271*Z235+AA271*AA235+AB271*AB235+AC271*AC235+AD271*AD235+AE271*AE235+AF271*AF235+AG271*AG235+AH271*AH235+AI271*AI235+AJ271*AJ235+AK271*AK235+AL271*AL235+AM271*AM235+AN271*AN235+AO271*AO235+AP271*AP235+AQ271*AQ235+AR271*AR235+AS271*AS235+AT271*AT235+AU271*AU235+AV271*AV235+AW271*AW235+AX271*AX235+AY271*AY235+AZ271*AZ235+BA271*BA235+BB271*BB235+BC271*BC235+BD271*BD235+BE271*BE235+BF271*BF235+BG271*BG235+BH271*BH235+BI271*BI235+BJ271*BJ235+BK271*BK235+BL271*BL235+BM271*BM235+BN271*BN235+BO271*BO235+BP271*BP235+BQ271*BQ235+BR271*BR235+BS271*BS235+BT271*BT235+BU271*BU235+BV271*BV235+BW271*BW235+BX271*BX235+BY271*BY235+BZ271*BZ235+CA271*CA235+CB271*CB235+CC271*CC235+CD271*CD235+CE271*CE235+CF271*CF235+CG271*CG235+CH271*CH235+CI271*CI235+CJ271*CJ235+CK271*CK235+CL271*CL235+CM271*CM235+CN271*CN235+CO271*CO235+CP271*CP235+CQ271*CQ235+CR271*CR235+CS271*CS235</f>
        <v>0</v>
      </c>
      <c r="DB235" s="2504">
        <f>E272*E235+F272*F235+G272*G235+H272*H235+I272*I235+J272*J235+K272*K235+L272*L235+M272*M235+N272*N235+O272*O235+P272*P235+Q272*Q235+R272*R235+S272*S235+T272*T235+U272*U235+V272*V235+W272*W235+X272*X235+Y272*Y235+Z272*Z235+AA272*AA235+AB272*AB235+AC272*AC235+AD272*AD235+AE272*AE235+AF272*AF235+AG272*AG235+AH272*AH235+AI272*AI235+AJ272*AJ235+AK272*AK235+AL272*AL235+AM272*AM235+AN272*AN235+AO272*AO235+AP272*AP235+AQ272*AQ235+AR272*AR235+AS272*AS235+AT272*AT235+AU272*AU235+AV272*AV235+AW272*AW235+AX272*AX235+AY272*AY235+AZ272*AZ235+BA272*BA235+BB272*BB235+BC272*BC235+BD272*BD235+BE272*BE235+BF272*BF235+BG272*BG235+BH272*BH235+BI272*BI235+BJ272*BJ235+BK272*BK235+BL272*BL235+BM272*BM235+BN272*BN235+BO272*BO235+BP272*BP235+BQ272*BQ235+BR272*BR235+BS272*BS235+BT272*BT235+BU272*BU235+BV272*BV235+BW272*BW235+BX272*BX235+BY272*BY235+BZ272*BZ235+CA272*CA235+CB272*CB235+CC272*CC235+CD272*CD235+CE272*CE235+CF272*CF235+CG272*CG235+CH272*CH235+CI272*CI235+CJ272*CJ235+CK272*CK235+CL272*CL235+CM272*CM235+CN272*CN235+CO272*CO235+CP272*CP235+CQ272*CQ235+CR272*CR235+CS272*CS235</f>
        <v>0</v>
      </c>
      <c r="DC235" s="2504">
        <f>E273*E235+F273*F235+G273*G235+H273*H235+I273*I235+J273*J235+K273*K235+L273*L235+M273*M235+N273*N235+O273*O235+P273*P235+Q273*Q235+R273*R235+S273*S235+T273*T235+U273*U235+V273*V235+W273*W235+X273*X235+Y273*Y235+Z273*Z235+AA273*AA235+AB273*AB235+AC273*AC235+AD273*AD235+AE273*AE235+AF273*AF235+AG273*AG235+AH273*AH235+AI273*AI235+AJ273*AJ235+AK273*AK235+AL273*AL235+AM273*AM235+AN273*AN235+AO273*AO235+AP273*AP235+AQ273*AQ235+AR273*AR235+AS273*AS235+AT273*AT235+AU273*AU235+AV273*AV235+AW273*AW235+AX273*AX235+AY273*AY235+AZ273*AZ235+BA273*BA235+BB273*BB235+BC273*BC235+BD273*BD235+BE273*BE235+BF273*BF235+BG273*BG235+BH273*BH235+BI273*BI235+BJ273*BJ235+BK273*BK235+BL273*BL235+BM273*BM235+BN273*BN235+BO273*BO235+BP273*BP235+BQ273*BQ235+BR273*BR235+BS273*BS235+BT273*BT235+BU273*BU235+BV273*BV235+BW273*BW235+BX273*BX235+BY273*BY235+BZ273*BZ235+CA273*CA235+CB273*CB235+CC273*CC235+CD273*CD235+CE273*CE235+CF273*CF235+CG273*CG235+CH273*CH235+CI273*CI235+CJ273*CJ235+CK273*CK235+CL273*CL235+CM273*CM235+CN273*CN235+CO273*CO235+CP273*CP235+CQ273*CQ235+CR273*CR235+CS273*CS235</f>
        <v>0</v>
      </c>
      <c r="DD235" s="2504">
        <f>E274*E235+F274*F235+G274*G235+H274*H235+I274*I235+J274*J235+K274*K235+L274*L235+M274*M235+N274*N235+O274*O235+P274*P235+Q274*Q235+R274*R235+S274*S235+T274*T235+U274*U235+V274*V235+W274*W235+X274*X235+Y274*Y235+Z274*Z235+AA274*AA235+AB274*AB235+AC274*AC235+AD274*AD235+AE274*AE235+AF274*AF235+AG274*AG235+AH274*AH235+AI274*AI235+AJ274*AJ235+AK274*AK235+AL274*AL235+AM274*AM235+AN274*AN235+AO274*AO235+AP274*AP235+AQ274*AQ235+AR274*AR235+AS274*AS235+AT274*AT235+AU274*AU235+AV274*AV235+AW274*AW235+AX274*AX235+AY274*AY235+AZ274*AZ235+BA274*BA235+BB274*BB235+BC274*BC235+BD274*BD235+BE274*BE235+BF274*BF235+BG274*BG235+BH274*BH235+BI274*BI235+BJ274*BJ235+BK274*BK235+BL274*BL235+BM274*BM235+BN274*BN235+BO274*BO235+BP274*BP235+BQ274*BQ235+BR274*BR235+BS274*BS235+BT274*BT235+BU274*BU235+BV274*BV235+BW274*BW235+BX274*BX235+BY274*BY235+BZ274*BZ235+CA274*CA235+CB274*CB235+CC274*CC235+CD274*CD235+CE274*CE235+CF274*CF235+CG274*CG235+CH274*CH235+CI274*CI235+CJ274*CJ235+CK274*CK235+CL274*CL235+CM274*CM235+CN274*CN235+CO274*CO235+CP274*CP235+CQ274*CQ235+CR274*CR235+CS274*CS235</f>
        <v>0</v>
      </c>
      <c r="DE235" s="2504">
        <f>E275*E235+F275*F235+G275*G235+H275*H235+I275*I235+J275*J235+K275*K235+L275*L235+M275*M235+N275*N235+O275*O235+P275*P235+Q275*Q235+R275*R235+S275*S235+T275*T235+U275*U235+V275*V235+W275*W235+X275*X235+Y275*Y235+Z275*Z235+AA275*AA235+AB275*AB235+AC275*AC235+AD275*AD235+AE275*AE235+AF275*AF235+AG275*AG235+AH275*AH235+AI275*AI235+AJ275*AJ235+AK275*AK235+AL275*AL235+AM275*AM235+AN275*AN235+AO275*AO235+AP275*AP235+AQ275*AQ235+AR275*AR235+AS275*AS235+AT275*AT235+AU275*AU235+AV275*AV235+AW275*AW235+AX275*AX235+AY275*AY235+AZ275*AZ235+BA275*BA235+BB275*BB235+BC275*BC235+BD275*BD235+BE275*BE235+BF275*BF235+BG275*BG235+BH275*BH235+BI275*BI235+BJ275*BJ235+BK275*BK235+BL275*BL235+BM275*BM235+BN275*BN235+BO275*BO235+BP275*BP235+BQ275*BQ235+BR275*BR235+BS275*BS235+BT275*BT235+BU275*BU235+BV275*BV235+BW275*BW235+BX275*BX235+BY275*BY235+BZ275*BZ235+CA275*CA235+CB275*CB235+CC275*CC235+CD275*CD235+CE275*CE235+CF275*CF235+CG275*CG235+CH275*CH235+CI275*CI235+CJ275*CJ235+CK275*CK235+CL275*CL235+CM275*CM235+CN275*CN235+CO275*CO235+CP275*CP235+CQ275*CQ235+CR275*CR235+CS275*CS235</f>
        <v>0</v>
      </c>
      <c r="DF235" s="2504">
        <f>E276*E235+F276*F235+G276*G235+H276*H235+I276*I235+J276*J235+K276*K235+L276*L235+M276*M235+N276*N235+O276*O235+P276*P235+Q276*Q235+R276*R235+S276*S235+T276*T235+U276*U235+V276*V235+W276*W235+X276*X235+Y276*Y235+Z276*Z235+AA276*AA235+AB276*AB235+AC276*AC235+AD276*AD235+AE276*AE235+AF276*AF235+AG276*AG235+AH276*AH235+AI276*AI235+AJ276*AJ235+AK276*AK235+AL276*AL235+AM276*AM235+AN276*AN235+AO276*AO235+AP276*AP235+AQ276*AQ235+AR276*AR235+AS276*AS235+AT276*AT235+AU276*AU235+AV276*AV235+AW276*AW235+AX276*AX235+AY276*AY235+AZ276*AZ235+BA276*BA235+BB276*BB235+BC276*BC235+BD276*BD235+BE276*BE235+BF276*BF235+BG276*BG235+BH276*BH235+BI276*BI235+BJ276*BJ235+BK276*BK235+BL276*BL235+BM276*BM235+BN276*BN235+BO276*BO235+BP276*BP235+BQ276*BQ235+BR276*BR235+BS276*BS235+BT276*BT235+BU276*BU235+BV276*BV235+BW276*BW235+BX276*BX235+BY276*BY235+BZ276*BZ235+CA276*CA235+CB276*CB235+CC276*CC235+CD276*CD235+CE276*CE235+CF276*CF235+CG276*CG235+CH276*CH235+CI276*CI235+CJ276*CJ235+CK276*CK235+CL276*CL235+CM276*CM235+CN276*CN235+CO276*CO235+CP276*CP235+CQ276*CQ235+CR276*CR235+CS276*CS235</f>
        <v>0</v>
      </c>
    </row>
    <row r="236" spans="2:110" ht="18" x14ac:dyDescent="0.25">
      <c r="B236" s="1532">
        <v>94</v>
      </c>
      <c r="C236" s="1406" t="s">
        <v>3321</v>
      </c>
      <c r="D236" s="1407" t="s">
        <v>4202</v>
      </c>
      <c r="E236" s="506">
        <f>0</f>
        <v>0</v>
      </c>
      <c r="F236" s="506">
        <f>0</f>
        <v>0</v>
      </c>
      <c r="G236" s="506">
        <f>0</f>
        <v>0</v>
      </c>
      <c r="H236" s="506">
        <f>0</f>
        <v>0</v>
      </c>
      <c r="I236" s="506">
        <f>0</f>
        <v>0</v>
      </c>
      <c r="J236" s="506">
        <f>0</f>
        <v>0</v>
      </c>
      <c r="K236" s="506">
        <f>0</f>
        <v>0</v>
      </c>
      <c r="L236" s="506">
        <f>0</f>
        <v>0</v>
      </c>
      <c r="M236" s="506">
        <f>0</f>
        <v>0</v>
      </c>
      <c r="N236" s="506">
        <f>0</f>
        <v>0</v>
      </c>
      <c r="O236" s="506">
        <f>0</f>
        <v>0</v>
      </c>
      <c r="P236" s="506">
        <f>0</f>
        <v>0</v>
      </c>
      <c r="Q236" s="506">
        <f>0</f>
        <v>0</v>
      </c>
      <c r="R236" s="556">
        <f>0</f>
        <v>0</v>
      </c>
      <c r="S236" s="506">
        <f>0</f>
        <v>0</v>
      </c>
      <c r="T236" s="506">
        <f>0</f>
        <v>0</v>
      </c>
      <c r="U236" s="506">
        <f>0</f>
        <v>0</v>
      </c>
      <c r="V236" s="506">
        <f>0</f>
        <v>0</v>
      </c>
      <c r="W236" s="506">
        <f>0</f>
        <v>0</v>
      </c>
      <c r="X236" s="506">
        <f>0</f>
        <v>0</v>
      </c>
      <c r="Y236" s="506">
        <f>0</f>
        <v>0</v>
      </c>
      <c r="Z236" s="506">
        <f>0</f>
        <v>0</v>
      </c>
      <c r="AA236" s="506">
        <f>0</f>
        <v>0</v>
      </c>
      <c r="AB236" s="506">
        <f>0</f>
        <v>0</v>
      </c>
      <c r="AC236" s="506">
        <f>0</f>
        <v>0</v>
      </c>
      <c r="AD236" s="506">
        <f>0</f>
        <v>0</v>
      </c>
      <c r="AE236" s="556">
        <f>0</f>
        <v>0</v>
      </c>
      <c r="AF236" s="556">
        <f>0</f>
        <v>0</v>
      </c>
      <c r="AG236" s="506">
        <f>0</f>
        <v>0</v>
      </c>
      <c r="AH236" s="506">
        <f>0</f>
        <v>0</v>
      </c>
      <c r="AI236" s="506">
        <f>0</f>
        <v>0</v>
      </c>
      <c r="AJ236" s="506">
        <f>0</f>
        <v>0</v>
      </c>
      <c r="AK236" s="506">
        <f>0</f>
        <v>0</v>
      </c>
      <c r="AL236" s="506">
        <f>0</f>
        <v>0</v>
      </c>
      <c r="AM236" s="556">
        <f>(A_SFHAO_H*(A_MP/A_MAl))</f>
        <v>1.1479629449808202</v>
      </c>
      <c r="AN236" s="506">
        <f>0</f>
        <v>0</v>
      </c>
      <c r="AO236" s="556">
        <f>0</f>
        <v>0</v>
      </c>
      <c r="AP236" s="506">
        <f>0</f>
        <v>0</v>
      </c>
      <c r="AQ236" s="506">
        <f>0</f>
        <v>0</v>
      </c>
      <c r="AR236" s="506">
        <f>0</f>
        <v>0</v>
      </c>
      <c r="AS236" s="556">
        <f>0</f>
        <v>0</v>
      </c>
      <c r="AT236" s="506">
        <f>0</f>
        <v>0</v>
      </c>
      <c r="AU236" s="506">
        <f>0</f>
        <v>0</v>
      </c>
      <c r="AV236" s="506">
        <f>0</f>
        <v>0</v>
      </c>
      <c r="AW236" s="506">
        <f>0</f>
        <v>0</v>
      </c>
      <c r="AX236" s="506">
        <f>0</f>
        <v>0</v>
      </c>
      <c r="AY236" s="506">
        <f>0</f>
        <v>0</v>
      </c>
      <c r="AZ236" s="556">
        <f>0</f>
        <v>0</v>
      </c>
      <c r="BA236" s="506">
        <f>0</f>
        <v>0</v>
      </c>
      <c r="BB236" s="506">
        <f>0</f>
        <v>0</v>
      </c>
      <c r="BC236" s="506">
        <f>0</f>
        <v>0</v>
      </c>
      <c r="BD236" s="556">
        <f>0</f>
        <v>0</v>
      </c>
      <c r="BE236" s="506">
        <f>0</f>
        <v>0</v>
      </c>
      <c r="BF236" s="556">
        <f>0</f>
        <v>0</v>
      </c>
      <c r="BG236" s="556">
        <f>0</f>
        <v>0</v>
      </c>
      <c r="BH236" s="1589">
        <f>0</f>
        <v>0</v>
      </c>
      <c r="BI236" s="1589">
        <f>0</f>
        <v>0</v>
      </c>
      <c r="BJ236" s="1589">
        <f>0</f>
        <v>0</v>
      </c>
      <c r="BK236" s="1589">
        <f>1</f>
        <v>1</v>
      </c>
      <c r="BL236" s="1589">
        <f>0</f>
        <v>0</v>
      </c>
      <c r="BM236" s="1589">
        <f>0</f>
        <v>0</v>
      </c>
      <c r="BN236" s="1589">
        <f>-1</f>
        <v>-1</v>
      </c>
      <c r="BO236" s="1589">
        <f>0</f>
        <v>0</v>
      </c>
      <c r="BP236" s="1589">
        <f>0</f>
        <v>0</v>
      </c>
      <c r="BQ236" s="1589">
        <f>0</f>
        <v>0</v>
      </c>
      <c r="BR236" s="556">
        <f>0</f>
        <v>0</v>
      </c>
      <c r="BS236" s="556">
        <f>0</f>
        <v>0</v>
      </c>
      <c r="BT236" s="556">
        <f>0</f>
        <v>0</v>
      </c>
      <c r="BU236" s="556">
        <f>0</f>
        <v>0</v>
      </c>
      <c r="BV236" s="556">
        <f>0</f>
        <v>0</v>
      </c>
      <c r="BW236" s="2371">
        <f>0</f>
        <v>0</v>
      </c>
      <c r="BX236" s="2371">
        <f>0</f>
        <v>0</v>
      </c>
      <c r="BY236" s="2371">
        <f>0</f>
        <v>0</v>
      </c>
      <c r="BZ236" s="2371">
        <f>0</f>
        <v>0</v>
      </c>
      <c r="CA236" s="556">
        <f>0</f>
        <v>0</v>
      </c>
      <c r="CB236" s="556">
        <f>0</f>
        <v>0</v>
      </c>
      <c r="CC236" s="556">
        <f>0</f>
        <v>0</v>
      </c>
      <c r="CD236" s="556">
        <f>0</f>
        <v>0</v>
      </c>
      <c r="CE236" s="556">
        <f>0</f>
        <v>0</v>
      </c>
      <c r="CF236" s="556">
        <f>0</f>
        <v>0</v>
      </c>
      <c r="CG236" s="556">
        <f>0</f>
        <v>0</v>
      </c>
      <c r="CH236" s="556">
        <f>0</f>
        <v>0</v>
      </c>
      <c r="CI236" s="556">
        <f>0</f>
        <v>0</v>
      </c>
      <c r="CJ236" s="556">
        <f>0</f>
        <v>0</v>
      </c>
      <c r="CK236" s="556">
        <f>0</f>
        <v>0</v>
      </c>
      <c r="CL236" s="556">
        <f>0</f>
        <v>0</v>
      </c>
      <c r="CM236" s="556">
        <f>0</f>
        <v>0</v>
      </c>
      <c r="CN236" s="556">
        <f>0</f>
        <v>0</v>
      </c>
      <c r="CO236" s="556">
        <f>0</f>
        <v>0</v>
      </c>
      <c r="CP236" s="556">
        <f>0</f>
        <v>0</v>
      </c>
      <c r="CQ236" s="556">
        <f>0</f>
        <v>0</v>
      </c>
      <c r="CR236" s="556">
        <f>0</f>
        <v>0</v>
      </c>
      <c r="CS236" s="556">
        <f>0</f>
        <v>0</v>
      </c>
      <c r="CT236" s="2491">
        <f>q_HAOH_DESORP*X_HAO_H_P*M_inhSPO4_KiP_HAO_DESORP</f>
        <v>1.6666666666666669E-49</v>
      </c>
      <c r="CV236" s="2502">
        <f>E266*E236+F266*F236+G266*G236+H266*H236+I266*I236+J266*J236+K266*K236+L266*L236+M266*M236+N266*N236+O266*O236+P266*P236+Q266*Q236+R266*R236+S266*S236+T266*T236+U266*U236+V266*V236+W266*W236+X266*X236+Y266*Y236+Z266*Z236+AA266*AA236+AB266*AB236+AC266*AC236+AD266*AD236+AE266*AE236+AF266*AF236+AG266*AG236+AH266*AH236+AI266*AI236+AJ266*AJ236+AK266*AK236+AL266*AL236+AM266*AM236+AN266*AN236+AO266*AO236+AP266*AP236+AQ266*AQ236+AR266*AR236+AS266*AS236+AT266*AT236+AU266*AU236+AV266*AV236+AW266*AW236+AX266*AX236+AY266*AY236+AZ266*AZ236+BA266*BA236+BB266*BB236+BC266*BC236+BD266*BD236+BE266*BE236+BF266*BF236+BG266*BG236+BH266*BH236+BI266*BI236+BJ266*BJ236+BK266*BK236+BL266*BL236+BM266*BM236+BN266*BN236+BO266*BO236+BP266*BP236+BQ266*BQ236+BR266*BR236+BS266*BS236+BT266*BT236+BU266*BU236+BV266*BV236+BW266*BW236+BX266*BX236+BY266*BY236+BZ266*BZ236+CA266*CA236+CB266*CB236+CC266*CC236+CD266*CD236+CE266*CE236+CF266*CF236+CG266*CG236+CH266*CH236+CI266*CI236+CJ266*CJ236+CK266*CK236+CL266*CL236+CM266*CM236+CN266*CN236+CO266*CO236+CP266*CP236+CQ266*CQ236+CR266*CR236+CS266*CS236</f>
        <v>0</v>
      </c>
      <c r="CW236" s="2502">
        <f>E267*E236+F267*F236+G267*G236+H267*H236+I267*I236+J267*J236+K267*K236+L267*L236+M267*M236+N267*N236+O267*O236+P267*P236+Q267*Q236+R267*R236+S267*S236+T267*T236+U267*U236+V267*V236+W267*W236+X267*X236+Y267*Y236+Z267*Z236+AA267*AA236+AB267*AB236+AC267*AC236+AD267*AD236+AE267*AE236+AF267*AF236+AG267*AG236+AH267*AH236+AI267*AI236+AJ267*AJ236+AK267*AK236+AL267*AL236+AM267*AM236+AN267*AN236+AO267*AO236+AP267*AP236+AQ267*AQ236+AR267*AR236+AS267*AS236+AT267*AT236+AU267*AU236+AV267*AV236+AW267*AW236+AX267*AX236+AY267*AY236+AZ267*AZ236+BA267*BA236+BB267*BB236+BC267*BC236+BD267*BD236+BE267*BE236+BF267*BF236+BG267*BG236+BH267*BH236+BI267*BI236+BJ267*BJ236+BK267*BK236+BL267*BL236+BM267*BM236+BN267*BN236+BO267*BO236+BP267*BP236+BQ267*BQ236+BR267*BR236+BS267*BS236+BT267*BT236+BU267*BU236+BV267*BV236+BW267*BW236+BX267*BX236+BY267*BY236+BZ267*BZ236+CA267*CA236+CB267*CB236+CC267*CC236+CD267*CD236+CE267*CE236+CF267*CF236+CG267*CG236+CH267*CH236+CI267*CI236+CJ267*CJ236+CK267*CK236+CL267*CL236+CM267*CM236+CN267*CN236+CO267*CO236+CP267*CP236+CQ267*CQ236+CR267*CR236+CS267*CS236</f>
        <v>0</v>
      </c>
      <c r="CX236" s="2503">
        <f>E268*E236+F268*F236+G268*G236+H268*H236+I268*I236+J268*J236+K268*K236+L268*L236+M268*M236+N268*N236+O268*O236+P268*P236+Q268*Q236+R268*R236+S268*S236+T268*T236+U268*U236+V268*V236+W268*W236+X268*X236+Y268*Y236+Z268*Z236+AA268*AA236+AB268*AB236+AC268*AC236+AD268*AD236+AE268*AE236+AF268*AF236+AG268*AG236+AH268*AH236+AI268*AI236+AJ268*AJ236+AK268*AK236+AL268*AL236+AM268*AM236+AN268*AN236+AO268*AO236+AP268*AP236+AQ268*AQ236+AR268*AR236+AS268*AS236+AT268*AT236+AU268*AU236+AV268*AV236+AW268*AW236+AX268*AX236+AY268*AY236+AZ268*AZ236+BA268*BA236+BB268*BB236+BC268*BC236+BD268*BD236+BE268*BE236+BF268*BF236+BG268*BG236+BH268*BH236+BI268*BI236+BJ268*BJ236+BK268*BK236+BL268*BL236+BM268*BM236+BN268*BN236+BO268*BO236+BP268*BP236+BQ268*BQ236+BR268*BR236+BS268*BS236+BT268*BT236+BU268*BU236+BV268*BV236+BW268*BW236+BX268*BX236+BY268*BY236+BZ268*BZ236+CA268*CA236+CB268*CB236+CC268*CC236+CD268*CD236+CE268*CE236+CF268*CF236+CG268*CG236+CH268*CH236+CI268*CI236+CJ268*CJ236+CK268*CK236+CL268*CL236+CM268*CM236+CN268*CN236+CO268*CO236+CP268*CP236+CQ268*CQ236+CR268*CR236+CS268*CS236</f>
        <v>0</v>
      </c>
      <c r="CY236" s="2504">
        <f>E269*E236+F269*F236+G269*G236+H269*H236+I269*I236+J269*J236+K269*K236+L269*L236+M269*M236+N269*N236+O269*O236+P269*P236+Q269*Q236+R269*R236+S269*S236+T269*T236+U269*U236+V269*V236+W269*W236+X269*X236+Y269*Y236+Z269*Z236+AA269*AA236+AB269*AB236+AC269*AC236+AD269*AD236+AE269*AE236+AF269*AF236+AG269*AG236+AH269*AH236+AI269*AI236+AJ269*AJ236+AK269*AK236+AL269*AL236+AM269*AM236+AN269*AN236+AO269*AO236+AP269*AP236+AQ269*AQ236+AR269*AR236+AS269*AS236+AT269*AT236+AU269*AU236+AV269*AV236+AW269*AW236+AX269*AX236+AY269*AY236+AZ269*AZ236+BA269*BA236+BB269*BB236+BC269*BC236+BD269*BD236+BE269*BE236+BF269*BF236+BG269*BG236+BH269*BH236+BI269*BI236+BJ269*BJ236+BK269*BK236+BL269*BL236+BM269*BM236+BN269*BN236+BO269*BO236+BP269*BP236+BQ269*BQ236+BR269*BR236+BS269*BS236+BT269*BT236+BU269*BU236+BV269*BV236+BW269*BW236+BX269*BX236+BY269*BY236+BZ269*BZ236+CA269*CA236+CB269*CB236+CC269*CC236+CD269*CD236+CE269*CE236+CF269*CF236+CG269*CG236+CH269*CH236+CI269*CI236+CJ269*CJ236+CK269*CK236+CL269*CL236+CM269*CM236+CN269*CN236+CO269*CO236+CP269*CP236+CQ269*CQ236+CR269*CR236+CS269*CS236</f>
        <v>0</v>
      </c>
      <c r="CZ236" s="2504">
        <f>E270*E236+F270*F236+G270*G236+H270*H236+I270*I236+J270*J236+K270*K236+L270*L236+M270*M236+N270*N236+O270*O236+P270*P236+Q270*Q236+R270*R236+S270*S236+T270*T236+U270*U236+V270*V236+W270*W236+X270*X236+Y270*Y236+Z270*Z236+AA270*AA236+AB270*AB236+AC270*AC236+AD270*AD236+AE270*AE236+AF270*AF236+AG270*AG236+AH270*AH236+AI270*AI236+AJ270*AJ236+AK270*AK236+AL270*AL236+AM270*AM236+AN270*AN236+AO270*AO236+AP270*AP236+AQ270*AQ236+AR270*AR236+AS270*AS236+AT270*AT236+AU270*AU236+AV270*AV236+AW270*AW236+AX270*AX236+AY270*AY236+AZ270*AZ236+BA270*BA236+BB270*BB236+BC270*BC236+BD270*BD236+BE270*BE236+BF270*BF236+BG270*BG236+BH270*BH236+BI270*BI236+BJ270*BJ236+BK270*BK236+BL270*BL236+BM270*BM236+BN270*BN236+BO270*BO236+BP270*BP236+BQ270*BQ236+BR270*BR236+BS270*BS236+BT270*BT236+BU270*BU236+BV270*BV236+BW270*BW236+BX270*BX236+BY270*BY236+BZ270*BZ236+CA270*CA236+CB270*CB236+CC270*CC236+CD270*CD236+CE270*CE236+CF270*CF236+CG270*CG236+CH270*CH236+CI270*CI236+CJ270*CJ236+CK270*CK236+CL270*CL236+CM270*CM236+CN270*CN236+CO270*CO236+CP270*CP236+CQ270*CQ236+CR270*CR236+CS270*CS236</f>
        <v>0</v>
      </c>
      <c r="DA236" s="2504">
        <f>E271*E236+F271*F236+G271*G236+H271*H236+I271*I236+J271*J236+K271*K236+L271*L236+M271*M236+N271*N236+O271*O236+P271*P236+Q271*Q236+R271*R236+S271*S236+T271*T236+U271*U236+V271*V236+W271*W236+X271*X236+Y271*Y236+Z271*Z236+AA271*AA236+AB271*AB236+AC271*AC236+AD271*AD236+AE271*AE236+AF271*AF236+AG271*AG236+AH271*AH236+AI271*AI236+AJ271*AJ236+AK271*AK236+AL271*AL236+AM271*AM236+AN271*AN236+AO271*AO236+AP271*AP236+AQ271*AQ236+AR271*AR236+AS271*AS236+AT271*AT236+AU271*AU236+AV271*AV236+AW271*AW236+AX271*AX236+AY271*AY236+AZ271*AZ236+BA271*BA236+BB271*BB236+BC271*BC236+BD271*BD236+BE271*BE236+BF271*BF236+BG271*BG236+BH271*BH236+BI271*BI236+BJ271*BJ236+BK271*BK236+BL271*BL236+BM271*BM236+BN271*BN236+BO271*BO236+BP271*BP236+BQ271*BQ236+BR271*BR236+BS271*BS236+BT271*BT236+BU271*BU236+BV271*BV236+BW271*BW236+BX271*BX236+BY271*BY236+BZ271*BZ236+CA271*CA236+CB271*CB236+CC271*CC236+CD271*CD236+CE271*CE236+CF271*CF236+CG271*CG236+CH271*CH236+CI271*CI236+CJ271*CJ236+CK271*CK236+CL271*CL236+CM271*CM236+CN271*CN236+CO271*CO236+CP271*CP236+CQ271*CQ236+CR271*CR236+CS271*CS236</f>
        <v>0</v>
      </c>
      <c r="DB236" s="2504">
        <f>E272*E236+F272*F236+G272*G236+H272*H236+I272*I236+J272*J236+K272*K236+L272*L236+M272*M236+N272*N236+O272*O236+P272*P236+Q272*Q236+R272*R236+S272*S236+T272*T236+U272*U236+V272*V236+W272*W236+X272*X236+Y272*Y236+Z272*Z236+AA272*AA236+AB272*AB236+AC272*AC236+AD272*AD236+AE272*AE236+AF272*AF236+AG272*AG236+AH272*AH236+AI272*AI236+AJ272*AJ236+AK272*AK236+AL272*AL236+AM272*AM236+AN272*AN236+AO272*AO236+AP272*AP236+AQ272*AQ236+AR272*AR236+AS272*AS236+AT272*AT236+AU272*AU236+AV272*AV236+AW272*AW236+AX272*AX236+AY272*AY236+AZ272*AZ236+BA272*BA236+BB272*BB236+BC272*BC236+BD272*BD236+BE272*BE236+BF272*BF236+BG272*BG236+BH272*BH236+BI272*BI236+BJ272*BJ236+BK272*BK236+BL272*BL236+BM272*BM236+BN272*BN236+BO272*BO236+BP272*BP236+BQ272*BQ236+BR272*BR236+BS272*BS236+BT272*BT236+BU272*BU236+BV272*BV236+BW272*BW236+BX272*BX236+BY272*BY236+BZ272*BZ236+CA272*CA236+CB272*CB236+CC272*CC236+CD272*CD236+CE272*CE236+CF272*CF236+CG272*CG236+CH272*CH236+CI272*CI236+CJ272*CJ236+CK272*CK236+CL272*CL236+CM272*CM236+CN272*CN236+CO272*CO236+CP272*CP236+CQ272*CQ236+CR272*CR236+CS272*CS236</f>
        <v>0</v>
      </c>
      <c r="DC236" s="2504">
        <f>E273*E236+F273*F236+G273*G236+H273*H236+I273*I236+J273*J236+K273*K236+L273*L236+M273*M236+N273*N236+O273*O236+P273*P236+Q273*Q236+R273*R236+S273*S236+T273*T236+U273*U236+V273*V236+W273*W236+X273*X236+Y273*Y236+Z273*Z236+AA273*AA236+AB273*AB236+AC273*AC236+AD273*AD236+AE273*AE236+AF273*AF236+AG273*AG236+AH273*AH236+AI273*AI236+AJ273*AJ236+AK273*AK236+AL273*AL236+AM273*AM236+AN273*AN236+AO273*AO236+AP273*AP236+AQ273*AQ236+AR273*AR236+AS273*AS236+AT273*AT236+AU273*AU236+AV273*AV236+AW273*AW236+AX273*AX236+AY273*AY236+AZ273*AZ236+BA273*BA236+BB273*BB236+BC273*BC236+BD273*BD236+BE273*BE236+BF273*BF236+BG273*BG236+BH273*BH236+BI273*BI236+BJ273*BJ236+BK273*BK236+BL273*BL236+BM273*BM236+BN273*BN236+BO273*BO236+BP273*BP236+BQ273*BQ236+BR273*BR236+BS273*BS236+BT273*BT236+BU273*BU236+BV273*BV236+BW273*BW236+BX273*BX236+BY273*BY236+BZ273*BZ236+CA273*CA236+CB273*CB236+CC273*CC236+CD273*CD236+CE273*CE236+CF273*CF236+CG273*CG236+CH273*CH236+CI273*CI236+CJ273*CJ236+CK273*CK236+CL273*CL236+CM273*CM236+CN273*CN236+CO273*CO236+CP273*CP236+CQ273*CQ236+CR273*CR236+CS273*CS236</f>
        <v>0</v>
      </c>
      <c r="DD236" s="2504">
        <f>E274*E236+F274*F236+G274*G236+H274*H236+I274*I236+J274*J236+K274*K236+L274*L236+M274*M236+N274*N236+O274*O236+P274*P236+Q274*Q236+R274*R236+S274*S236+T274*T236+U274*U236+V274*V236+W274*W236+X274*X236+Y274*Y236+Z274*Z236+AA274*AA236+AB274*AB236+AC274*AC236+AD274*AD236+AE274*AE236+AF274*AF236+AG274*AG236+AH274*AH236+AI274*AI236+AJ274*AJ236+AK274*AK236+AL274*AL236+AM274*AM236+AN274*AN236+AO274*AO236+AP274*AP236+AQ274*AQ236+AR274*AR236+AS274*AS236+AT274*AT236+AU274*AU236+AV274*AV236+AW274*AW236+AX274*AX236+AY274*AY236+AZ274*AZ236+BA274*BA236+BB274*BB236+BC274*BC236+BD274*BD236+BE274*BE236+BF274*BF236+BG274*BG236+BH274*BH236+BI274*BI236+BJ274*BJ236+BK274*BK236+BL274*BL236+BM274*BM236+BN274*BN236+BO274*BO236+BP274*BP236+BQ274*BQ236+BR274*BR236+BS274*BS236+BT274*BT236+BU274*BU236+BV274*BV236+BW274*BW236+BX274*BX236+BY274*BY236+BZ274*BZ236+CA274*CA236+CB274*CB236+CC274*CC236+CD274*CD236+CE274*CE236+CF274*CF236+CG274*CG236+CH274*CH236+CI274*CI236+CJ274*CJ236+CK274*CK236+CL274*CL236+CM274*CM236+CN274*CN236+CO274*CO236+CP274*CP236+CQ274*CQ236+CR274*CR236+CS274*CS236</f>
        <v>0</v>
      </c>
      <c r="DE236" s="2504">
        <f>E275*E236+F275*F236+G275*G236+H275*H236+I275*I236+J275*J236+K275*K236+L275*L236+M275*M236+N275*N236+O275*O236+P275*P236+Q275*Q236+R275*R236+S275*S236+T275*T236+U275*U236+V275*V236+W275*W236+X275*X236+Y275*Y236+Z275*Z236+AA275*AA236+AB275*AB236+AC275*AC236+AD275*AD236+AE275*AE236+AF275*AF236+AG275*AG236+AH275*AH236+AI275*AI236+AJ275*AJ236+AK275*AK236+AL275*AL236+AM275*AM236+AN275*AN236+AO275*AO236+AP275*AP236+AQ275*AQ236+AR275*AR236+AS275*AS236+AT275*AT236+AU275*AU236+AV275*AV236+AW275*AW236+AX275*AX236+AY275*AY236+AZ275*AZ236+BA275*BA236+BB275*BB236+BC275*BC236+BD275*BD236+BE275*BE236+BF275*BF236+BG275*BG236+BH275*BH236+BI275*BI236+BJ275*BJ236+BK275*BK236+BL275*BL236+BM275*BM236+BN275*BN236+BO275*BO236+BP275*BP236+BQ275*BQ236+BR275*BR236+BS275*BS236+BT275*BT236+BU275*BU236+BV275*BV236+BW275*BW236+BX275*BX236+BY275*BY236+BZ275*BZ236+CA275*CA236+CB275*CB236+CC275*CC236+CD275*CD236+CE275*CE236+CF275*CF236+CG275*CG236+CH275*CH236+CI275*CI236+CJ275*CJ236+CK275*CK236+CL275*CL236+CM275*CM236+CN275*CN236+CO275*CO236+CP275*CP236+CQ275*CQ236+CR275*CR236+CS275*CS236</f>
        <v>0</v>
      </c>
      <c r="DF236" s="2504">
        <f>E276*E236+F276*F236+G276*G236+H276*H236+I276*I236+J276*J236+K276*K236+L276*L236+M276*M236+N276*N236+O276*O236+P276*P236+Q276*Q236+R276*R236+S276*S236+T276*T236+U276*U236+V276*V236+W276*W236+X276*X236+Y276*Y236+Z276*Z236+AA276*AA236+AB276*AB236+AC276*AC236+AD276*AD236+AE276*AE236+AF276*AF236+AG276*AG236+AH276*AH236+AI276*AI236+AJ276*AJ236+AK276*AK236+AL276*AL236+AM276*AM236+AN276*AN236+AO276*AO236+AP276*AP236+AQ276*AQ236+AR276*AR236+AS276*AS236+AT276*AT236+AU276*AU236+AV276*AV236+AW276*AW236+AX276*AX236+AY276*AY236+AZ276*AZ236+BA276*BA236+BB276*BB236+BC276*BC236+BD276*BD236+BE276*BE236+BF276*BF236+BG276*BG236+BH276*BH236+BI276*BI236+BJ276*BJ236+BK276*BK236+BL276*BL236+BM276*BM236+BN276*BN236+BO276*BO236+BP276*BP236+BQ276*BQ236+BR276*BR236+BS276*BS236+BT276*BT236+BU276*BU236+BV276*BV236+BW276*BW236+BX276*BX236+BY276*BY236+BZ276*BZ236+CA276*CA236+CB276*CB236+CC276*CC236+CD276*CD236+CE276*CE236+CF276*CF236+CG276*CG236+CH276*CH236+CI276*CI236+CJ276*CJ236+CK276*CK236+CL276*CL236+CM276*CM236+CN276*CN236+CO276*CO236+CP276*CP236+CQ276*CQ236+CR276*CR236+CS276*CS236</f>
        <v>0</v>
      </c>
    </row>
    <row r="237" spans="2:110" ht="18" x14ac:dyDescent="0.25">
      <c r="B237" s="1532">
        <v>95</v>
      </c>
      <c r="C237" s="1406" t="s">
        <v>3613</v>
      </c>
      <c r="D237" s="1407" t="s">
        <v>4205</v>
      </c>
      <c r="E237" s="506">
        <f>0</f>
        <v>0</v>
      </c>
      <c r="F237" s="506">
        <f>0</f>
        <v>0</v>
      </c>
      <c r="G237" s="506">
        <f>0</f>
        <v>0</v>
      </c>
      <c r="H237" s="506">
        <f>0</f>
        <v>0</v>
      </c>
      <c r="I237" s="506">
        <f>0</f>
        <v>0</v>
      </c>
      <c r="J237" s="506">
        <f>0</f>
        <v>0</v>
      </c>
      <c r="K237" s="506">
        <f>0</f>
        <v>0</v>
      </c>
      <c r="L237" s="506">
        <f>0</f>
        <v>0</v>
      </c>
      <c r="M237" s="506">
        <f>0</f>
        <v>0</v>
      </c>
      <c r="N237" s="506">
        <f>0</f>
        <v>0</v>
      </c>
      <c r="O237" s="506">
        <f>0</f>
        <v>0</v>
      </c>
      <c r="P237" s="506">
        <f>0</f>
        <v>0</v>
      </c>
      <c r="Q237" s="506">
        <f>0</f>
        <v>0</v>
      </c>
      <c r="R237" s="556">
        <f>0</f>
        <v>0</v>
      </c>
      <c r="S237" s="506">
        <f>0</f>
        <v>0</v>
      </c>
      <c r="T237" s="506">
        <f>0</f>
        <v>0</v>
      </c>
      <c r="U237" s="506">
        <f>0</f>
        <v>0</v>
      </c>
      <c r="V237" s="506">
        <f>0</f>
        <v>0</v>
      </c>
      <c r="W237" s="506">
        <f>0</f>
        <v>0</v>
      </c>
      <c r="X237" s="506">
        <f>0</f>
        <v>0</v>
      </c>
      <c r="Y237" s="506">
        <f>0</f>
        <v>0</v>
      </c>
      <c r="Z237" s="506">
        <f>0</f>
        <v>0</v>
      </c>
      <c r="AA237" s="506">
        <f>0</f>
        <v>0</v>
      </c>
      <c r="AB237" s="506">
        <f>0</f>
        <v>0</v>
      </c>
      <c r="AC237" s="506">
        <f>0</f>
        <v>0</v>
      </c>
      <c r="AD237" s="506">
        <f>0</f>
        <v>0</v>
      </c>
      <c r="AE237" s="556">
        <f>0</f>
        <v>0</v>
      </c>
      <c r="AF237" s="556">
        <f>0</f>
        <v>0</v>
      </c>
      <c r="AG237" s="506">
        <f>0</f>
        <v>0</v>
      </c>
      <c r="AH237" s="506">
        <f>0</f>
        <v>0</v>
      </c>
      <c r="AI237" s="506">
        <f>0</f>
        <v>0</v>
      </c>
      <c r="AJ237" s="506">
        <f>0</f>
        <v>0</v>
      </c>
      <c r="AK237" s="506">
        <f>0</f>
        <v>0</v>
      </c>
      <c r="AL237" s="506">
        <f>0</f>
        <v>0</v>
      </c>
      <c r="AM237" s="556">
        <f>(A_SFHAO_L*(A_MP/A_MAl))</f>
        <v>0.11479629449808203</v>
      </c>
      <c r="AN237" s="506">
        <f>0</f>
        <v>0</v>
      </c>
      <c r="AO237" s="556">
        <f>0</f>
        <v>0</v>
      </c>
      <c r="AP237" s="506">
        <f>0</f>
        <v>0</v>
      </c>
      <c r="AQ237" s="506">
        <f>0</f>
        <v>0</v>
      </c>
      <c r="AR237" s="506">
        <f>0</f>
        <v>0</v>
      </c>
      <c r="AS237" s="556">
        <f>0</f>
        <v>0</v>
      </c>
      <c r="AT237" s="506">
        <f>0</f>
        <v>0</v>
      </c>
      <c r="AU237" s="506">
        <f>0</f>
        <v>0</v>
      </c>
      <c r="AV237" s="506">
        <f>0</f>
        <v>0</v>
      </c>
      <c r="AW237" s="506">
        <f>0</f>
        <v>0</v>
      </c>
      <c r="AX237" s="506">
        <f>0</f>
        <v>0</v>
      </c>
      <c r="AY237" s="506">
        <f>0</f>
        <v>0</v>
      </c>
      <c r="AZ237" s="556">
        <f>0</f>
        <v>0</v>
      </c>
      <c r="BA237" s="506">
        <f>0</f>
        <v>0</v>
      </c>
      <c r="BB237" s="506">
        <f>0</f>
        <v>0</v>
      </c>
      <c r="BC237" s="506">
        <f>0</f>
        <v>0</v>
      </c>
      <c r="BD237" s="556">
        <f>0</f>
        <v>0</v>
      </c>
      <c r="BE237" s="506">
        <f>0</f>
        <v>0</v>
      </c>
      <c r="BF237" s="556">
        <f>0</f>
        <v>0</v>
      </c>
      <c r="BG237" s="556">
        <f>0</f>
        <v>0</v>
      </c>
      <c r="BH237" s="1589">
        <f>0</f>
        <v>0</v>
      </c>
      <c r="BI237" s="1589">
        <f>0</f>
        <v>0</v>
      </c>
      <c r="BJ237" s="1589">
        <f>0</f>
        <v>0</v>
      </c>
      <c r="BK237" s="1589">
        <f>0</f>
        <v>0</v>
      </c>
      <c r="BL237" s="1589">
        <f>1</f>
        <v>1</v>
      </c>
      <c r="BM237" s="1589">
        <f>0</f>
        <v>0</v>
      </c>
      <c r="BN237" s="1589">
        <f>0</f>
        <v>0</v>
      </c>
      <c r="BO237" s="1589">
        <f>-1</f>
        <v>-1</v>
      </c>
      <c r="BP237" s="1589">
        <f>0</f>
        <v>0</v>
      </c>
      <c r="BQ237" s="1589">
        <f>0</f>
        <v>0</v>
      </c>
      <c r="BR237" s="556">
        <f>0</f>
        <v>0</v>
      </c>
      <c r="BS237" s="556">
        <f>0</f>
        <v>0</v>
      </c>
      <c r="BT237" s="556">
        <f>0</f>
        <v>0</v>
      </c>
      <c r="BU237" s="556">
        <f>0</f>
        <v>0</v>
      </c>
      <c r="BV237" s="556">
        <f>0</f>
        <v>0</v>
      </c>
      <c r="BW237" s="2371">
        <f>0</f>
        <v>0</v>
      </c>
      <c r="BX237" s="2371">
        <f>0</f>
        <v>0</v>
      </c>
      <c r="BY237" s="2371">
        <f>0</f>
        <v>0</v>
      </c>
      <c r="BZ237" s="2371">
        <f>0</f>
        <v>0</v>
      </c>
      <c r="CA237" s="556">
        <f>0</f>
        <v>0</v>
      </c>
      <c r="CB237" s="556">
        <f>0</f>
        <v>0</v>
      </c>
      <c r="CC237" s="556">
        <f>0</f>
        <v>0</v>
      </c>
      <c r="CD237" s="556">
        <f>0</f>
        <v>0</v>
      </c>
      <c r="CE237" s="556">
        <f>0</f>
        <v>0</v>
      </c>
      <c r="CF237" s="556">
        <f>0</f>
        <v>0</v>
      </c>
      <c r="CG237" s="556">
        <f>0</f>
        <v>0</v>
      </c>
      <c r="CH237" s="556">
        <f>0</f>
        <v>0</v>
      </c>
      <c r="CI237" s="556">
        <f>0</f>
        <v>0</v>
      </c>
      <c r="CJ237" s="556">
        <f>0</f>
        <v>0</v>
      </c>
      <c r="CK237" s="556">
        <f>0</f>
        <v>0</v>
      </c>
      <c r="CL237" s="556">
        <f>0</f>
        <v>0</v>
      </c>
      <c r="CM237" s="556">
        <f>0</f>
        <v>0</v>
      </c>
      <c r="CN237" s="556">
        <f>0</f>
        <v>0</v>
      </c>
      <c r="CO237" s="556">
        <f>0</f>
        <v>0</v>
      </c>
      <c r="CP237" s="556">
        <f>0</f>
        <v>0</v>
      </c>
      <c r="CQ237" s="556">
        <f>0</f>
        <v>0</v>
      </c>
      <c r="CR237" s="556">
        <f>0</f>
        <v>0</v>
      </c>
      <c r="CS237" s="556">
        <f>0</f>
        <v>0</v>
      </c>
      <c r="CT237" s="2491">
        <f>q_HAOL_DESORP*X_HAO_L_P*M_inhSPO4_KiP_HAO_DESORP</f>
        <v>1.6666666666666666E-50</v>
      </c>
      <c r="CV237" s="2502">
        <f>E266*E237+F266*F237+G266*G237+H266*H237+I266*I237+J266*J237+K266*K237+L266*L237+M266*M237+N266*N237+O266*O237+P266*P237+Q266*Q237+R266*R237+S266*S237+T266*T237+U266*U237+V266*V237+W266*W237+X266*X237+Y266*Y237+Z266*Z237+AA266*AA237+AB266*AB237+AC266*AC237+AD266*AD237+AE266*AE237+AF266*AF237+AG266*AG237+AH266*AH237+AI266*AI237+AJ266*AJ237+AK266*AK237+AL266*AL237+AM266*AM237+AN266*AN237+AO266*AO237+AP266*AP237+AQ266*AQ237+AR266*AR237+AS266*AS237+AT266*AT237+AU266*AU237+AV266*AV237+AW266*AW237+AX266*AX237+AY266*AY237+AZ266*AZ237+BA266*BA237+BB266*BB237+BC266*BC237+BD266*BD237+BE266*BE237+BF266*BF237+BG266*BG237+BH266*BH237+BI266*BI237+BJ266*BJ237+BK266*BK237+BL266*BL237+BM266*BM237+BN266*BN237+BO266*BO237+BP266*BP237+BQ266*BQ237+BR266*BR237+BS266*BS237+BT266*BT237+BU266*BU237+BV266*BV237+BW266*BW237+BX266*BX237+BY266*BY237+BZ266*BZ237+CA266*CA237+CB266*CB237+CC266*CC237+CD266*CD237+CE266*CE237+CF266*CF237+CG266*CG237+CH266*CH237+CI266*CI237+CJ266*CJ237+CK266*CK237+CL266*CL237+CM266*CM237+CN266*CN237+CO266*CO237+CP266*CP237+CQ266*CQ237+CR266*CR237+CS266*CS237</f>
        <v>0</v>
      </c>
      <c r="CW237" s="2502">
        <f>E267*E237+F267*F237+G267*G237+H267*H237+I267*I237+J267*J237+K267*K237+L267*L237+M267*M237+N267*N237+O267*O237+P267*P237+Q267*Q237+R267*R237+S267*S237+T267*T237+U267*U237+V267*V237+W267*W237+X267*X237+Y267*Y237+Z267*Z237+AA267*AA237+AB267*AB237+AC267*AC237+AD267*AD237+AE267*AE237+AF267*AF237+AG267*AG237+AH267*AH237+AI267*AI237+AJ267*AJ237+AK267*AK237+AL267*AL237+AM267*AM237+AN267*AN237+AO267*AO237+AP267*AP237+AQ267*AQ237+AR267*AR237+AS267*AS237+AT267*AT237+AU267*AU237+AV267*AV237+AW267*AW237+AX267*AX237+AY267*AY237+AZ267*AZ237+BA267*BA237+BB267*BB237+BC267*BC237+BD267*BD237+BE267*BE237+BF267*BF237+BG267*BG237+BH267*BH237+BI267*BI237+BJ267*BJ237+BK267*BK237+BL267*BL237+BM267*BM237+BN267*BN237+BO267*BO237+BP267*BP237+BQ267*BQ237+BR267*BR237+BS267*BS237+BT267*BT237+BU267*BU237+BV267*BV237+BW267*BW237+BX267*BX237+BY267*BY237+BZ267*BZ237+CA267*CA237+CB267*CB237+CC267*CC237+CD267*CD237+CE267*CE237+CF267*CF237+CG267*CG237+CH267*CH237+CI267*CI237+CJ267*CJ237+CK267*CK237+CL267*CL237+CM267*CM237+CN267*CN237+CO267*CO237+CP267*CP237+CQ267*CQ237+CR267*CR237+CS267*CS237</f>
        <v>0</v>
      </c>
      <c r="CX237" s="2503">
        <f>E268*E237+F268*F237+G268*G237+H268*H237+I268*I237+J268*J237+K268*K237+L268*L237+M268*M237+N268*N237+O268*O237+P268*P237+Q268*Q237+R268*R237+S268*S237+T268*T237+U268*U237+V268*V237+W268*W237+X268*X237+Y268*Y237+Z268*Z237+AA268*AA237+AB268*AB237+AC268*AC237+AD268*AD237+AE268*AE237+AF268*AF237+AG268*AG237+AH268*AH237+AI268*AI237+AJ268*AJ237+AK268*AK237+AL268*AL237+AM268*AM237+AN268*AN237+AO268*AO237+AP268*AP237+AQ268*AQ237+AR268*AR237+AS268*AS237+AT268*AT237+AU268*AU237+AV268*AV237+AW268*AW237+AX268*AX237+AY268*AY237+AZ268*AZ237+BA268*BA237+BB268*BB237+BC268*BC237+BD268*BD237+BE268*BE237+BF268*BF237+BG268*BG237+BH268*BH237+BI268*BI237+BJ268*BJ237+BK268*BK237+BL268*BL237+BM268*BM237+BN268*BN237+BO268*BO237+BP268*BP237+BQ268*BQ237+BR268*BR237+BS268*BS237+BT268*BT237+BU268*BU237+BV268*BV237+BW268*BW237+BX268*BX237+BY268*BY237+BZ268*BZ237+CA268*CA237+CB268*CB237+CC268*CC237+CD268*CD237+CE268*CE237+CF268*CF237+CG268*CG237+CH268*CH237+CI268*CI237+CJ268*CJ237+CK268*CK237+CL268*CL237+CM268*CM237+CN268*CN237+CO268*CO237+CP268*CP237+CQ268*CQ237+CR268*CR237+CS268*CS237</f>
        <v>0</v>
      </c>
      <c r="CY237" s="2504">
        <f>E269*E237+F269*F237+G269*G237+H269*H237+I269*I237+J269*J237+K269*K237+L269*L237+M269*M237+N269*N237+O269*O237+P269*P237+Q269*Q237+R269*R237+S269*S237+T269*T237+U269*U237+V269*V237+W269*W237+X269*X237+Y269*Y237+Z269*Z237+AA269*AA237+AB269*AB237+AC269*AC237+AD269*AD237+AE269*AE237+AF269*AF237+AG269*AG237+AH269*AH237+AI269*AI237+AJ269*AJ237+AK269*AK237+AL269*AL237+AM269*AM237+AN269*AN237+AO269*AO237+AP269*AP237+AQ269*AQ237+AR269*AR237+AS269*AS237+AT269*AT237+AU269*AU237+AV269*AV237+AW269*AW237+AX269*AX237+AY269*AY237+AZ269*AZ237+BA269*BA237+BB269*BB237+BC269*BC237+BD269*BD237+BE269*BE237+BF269*BF237+BG269*BG237+BH269*BH237+BI269*BI237+BJ269*BJ237+BK269*BK237+BL269*BL237+BM269*BM237+BN269*BN237+BO269*BO237+BP269*BP237+BQ269*BQ237+BR269*BR237+BS269*BS237+BT269*BT237+BU269*BU237+BV269*BV237+BW269*BW237+BX269*BX237+BY269*BY237+BZ269*BZ237+CA269*CA237+CB269*CB237+CC269*CC237+CD269*CD237+CE269*CE237+CF269*CF237+CG269*CG237+CH269*CH237+CI269*CI237+CJ269*CJ237+CK269*CK237+CL269*CL237+CM269*CM237+CN269*CN237+CO269*CO237+CP269*CP237+CQ269*CQ237+CR269*CR237+CS269*CS237</f>
        <v>0</v>
      </c>
      <c r="CZ237" s="2504">
        <f>E270*E237+F270*F237+G270*G237+H270*H237+I270*I237+J270*J237+K270*K237+L270*L237+M270*M237+N270*N237+O270*O237+P270*P237+Q270*Q237+R270*R237+S270*S237+T270*T237+U270*U237+V270*V237+W270*W237+X270*X237+Y270*Y237+Z270*Z237+AA270*AA237+AB270*AB237+AC270*AC237+AD270*AD237+AE270*AE237+AF270*AF237+AG270*AG237+AH270*AH237+AI270*AI237+AJ270*AJ237+AK270*AK237+AL270*AL237+AM270*AM237+AN270*AN237+AO270*AO237+AP270*AP237+AQ270*AQ237+AR270*AR237+AS270*AS237+AT270*AT237+AU270*AU237+AV270*AV237+AW270*AW237+AX270*AX237+AY270*AY237+AZ270*AZ237+BA270*BA237+BB270*BB237+BC270*BC237+BD270*BD237+BE270*BE237+BF270*BF237+BG270*BG237+BH270*BH237+BI270*BI237+BJ270*BJ237+BK270*BK237+BL270*BL237+BM270*BM237+BN270*BN237+BO270*BO237+BP270*BP237+BQ270*BQ237+BR270*BR237+BS270*BS237+BT270*BT237+BU270*BU237+BV270*BV237+BW270*BW237+BX270*BX237+BY270*BY237+BZ270*BZ237+CA270*CA237+CB270*CB237+CC270*CC237+CD270*CD237+CE270*CE237+CF270*CF237+CG270*CG237+CH270*CH237+CI270*CI237+CJ270*CJ237+CK270*CK237+CL270*CL237+CM270*CM237+CN270*CN237+CO270*CO237+CP270*CP237+CQ270*CQ237+CR270*CR237+CS270*CS237</f>
        <v>0</v>
      </c>
      <c r="DA237" s="2504">
        <f>E271*E237+F271*F237+G271*G237+H271*H237+I271*I237+J271*J237+K271*K237+L271*L237+M271*M237+N271*N237+O271*O237+P271*P237+Q271*Q237+R271*R237+S271*S237+T271*T237+U271*U237+V271*V237+W271*W237+X271*X237+Y271*Y237+Z271*Z237+AA271*AA237+AB271*AB237+AC271*AC237+AD271*AD237+AE271*AE237+AF271*AF237+AG271*AG237+AH271*AH237+AI271*AI237+AJ271*AJ237+AK271*AK237+AL271*AL237+AM271*AM237+AN271*AN237+AO271*AO237+AP271*AP237+AQ271*AQ237+AR271*AR237+AS271*AS237+AT271*AT237+AU271*AU237+AV271*AV237+AW271*AW237+AX271*AX237+AY271*AY237+AZ271*AZ237+BA271*BA237+BB271*BB237+BC271*BC237+BD271*BD237+BE271*BE237+BF271*BF237+BG271*BG237+BH271*BH237+BI271*BI237+BJ271*BJ237+BK271*BK237+BL271*BL237+BM271*BM237+BN271*BN237+BO271*BO237+BP271*BP237+BQ271*BQ237+BR271*BR237+BS271*BS237+BT271*BT237+BU271*BU237+BV271*BV237+BW271*BW237+BX271*BX237+BY271*BY237+BZ271*BZ237+CA271*CA237+CB271*CB237+CC271*CC237+CD271*CD237+CE271*CE237+CF271*CF237+CG271*CG237+CH271*CH237+CI271*CI237+CJ271*CJ237+CK271*CK237+CL271*CL237+CM271*CM237+CN271*CN237+CO271*CO237+CP271*CP237+CQ271*CQ237+CR271*CR237+CS271*CS237</f>
        <v>0</v>
      </c>
      <c r="DB237" s="2504">
        <f>E272*E237+F272*F237+G272*G237+H272*H237+I272*I237+J272*J237+K272*K237+L272*L237+M272*M237+N272*N237+O272*O237+P272*P237+Q272*Q237+R272*R237+S272*S237+T272*T237+U272*U237+V272*V237+W272*W237+X272*X237+Y272*Y237+Z272*Z237+AA272*AA237+AB272*AB237+AC272*AC237+AD272*AD237+AE272*AE237+AF272*AF237+AG272*AG237+AH272*AH237+AI272*AI237+AJ272*AJ237+AK272*AK237+AL272*AL237+AM272*AM237+AN272*AN237+AO272*AO237+AP272*AP237+AQ272*AQ237+AR272*AR237+AS272*AS237+AT272*AT237+AU272*AU237+AV272*AV237+AW272*AW237+AX272*AX237+AY272*AY237+AZ272*AZ237+BA272*BA237+BB272*BB237+BC272*BC237+BD272*BD237+BE272*BE237+BF272*BF237+BG272*BG237+BH272*BH237+BI272*BI237+BJ272*BJ237+BK272*BK237+BL272*BL237+BM272*BM237+BN272*BN237+BO272*BO237+BP272*BP237+BQ272*BQ237+BR272*BR237+BS272*BS237+BT272*BT237+BU272*BU237+BV272*BV237+BW272*BW237+BX272*BX237+BY272*BY237+BZ272*BZ237+CA272*CA237+CB272*CB237+CC272*CC237+CD272*CD237+CE272*CE237+CF272*CF237+CG272*CG237+CH272*CH237+CI272*CI237+CJ272*CJ237+CK272*CK237+CL272*CL237+CM272*CM237+CN272*CN237+CO272*CO237+CP272*CP237+CQ272*CQ237+CR272*CR237+CS272*CS237</f>
        <v>0</v>
      </c>
      <c r="DC237" s="2504">
        <f>E273*E237+F273*F237+G273*G237+H273*H237+I273*I237+J273*J237+K273*K237+L273*L237+M273*M237+N273*N237+O273*O237+P273*P237+Q273*Q237+R273*R237+S273*S237+T273*T237+U273*U237+V273*V237+W273*W237+X273*X237+Y273*Y237+Z273*Z237+AA273*AA237+AB273*AB237+AC273*AC237+AD273*AD237+AE273*AE237+AF273*AF237+AG273*AG237+AH273*AH237+AI273*AI237+AJ273*AJ237+AK273*AK237+AL273*AL237+AM273*AM237+AN273*AN237+AO273*AO237+AP273*AP237+AQ273*AQ237+AR273*AR237+AS273*AS237+AT273*AT237+AU273*AU237+AV273*AV237+AW273*AW237+AX273*AX237+AY273*AY237+AZ273*AZ237+BA273*BA237+BB273*BB237+BC273*BC237+BD273*BD237+BE273*BE237+BF273*BF237+BG273*BG237+BH273*BH237+BI273*BI237+BJ273*BJ237+BK273*BK237+BL273*BL237+BM273*BM237+BN273*BN237+BO273*BO237+BP273*BP237+BQ273*BQ237+BR273*BR237+BS273*BS237+BT273*BT237+BU273*BU237+BV273*BV237+BW273*BW237+BX273*BX237+BY273*BY237+BZ273*BZ237+CA273*CA237+CB273*CB237+CC273*CC237+CD273*CD237+CE273*CE237+CF273*CF237+CG273*CG237+CH273*CH237+CI273*CI237+CJ273*CJ237+CK273*CK237+CL273*CL237+CM273*CM237+CN273*CN237+CO273*CO237+CP273*CP237+CQ273*CQ237+CR273*CR237+CS273*CS237</f>
        <v>0</v>
      </c>
      <c r="DD237" s="2504">
        <f>E274*E237+F274*F237+G274*G237+H274*H237+I274*I237+J274*J237+K274*K237+L274*L237+M274*M237+N274*N237+O274*O237+P274*P237+Q274*Q237+R274*R237+S274*S237+T274*T237+U274*U237+V274*V237+W274*W237+X274*X237+Y274*Y237+Z274*Z237+AA274*AA237+AB274*AB237+AC274*AC237+AD274*AD237+AE274*AE237+AF274*AF237+AG274*AG237+AH274*AH237+AI274*AI237+AJ274*AJ237+AK274*AK237+AL274*AL237+AM274*AM237+AN274*AN237+AO274*AO237+AP274*AP237+AQ274*AQ237+AR274*AR237+AS274*AS237+AT274*AT237+AU274*AU237+AV274*AV237+AW274*AW237+AX274*AX237+AY274*AY237+AZ274*AZ237+BA274*BA237+BB274*BB237+BC274*BC237+BD274*BD237+BE274*BE237+BF274*BF237+BG274*BG237+BH274*BH237+BI274*BI237+BJ274*BJ237+BK274*BK237+BL274*BL237+BM274*BM237+BN274*BN237+BO274*BO237+BP274*BP237+BQ274*BQ237+BR274*BR237+BS274*BS237+BT274*BT237+BU274*BU237+BV274*BV237+BW274*BW237+BX274*BX237+BY274*BY237+BZ274*BZ237+CA274*CA237+CB274*CB237+CC274*CC237+CD274*CD237+CE274*CE237+CF274*CF237+CG274*CG237+CH274*CH237+CI274*CI237+CJ274*CJ237+CK274*CK237+CL274*CL237+CM274*CM237+CN274*CN237+CO274*CO237+CP274*CP237+CQ274*CQ237+CR274*CR237+CS274*CS237</f>
        <v>0</v>
      </c>
      <c r="DE237" s="2504">
        <f>E275*E237+F275*F237+G275*G237+H275*H237+I275*I237+J275*J237+K275*K237+L275*L237+M275*M237+N275*N237+O275*O237+P275*P237+Q275*Q237+R275*R237+S275*S237+T275*T237+U275*U237+V275*V237+W275*W237+X275*X237+Y275*Y237+Z275*Z237+AA275*AA237+AB275*AB237+AC275*AC237+AD275*AD237+AE275*AE237+AF275*AF237+AG275*AG237+AH275*AH237+AI275*AI237+AJ275*AJ237+AK275*AK237+AL275*AL237+AM275*AM237+AN275*AN237+AO275*AO237+AP275*AP237+AQ275*AQ237+AR275*AR237+AS275*AS237+AT275*AT237+AU275*AU237+AV275*AV237+AW275*AW237+AX275*AX237+AY275*AY237+AZ275*AZ237+BA275*BA237+BB275*BB237+BC275*BC237+BD275*BD237+BE275*BE237+BF275*BF237+BG275*BG237+BH275*BH237+BI275*BI237+BJ275*BJ237+BK275*BK237+BL275*BL237+BM275*BM237+BN275*BN237+BO275*BO237+BP275*BP237+BQ275*BQ237+BR275*BR237+BS275*BS237+BT275*BT237+BU275*BU237+BV275*BV237+BW275*BW237+BX275*BX237+BY275*BY237+BZ275*BZ237+CA275*CA237+CB275*CB237+CC275*CC237+CD275*CD237+CE275*CE237+CF275*CF237+CG275*CG237+CH275*CH237+CI275*CI237+CJ275*CJ237+CK275*CK237+CL275*CL237+CM275*CM237+CN275*CN237+CO275*CO237+CP275*CP237+CQ275*CQ237+CR275*CR237+CS275*CS237</f>
        <v>0</v>
      </c>
      <c r="DF237" s="2504">
        <f>E276*E237+F276*F237+G276*G237+H276*H237+I276*I237+J276*J237+K276*K237+L276*L237+M276*M237+N276*N237+O276*O237+P276*P237+Q276*Q237+R276*R237+S276*S237+T276*T237+U276*U237+V276*V237+W276*W237+X276*X237+Y276*Y237+Z276*Z237+AA276*AA237+AB276*AB237+AC276*AC237+AD276*AD237+AE276*AE237+AF276*AF237+AG276*AG237+AH276*AH237+AI276*AI237+AJ276*AJ237+AK276*AK237+AL276*AL237+AM276*AM237+AN276*AN237+AO276*AO237+AP276*AP237+AQ276*AQ237+AR276*AR237+AS276*AS237+AT276*AT237+AU276*AU237+AV276*AV237+AW276*AW237+AX276*AX237+AY276*AY237+AZ276*AZ237+BA276*BA237+BB276*BB237+BC276*BC237+BD276*BD237+BE276*BE237+BF276*BF237+BG276*BG237+BH276*BH237+BI276*BI237+BJ276*BJ237+BK276*BK237+BL276*BL237+BM276*BM237+BN276*BN237+BO276*BO237+BP276*BP237+BQ276*BQ237+BR276*BR237+BS276*BS237+BT276*BT237+BU276*BU237+BV276*BV237+BW276*BW237+BX276*BX237+BY276*BY237+BZ276*BZ237+CA276*CA237+CB276*CB237+CC276*CC237+CD276*CD237+CE276*CE237+CF276*CF237+CG276*CG237+CH276*CH237+CI276*CI237+CJ276*CJ237+CK276*CK237+CL276*CL237+CM276*CM237+CN276*CN237+CO276*CO237+CP276*CP237+CQ276*CQ237+CR276*CR237+CS276*CS237</f>
        <v>0</v>
      </c>
    </row>
    <row r="238" spans="2:110" ht="18" x14ac:dyDescent="0.25">
      <c r="B238" s="1532">
        <v>96</v>
      </c>
      <c r="C238" s="1406" t="s">
        <v>3614</v>
      </c>
      <c r="D238" s="1407" t="s">
        <v>4208</v>
      </c>
      <c r="E238" s="506">
        <f>0</f>
        <v>0</v>
      </c>
      <c r="F238" s="506">
        <f>0</f>
        <v>0</v>
      </c>
      <c r="G238" s="506">
        <f>0</f>
        <v>0</v>
      </c>
      <c r="H238" s="506">
        <f>0</f>
        <v>0</v>
      </c>
      <c r="I238" s="506">
        <f>0</f>
        <v>0</v>
      </c>
      <c r="J238" s="506">
        <f>0</f>
        <v>0</v>
      </c>
      <c r="K238" s="506">
        <f>0</f>
        <v>0</v>
      </c>
      <c r="L238" s="506">
        <f>0</f>
        <v>0</v>
      </c>
      <c r="M238" s="506">
        <f>0</f>
        <v>0</v>
      </c>
      <c r="N238" s="506">
        <f>0</f>
        <v>0</v>
      </c>
      <c r="O238" s="506">
        <f>0</f>
        <v>0</v>
      </c>
      <c r="P238" s="506">
        <f>0</f>
        <v>0</v>
      </c>
      <c r="Q238" s="506">
        <f>0</f>
        <v>0</v>
      </c>
      <c r="R238" s="556">
        <f>0</f>
        <v>0</v>
      </c>
      <c r="S238" s="506">
        <f>0</f>
        <v>0</v>
      </c>
      <c r="T238" s="506">
        <f>0</f>
        <v>0</v>
      </c>
      <c r="U238" s="506">
        <f>0</f>
        <v>0</v>
      </c>
      <c r="V238" s="506">
        <f>0</f>
        <v>0</v>
      </c>
      <c r="W238" s="506">
        <f>0</f>
        <v>0</v>
      </c>
      <c r="X238" s="506">
        <f>0</f>
        <v>0</v>
      </c>
      <c r="Y238" s="506">
        <f>0</f>
        <v>0</v>
      </c>
      <c r="Z238" s="506">
        <f>0</f>
        <v>0</v>
      </c>
      <c r="AA238" s="506">
        <f>0</f>
        <v>0</v>
      </c>
      <c r="AB238" s="506">
        <f>0</f>
        <v>0</v>
      </c>
      <c r="AC238" s="506">
        <f>0</f>
        <v>0</v>
      </c>
      <c r="AD238" s="506">
        <f>0</f>
        <v>0</v>
      </c>
      <c r="AE238" s="556">
        <f>0</f>
        <v>0</v>
      </c>
      <c r="AF238" s="556">
        <f>0</f>
        <v>0</v>
      </c>
      <c r="AG238" s="506">
        <f>0</f>
        <v>0</v>
      </c>
      <c r="AH238" s="506">
        <f>0</f>
        <v>0</v>
      </c>
      <c r="AI238" s="506">
        <f>0</f>
        <v>0</v>
      </c>
      <c r="AJ238" s="506">
        <f>0</f>
        <v>0</v>
      </c>
      <c r="AK238" s="506">
        <f>0</f>
        <v>0</v>
      </c>
      <c r="AL238" s="506">
        <f>0</f>
        <v>0</v>
      </c>
      <c r="AM238" s="556">
        <f>(A_SFHAO_H*(A_MP/A_MAl))*X_HAO_H_P_old/(X_HAO_H_P_old+X_HAO_L_P_old)+(A_SFHAO_L*(A_MP/A_MAl))*X_HAO_L_P_old/(X_HAO_H_P_old+X_HAO_L_P_old)</f>
        <v>0.63137961973945111</v>
      </c>
      <c r="AN238" s="506">
        <f>0</f>
        <v>0</v>
      </c>
      <c r="AO238" s="556">
        <f>0</f>
        <v>0</v>
      </c>
      <c r="AP238" s="506">
        <f>0</f>
        <v>0</v>
      </c>
      <c r="AQ238" s="506">
        <f>0</f>
        <v>0</v>
      </c>
      <c r="AR238" s="506">
        <f>0</f>
        <v>0</v>
      </c>
      <c r="AS238" s="556">
        <f>0</f>
        <v>0</v>
      </c>
      <c r="AT238" s="506">
        <f>0</f>
        <v>0</v>
      </c>
      <c r="AU238" s="506">
        <f>0</f>
        <v>0</v>
      </c>
      <c r="AV238" s="506">
        <f>0</f>
        <v>0</v>
      </c>
      <c r="AW238" s="506">
        <f>0</f>
        <v>0</v>
      </c>
      <c r="AX238" s="506">
        <f>0</f>
        <v>0</v>
      </c>
      <c r="AY238" s="506">
        <f>0</f>
        <v>0</v>
      </c>
      <c r="AZ238" s="556">
        <f>0</f>
        <v>0</v>
      </c>
      <c r="BA238" s="506">
        <f>0</f>
        <v>0</v>
      </c>
      <c r="BB238" s="506">
        <f>0</f>
        <v>0</v>
      </c>
      <c r="BC238" s="506">
        <f>0</f>
        <v>0</v>
      </c>
      <c r="BD238" s="556">
        <f>0</f>
        <v>0</v>
      </c>
      <c r="BE238" s="506">
        <f>0</f>
        <v>0</v>
      </c>
      <c r="BF238" s="556">
        <f>0</f>
        <v>0</v>
      </c>
      <c r="BG238" s="556">
        <f>0</f>
        <v>0</v>
      </c>
      <c r="BH238" s="1589">
        <f>0</f>
        <v>0</v>
      </c>
      <c r="BI238" s="1589">
        <f>0</f>
        <v>0</v>
      </c>
      <c r="BJ238" s="1589">
        <f>0</f>
        <v>0</v>
      </c>
      <c r="BK238" s="1589">
        <f>0</f>
        <v>0</v>
      </c>
      <c r="BL238" s="1589">
        <f>0</f>
        <v>0</v>
      </c>
      <c r="BM238" s="1589">
        <f>1</f>
        <v>1</v>
      </c>
      <c r="BN238" s="1589">
        <f>0</f>
        <v>0</v>
      </c>
      <c r="BO238" s="1589">
        <f>0</f>
        <v>0</v>
      </c>
      <c r="BP238" s="1588">
        <f>-X_HAO_H_P_old/(X_HAO_H_P_old+X_HAO_L_P_old)</f>
        <v>-0.5</v>
      </c>
      <c r="BQ238" s="1588">
        <f>-X_HAO_L_P_old/(X_HAO_H_P_old+X_HAO_L_P_old)</f>
        <v>-0.5</v>
      </c>
      <c r="BR238" s="556">
        <f>0</f>
        <v>0</v>
      </c>
      <c r="BS238" s="556">
        <f>0</f>
        <v>0</v>
      </c>
      <c r="BT238" s="556">
        <f>0</f>
        <v>0</v>
      </c>
      <c r="BU238" s="556">
        <f>0</f>
        <v>0</v>
      </c>
      <c r="BV238" s="556">
        <f>0</f>
        <v>0</v>
      </c>
      <c r="BW238" s="2371">
        <f>0</f>
        <v>0</v>
      </c>
      <c r="BX238" s="2371">
        <f>0</f>
        <v>0</v>
      </c>
      <c r="BY238" s="2371">
        <f>0</f>
        <v>0</v>
      </c>
      <c r="BZ238" s="2371">
        <f>0</f>
        <v>0</v>
      </c>
      <c r="CA238" s="556">
        <f>0</f>
        <v>0</v>
      </c>
      <c r="CB238" s="556">
        <f>0</f>
        <v>0</v>
      </c>
      <c r="CC238" s="556">
        <f>0</f>
        <v>0</v>
      </c>
      <c r="CD238" s="556">
        <f>0</f>
        <v>0</v>
      </c>
      <c r="CE238" s="556">
        <f>0</f>
        <v>0</v>
      </c>
      <c r="CF238" s="556">
        <f>0</f>
        <v>0</v>
      </c>
      <c r="CG238" s="556">
        <f>0</f>
        <v>0</v>
      </c>
      <c r="CH238" s="556">
        <f>0</f>
        <v>0</v>
      </c>
      <c r="CI238" s="556">
        <f>0</f>
        <v>0</v>
      </c>
      <c r="CJ238" s="556">
        <f>0</f>
        <v>0</v>
      </c>
      <c r="CK238" s="556">
        <f>0</f>
        <v>0</v>
      </c>
      <c r="CL238" s="556">
        <f>0</f>
        <v>0</v>
      </c>
      <c r="CM238" s="556">
        <f>0</f>
        <v>0</v>
      </c>
      <c r="CN238" s="556">
        <f>0</f>
        <v>0</v>
      </c>
      <c r="CO238" s="556">
        <f>0</f>
        <v>0</v>
      </c>
      <c r="CP238" s="556">
        <f>0</f>
        <v>0</v>
      </c>
      <c r="CQ238" s="556">
        <f>0</f>
        <v>0</v>
      </c>
      <c r="CR238" s="556">
        <f>0</f>
        <v>0</v>
      </c>
      <c r="CS238" s="556">
        <f>0</f>
        <v>0</v>
      </c>
      <c r="CT238" s="2491">
        <f>q_HAO_DISS*(X_HAO_H_P_old+X_HAO_L_P_old)*L_oginhSPO4_KiP_HAO_DISS</f>
        <v>0</v>
      </c>
      <c r="CV238" s="2502">
        <f>E266*E238+F266*F238+G266*G238+H266*H238+I266*I238+J266*J238+K266*K238+L266*L238+M266*M238+N266*N238+O266*O238+P266*P238+Q266*Q238+R266*R238+S266*S238+T266*T238+U266*U238+V266*V238+W266*W238+X266*X238+Y266*Y238+Z266*Z238+AA266*AA238+AB266*AB238+AC266*AC238+AD266*AD238+AE266*AE238+AF266*AF238+AG266*AG238+AH266*AH238+AI266*AI238+AJ266*AJ238+AK266*AK238+AL266*AL238+AM266*AM238+AN266*AN238+AO266*AO238+AP266*AP238+AQ266*AQ238+AR266*AR238+AS266*AS238+AT266*AT238+AU266*AU238+AV266*AV238+AW266*AW238+AX266*AX238+AY266*AY238+AZ266*AZ238+BA266*BA238+BB266*BB238+BC266*BC238+BD266*BD238+BE266*BE238+BF266*BF238+BG266*BG238+BH266*BH238+BI266*BI238+BJ266*BJ238+BK266*BK238+BL266*BL238+BM266*BM238+BN266*BN238+BO266*BO238+BP266*BP238+BQ266*BQ238+BR266*BR238+BS266*BS238+BT266*BT238+BU266*BU238+BV266*BV238+BW266*BW238+BX266*BX238+BY266*BY238+BZ266*BZ238+CA266*CA238+CB266*CB238+CC266*CC238+CD266*CD238+CE266*CE238+CF266*CF238+CG266*CG238+CH266*CH238+CI266*CI238+CJ266*CJ238+CK266*CK238+CL266*CL238+CM266*CM238+CN266*CN238+CO266*CO238+CP266*CP238+CQ266*CQ238+CR266*CR238+CS266*CS238</f>
        <v>0</v>
      </c>
      <c r="CW238" s="2502">
        <f>E267*E238+F267*F238+G267*G238+H267*H238+I267*I238+J267*J238+K267*K238+L267*L238+M267*M238+N267*N238+O267*O238+P267*P238+Q267*Q238+R267*R238+S267*S238+T267*T238+U267*U238+V267*V238+W267*W238+X267*X238+Y267*Y238+Z267*Z238+AA267*AA238+AB267*AB238+AC267*AC238+AD267*AD238+AE267*AE238+AF267*AF238+AG267*AG238+AH267*AH238+AI267*AI238+AJ267*AJ238+AK267*AK238+AL267*AL238+AM267*AM238+AN267*AN238+AO267*AO238+AP267*AP238+AQ267*AQ238+AR267*AR238+AS267*AS238+AT267*AT238+AU267*AU238+AV267*AV238+AW267*AW238+AX267*AX238+AY267*AY238+AZ267*AZ238+BA267*BA238+BB267*BB238+BC267*BC238+BD267*BD238+BE267*BE238+BF267*BF238+BG267*BG238+BH267*BH238+BI267*BI238+BJ267*BJ238+BK267*BK238+BL267*BL238+BM267*BM238+BN267*BN238+BO267*BO238+BP267*BP238+BQ267*BQ238+BR267*BR238+BS267*BS238+BT267*BT238+BU267*BU238+BV267*BV238+BW267*BW238+BX267*BX238+BY267*BY238+BZ267*BZ238+CA267*CA238+CB267*CB238+CC267*CC238+CD267*CD238+CE267*CE238+CF267*CF238+CG267*CG238+CH267*CH238+CI267*CI238+CJ267*CJ238+CK267*CK238+CL267*CL238+CM267*CM238+CN267*CN238+CO267*CO238+CP267*CP238+CQ267*CQ238+CR267*CR238+CS267*CS238</f>
        <v>0</v>
      </c>
      <c r="CX238" s="2503">
        <f>E268*E238+F268*F238+G268*G238+H268*H238+I268*I238+J268*J238+K268*K238+L268*L238+M268*M238+N268*N238+O268*O238+P268*P238+Q268*Q238+R268*R238+S268*S238+T268*T238+U268*U238+V268*V238+W268*W238+X268*X238+Y268*Y238+Z268*Z238+AA268*AA238+AB268*AB238+AC268*AC238+AD268*AD238+AE268*AE238+AF268*AF238+AG268*AG238+AH268*AH238+AI268*AI238+AJ268*AJ238+AK268*AK238+AL268*AL238+AM268*AM238+AN268*AN238+AO268*AO238+AP268*AP238+AQ268*AQ238+AR268*AR238+AS268*AS238+AT268*AT238+AU268*AU238+AV268*AV238+AW268*AW238+AX268*AX238+AY268*AY238+AZ268*AZ238+BA268*BA238+BB268*BB238+BC268*BC238+BD268*BD238+BE268*BE238+BF268*BF238+BG268*BG238+BH268*BH238+BI268*BI238+BJ268*BJ238+BK268*BK238+BL268*BL238+BM268*BM238+BN268*BN238+BO268*BO238+BP268*BP238+BQ268*BQ238+BR268*BR238+BS268*BS238+BT268*BT238+BU268*BU238+BV268*BV238+BW268*BW238+BX268*BX238+BY268*BY238+BZ268*BZ238+CA268*CA238+CB268*CB238+CC268*CC238+CD268*CD238+CE268*CE238+CF268*CF238+CG268*CG238+CH268*CH238+CI268*CI238+CJ268*CJ238+CK268*CK238+CL268*CL238+CM268*CM238+CN268*CN238+CO268*CO238+CP268*CP238+CQ268*CQ238+CR268*CR238+CS268*CS238</f>
        <v>0</v>
      </c>
      <c r="CY238" s="2504">
        <f>E269*E238+F269*F238+G269*G238+H269*H238+I269*I238+J269*J238+K269*K238+L269*L238+M269*M238+N269*N238+O269*O238+P269*P238+Q269*Q238+R269*R238+S269*S238+T269*T238+U269*U238+V269*V238+W269*W238+X269*X238+Y269*Y238+Z269*Z238+AA269*AA238+AB269*AB238+AC269*AC238+AD269*AD238+AE269*AE238+AF269*AF238+AG269*AG238+AH269*AH238+AI269*AI238+AJ269*AJ238+AK269*AK238+AL269*AL238+AM269*AM238+AN269*AN238+AO269*AO238+AP269*AP238+AQ269*AQ238+AR269*AR238+AS269*AS238+AT269*AT238+AU269*AU238+AV269*AV238+AW269*AW238+AX269*AX238+AY269*AY238+AZ269*AZ238+BA269*BA238+BB269*BB238+BC269*BC238+BD269*BD238+BE269*BE238+BF269*BF238+BG269*BG238+BH269*BH238+BI269*BI238+BJ269*BJ238+BK269*BK238+BL269*BL238+BM269*BM238+BN269*BN238+BO269*BO238+BP269*BP238+BQ269*BQ238+BR269*BR238+BS269*BS238+BT269*BT238+BU269*BU238+BV269*BV238+BW269*BW238+BX269*BX238+BY269*BY238+BZ269*BZ238+CA269*CA238+CB269*CB238+CC269*CC238+CD269*CD238+CE269*CE238+CF269*CF238+CG269*CG238+CH269*CH238+CI269*CI238+CJ269*CJ238+CK269*CK238+CL269*CL238+CM269*CM238+CN269*CN238+CO269*CO238+CP269*CP238+CQ269*CQ238+CR269*CR238+CS269*CS238</f>
        <v>6.9388939039072284E-18</v>
      </c>
      <c r="CZ238" s="2504">
        <f>E270*E238+F270*F238+G270*G238+H270*H238+I270*I238+J270*J238+K270*K238+L270*L238+M270*M238+N270*N238+O270*O238+P270*P238+Q270*Q238+R270*R238+S270*S238+T270*T238+U270*U238+V270*V238+W270*W238+X270*X238+Y270*Y238+Z270*Z238+AA270*AA238+AB270*AB238+AC270*AC238+AD270*AD238+AE270*AE238+AF270*AF238+AG270*AG238+AH270*AH238+AI270*AI238+AJ270*AJ238+AK270*AK238+AL270*AL238+AM270*AM238+AN270*AN238+AO270*AO238+AP270*AP238+AQ270*AQ238+AR270*AR238+AS270*AS238+AT270*AT238+AU270*AU238+AV270*AV238+AW270*AW238+AX270*AX238+AY270*AY238+AZ270*AZ238+BA270*BA238+BB270*BB238+BC270*BC238+BD270*BD238+BE270*BE238+BF270*BF238+BG270*BG238+BH270*BH238+BI270*BI238+BJ270*BJ238+BK270*BK238+BL270*BL238+BM270*BM238+BN270*BN238+BO270*BO238+BP270*BP238+BQ270*BQ238+BR270*BR238+BS270*BS238+BT270*BT238+BU270*BU238+BV270*BV238+BW270*BW238+BX270*BX238+BY270*BY238+BZ270*BZ238+CA270*CA238+CB270*CB238+CC270*CC238+CD270*CD238+CE270*CE238+CF270*CF238+CG270*CG238+CH270*CH238+CI270*CI238+CJ270*CJ238+CK270*CK238+CL270*CL238+CM270*CM238+CN270*CN238+CO270*CO238+CP270*CP238+CQ270*CQ238+CR270*CR238+CS270*CS238</f>
        <v>0</v>
      </c>
      <c r="DA238" s="2504">
        <f>E271*E238+F271*F238+G271*G238+H271*H238+I271*I238+J271*J238+K271*K238+L271*L238+M271*M238+N271*N238+O271*O238+P271*P238+Q271*Q238+R271*R238+S271*S238+T271*T238+U271*U238+V271*V238+W271*W238+X271*X238+Y271*Y238+Z271*Z238+AA271*AA238+AB271*AB238+AC271*AC238+AD271*AD238+AE271*AE238+AF271*AF238+AG271*AG238+AH271*AH238+AI271*AI238+AJ271*AJ238+AK271*AK238+AL271*AL238+AM271*AM238+AN271*AN238+AO271*AO238+AP271*AP238+AQ271*AQ238+AR271*AR238+AS271*AS238+AT271*AT238+AU271*AU238+AV271*AV238+AW271*AW238+AX271*AX238+AY271*AY238+AZ271*AZ238+BA271*BA238+BB271*BB238+BC271*BC238+BD271*BD238+BE271*BE238+BF271*BF238+BG271*BG238+BH271*BH238+BI271*BI238+BJ271*BJ238+BK271*BK238+BL271*BL238+BM271*BM238+BN271*BN238+BO271*BO238+BP271*BP238+BQ271*BQ238+BR271*BR238+BS271*BS238+BT271*BT238+BU271*BU238+BV271*BV238+BW271*BW238+BX271*BX238+BY271*BY238+BZ271*BZ238+CA271*CA238+CB271*CB238+CC271*CC238+CD271*CD238+CE271*CE238+CF271*CF238+CG271*CG238+CH271*CH238+CI271*CI238+CJ271*CJ238+CK271*CK238+CL271*CL238+CM271*CM238+CN271*CN238+CO271*CO238+CP271*CP238+CQ271*CQ238+CR271*CR238+CS271*CS238</f>
        <v>0</v>
      </c>
      <c r="DB238" s="2504">
        <f>E272*E238+F272*F238+G272*G238+H272*H238+I272*I238+J272*J238+K272*K238+L272*L238+M272*M238+N272*N238+O272*O238+P272*P238+Q272*Q238+R272*R238+S272*S238+T272*T238+U272*U238+V272*V238+W272*W238+X272*X238+Y272*Y238+Z272*Z238+AA272*AA238+AB272*AB238+AC272*AC238+AD272*AD238+AE272*AE238+AF272*AF238+AG272*AG238+AH272*AH238+AI272*AI238+AJ272*AJ238+AK272*AK238+AL272*AL238+AM272*AM238+AN272*AN238+AO272*AO238+AP272*AP238+AQ272*AQ238+AR272*AR238+AS272*AS238+AT272*AT238+AU272*AU238+AV272*AV238+AW272*AW238+AX272*AX238+AY272*AY238+AZ272*AZ238+BA272*BA238+BB272*BB238+BC272*BC238+BD272*BD238+BE272*BE238+BF272*BF238+BG272*BG238+BH272*BH238+BI272*BI238+BJ272*BJ238+BK272*BK238+BL272*BL238+BM272*BM238+BN272*BN238+BO272*BO238+BP272*BP238+BQ272*BQ238+BR272*BR238+BS272*BS238+BT272*BT238+BU272*BU238+BV272*BV238+BW272*BW238+BX272*BX238+BY272*BY238+BZ272*BZ238+CA272*CA238+CB272*CB238+CC272*CC238+CD272*CD238+CE272*CE238+CF272*CF238+CG272*CG238+CH272*CH238+CI272*CI238+CJ272*CJ238+CK272*CK238+CL272*CL238+CM272*CM238+CN272*CN238+CO272*CO238+CP272*CP238+CQ272*CQ238+CR272*CR238+CS272*CS238</f>
        <v>0</v>
      </c>
      <c r="DC238" s="2504">
        <f>E273*E238+F273*F238+G273*G238+H273*H238+I273*I238+J273*J238+K273*K238+L273*L238+M273*M238+N273*N238+O273*O238+P273*P238+Q273*Q238+R273*R238+S273*S238+T273*T238+U273*U238+V273*V238+W273*W238+X273*X238+Y273*Y238+Z273*Z238+AA273*AA238+AB273*AB238+AC273*AC238+AD273*AD238+AE273*AE238+AF273*AF238+AG273*AG238+AH273*AH238+AI273*AI238+AJ273*AJ238+AK273*AK238+AL273*AL238+AM273*AM238+AN273*AN238+AO273*AO238+AP273*AP238+AQ273*AQ238+AR273*AR238+AS273*AS238+AT273*AT238+AU273*AU238+AV273*AV238+AW273*AW238+AX273*AX238+AY273*AY238+AZ273*AZ238+BA273*BA238+BB273*BB238+BC273*BC238+BD273*BD238+BE273*BE238+BF273*BF238+BG273*BG238+BH273*BH238+BI273*BI238+BJ273*BJ238+BK273*BK238+BL273*BL238+BM273*BM238+BN273*BN238+BO273*BO238+BP273*BP238+BQ273*BQ238+BR273*BR238+BS273*BS238+BT273*BT238+BU273*BU238+BV273*BV238+BW273*BW238+BX273*BX238+BY273*BY238+BZ273*BZ238+CA273*CA238+CB273*CB238+CC273*CC238+CD273*CD238+CE273*CE238+CF273*CF238+CG273*CG238+CH273*CH238+CI273*CI238+CJ273*CJ238+CK273*CK238+CL273*CL238+CM273*CM238+CN273*CN238+CO273*CO238+CP273*CP238+CQ273*CQ238+CR273*CR238+CS273*CS238</f>
        <v>0</v>
      </c>
      <c r="DD238" s="2504">
        <f>E274*E238+F274*F238+G274*G238+H274*H238+I274*I238+J274*J238+K274*K238+L274*L238+M274*M238+N274*N238+O274*O238+P274*P238+Q274*Q238+R274*R238+S274*S238+T274*T238+U274*U238+V274*V238+W274*W238+X274*X238+Y274*Y238+Z274*Z238+AA274*AA238+AB274*AB238+AC274*AC238+AD274*AD238+AE274*AE238+AF274*AF238+AG274*AG238+AH274*AH238+AI274*AI238+AJ274*AJ238+AK274*AK238+AL274*AL238+AM274*AM238+AN274*AN238+AO274*AO238+AP274*AP238+AQ274*AQ238+AR274*AR238+AS274*AS238+AT274*AT238+AU274*AU238+AV274*AV238+AW274*AW238+AX274*AX238+AY274*AY238+AZ274*AZ238+BA274*BA238+BB274*BB238+BC274*BC238+BD274*BD238+BE274*BE238+BF274*BF238+BG274*BG238+BH274*BH238+BI274*BI238+BJ274*BJ238+BK274*BK238+BL274*BL238+BM274*BM238+BN274*BN238+BO274*BO238+BP274*BP238+BQ274*BQ238+BR274*BR238+BS274*BS238+BT274*BT238+BU274*BU238+BV274*BV238+BW274*BW238+BX274*BX238+BY274*BY238+BZ274*BZ238+CA274*CA238+CB274*CB238+CC274*CC238+CD274*CD238+CE274*CE238+CF274*CF238+CG274*CG238+CH274*CH238+CI274*CI238+CJ274*CJ238+CK274*CK238+CL274*CL238+CM274*CM238+CN274*CN238+CO274*CO238+CP274*CP238+CQ274*CQ238+CR274*CR238+CS274*CS238</f>
        <v>0</v>
      </c>
      <c r="DE238" s="2504">
        <f>E275*E238+F275*F238+G275*G238+H275*H238+I275*I238+J275*J238+K275*K238+L275*L238+M275*M238+N275*N238+O275*O238+P275*P238+Q275*Q238+R275*R238+S275*S238+T275*T238+U275*U238+V275*V238+W275*W238+X275*X238+Y275*Y238+Z275*Z238+AA275*AA238+AB275*AB238+AC275*AC238+AD275*AD238+AE275*AE238+AF275*AF238+AG275*AG238+AH275*AH238+AI275*AI238+AJ275*AJ238+AK275*AK238+AL275*AL238+AM275*AM238+AN275*AN238+AO275*AO238+AP275*AP238+AQ275*AQ238+AR275*AR238+AS275*AS238+AT275*AT238+AU275*AU238+AV275*AV238+AW275*AW238+AX275*AX238+AY275*AY238+AZ275*AZ238+BA275*BA238+BB275*BB238+BC275*BC238+BD275*BD238+BE275*BE238+BF275*BF238+BG275*BG238+BH275*BH238+BI275*BI238+BJ275*BJ238+BK275*BK238+BL275*BL238+BM275*BM238+BN275*BN238+BO275*BO238+BP275*BP238+BQ275*BQ238+BR275*BR238+BS275*BS238+BT275*BT238+BU275*BU238+BV275*BV238+BW275*BW238+BX275*BX238+BY275*BY238+BZ275*BZ238+CA275*CA238+CB275*CB238+CC275*CC238+CD275*CD238+CE275*CE238+CF275*CF238+CG275*CG238+CH275*CH238+CI275*CI238+CJ275*CJ238+CK275*CK238+CL275*CL238+CM275*CM238+CN275*CN238+CO275*CO238+CP275*CP238+CQ275*CQ238+CR275*CR238+CS275*CS238</f>
        <v>0</v>
      </c>
      <c r="DF238" s="2504">
        <f>E276*E238+F276*F238+G276*G238+H276*H238+I276*I238+J276*J238+K276*K238+L276*L238+M276*M238+N276*N238+O276*O238+P276*P238+Q276*Q238+R276*R238+S276*S238+T276*T238+U276*U238+V276*V238+W276*W238+X276*X238+Y276*Y238+Z276*Z238+AA276*AA238+AB276*AB238+AC276*AC238+AD276*AD238+AE276*AE238+AF276*AF238+AG276*AG238+AH276*AH238+AI276*AI238+AJ276*AJ238+AK276*AK238+AL276*AL238+AM276*AM238+AN276*AN238+AO276*AO238+AP276*AP238+AQ276*AQ238+AR276*AR238+AS276*AS238+AT276*AT238+AU276*AU238+AV276*AV238+AW276*AW238+AX276*AX238+AY276*AY238+AZ276*AZ238+BA276*BA238+BB276*BB238+BC276*BC238+BD276*BD238+BE276*BE238+BF276*BF238+BG276*BG238+BH276*BH238+BI276*BI238+BJ276*BJ238+BK276*BK238+BL276*BL238+BM276*BM238+BN276*BN238+BO276*BO238+BP276*BP238+BQ276*BQ238+BR276*BR238+BS276*BS238+BT276*BT238+BU276*BU238+BV276*BV238+BW276*BW238+BX276*BX238+BY276*BY238+BZ276*BZ238+CA276*CA238+CB276*CB238+CC276*CC238+CD276*CD238+CE276*CE238+CF276*CF238+CG276*CG238+CH276*CH238+CI276*CI238+CJ276*CJ238+CK276*CK238+CL276*CL238+CM276*CM238+CN276*CN238+CO276*CO238+CP276*CP238+CQ276*CQ238+CR276*CR238+CS276*CS238</f>
        <v>0</v>
      </c>
    </row>
    <row r="239" spans="2:110" x14ac:dyDescent="0.25">
      <c r="B239" s="1533">
        <v>97</v>
      </c>
      <c r="C239" s="1408" t="s">
        <v>3615</v>
      </c>
      <c r="D239" s="572" t="s">
        <v>1126</v>
      </c>
      <c r="E239" s="509">
        <f>0</f>
        <v>0</v>
      </c>
      <c r="F239" s="509">
        <f>0</f>
        <v>0</v>
      </c>
      <c r="G239" s="509">
        <f>0</f>
        <v>0</v>
      </c>
      <c r="H239" s="509">
        <f>0</f>
        <v>0</v>
      </c>
      <c r="I239" s="509">
        <f>0</f>
        <v>0</v>
      </c>
      <c r="J239" s="509">
        <f>0</f>
        <v>0</v>
      </c>
      <c r="K239" s="509">
        <f>0</f>
        <v>0</v>
      </c>
      <c r="L239" s="509">
        <f>0</f>
        <v>0</v>
      </c>
      <c r="M239" s="509">
        <f>0</f>
        <v>0</v>
      </c>
      <c r="N239" s="509">
        <f>0</f>
        <v>0</v>
      </c>
      <c r="O239" s="509">
        <f>0</f>
        <v>0</v>
      </c>
      <c r="P239" s="509">
        <f>0</f>
        <v>0</v>
      </c>
      <c r="Q239" s="509">
        <f>0</f>
        <v>0</v>
      </c>
      <c r="R239" s="510">
        <f>0</f>
        <v>0</v>
      </c>
      <c r="S239" s="509">
        <f>0</f>
        <v>0</v>
      </c>
      <c r="T239" s="509">
        <f>0</f>
        <v>0</v>
      </c>
      <c r="U239" s="509">
        <f>0</f>
        <v>0</v>
      </c>
      <c r="V239" s="509">
        <f>0</f>
        <v>0</v>
      </c>
      <c r="W239" s="509">
        <f>0</f>
        <v>0</v>
      </c>
      <c r="X239" s="509">
        <f>0</f>
        <v>0</v>
      </c>
      <c r="Y239" s="509">
        <f>0</f>
        <v>0</v>
      </c>
      <c r="Z239" s="509">
        <f>0</f>
        <v>0</v>
      </c>
      <c r="AA239" s="509">
        <f>0</f>
        <v>0</v>
      </c>
      <c r="AB239" s="509">
        <f>0</f>
        <v>0</v>
      </c>
      <c r="AC239" s="509">
        <f>0</f>
        <v>0</v>
      </c>
      <c r="AD239" s="509">
        <f>0</f>
        <v>0</v>
      </c>
      <c r="AE239" s="509">
        <f>0</f>
        <v>0</v>
      </c>
      <c r="AF239" s="509">
        <f>0</f>
        <v>0</v>
      </c>
      <c r="AG239" s="509">
        <f>0</f>
        <v>0</v>
      </c>
      <c r="AH239" s="509">
        <f>0</f>
        <v>0</v>
      </c>
      <c r="AI239" s="509">
        <f>0</f>
        <v>0</v>
      </c>
      <c r="AJ239" s="509">
        <f>0</f>
        <v>0</v>
      </c>
      <c r="AK239" s="509">
        <f>0</f>
        <v>0</v>
      </c>
      <c r="AL239" s="509">
        <f>0</f>
        <v>0</v>
      </c>
      <c r="AM239" s="510">
        <f>0</f>
        <v>0</v>
      </c>
      <c r="AN239" s="509">
        <f>0</f>
        <v>0</v>
      </c>
      <c r="AO239" s="509">
        <f>0</f>
        <v>0</v>
      </c>
      <c r="AP239" s="509">
        <f>0</f>
        <v>0</v>
      </c>
      <c r="AQ239" s="509">
        <f>0</f>
        <v>0</v>
      </c>
      <c r="AR239" s="509">
        <f>0</f>
        <v>0</v>
      </c>
      <c r="AS239" s="509">
        <f>0</f>
        <v>0</v>
      </c>
      <c r="AT239" s="509">
        <f>0</f>
        <v>0</v>
      </c>
      <c r="AU239" s="509">
        <f>0</f>
        <v>0</v>
      </c>
      <c r="AV239" s="510">
        <f>-A_MC/M_MCaCO3</f>
        <v>-0.12000271763837225</v>
      </c>
      <c r="AW239" s="509">
        <f>0</f>
        <v>0</v>
      </c>
      <c r="AX239" s="509">
        <f>0</f>
        <v>0</v>
      </c>
      <c r="AY239" s="509">
        <f>0</f>
        <v>0</v>
      </c>
      <c r="AZ239" s="510">
        <f>-A_MCa/M_MCaCO3</f>
        <v>-0.40043202457064814</v>
      </c>
      <c r="BA239" s="509">
        <f>0</f>
        <v>0</v>
      </c>
      <c r="BB239" s="509">
        <f>0</f>
        <v>0</v>
      </c>
      <c r="BC239" s="510">
        <f>0</f>
        <v>0</v>
      </c>
      <c r="BD239" s="509">
        <f>0</f>
        <v>0</v>
      </c>
      <c r="BE239" s="509">
        <f>0</f>
        <v>0</v>
      </c>
      <c r="BF239" s="510">
        <f>0</f>
        <v>0</v>
      </c>
      <c r="BG239" s="510">
        <f>0</f>
        <v>0</v>
      </c>
      <c r="BH239" s="509">
        <f>0</f>
        <v>0</v>
      </c>
      <c r="BI239" s="510">
        <f>0</f>
        <v>0</v>
      </c>
      <c r="BJ239" s="510">
        <f>0</f>
        <v>0</v>
      </c>
      <c r="BK239" s="509">
        <f>0</f>
        <v>0</v>
      </c>
      <c r="BL239" s="509">
        <f>0</f>
        <v>0</v>
      </c>
      <c r="BM239" s="510">
        <f>0</f>
        <v>0</v>
      </c>
      <c r="BN239" s="510">
        <f>0</f>
        <v>0</v>
      </c>
      <c r="BO239" s="509">
        <f>0</f>
        <v>0</v>
      </c>
      <c r="BP239" s="510">
        <f>0</f>
        <v>0</v>
      </c>
      <c r="BQ239" s="510">
        <f>0</f>
        <v>0</v>
      </c>
      <c r="BR239" s="510">
        <f>1</f>
        <v>1</v>
      </c>
      <c r="BS239" s="510">
        <f>0</f>
        <v>0</v>
      </c>
      <c r="BT239" s="510">
        <f>0</f>
        <v>0</v>
      </c>
      <c r="BU239" s="510">
        <f>0</f>
        <v>0</v>
      </c>
      <c r="BV239" s="510">
        <f>0</f>
        <v>0</v>
      </c>
      <c r="BW239" s="2372">
        <f>0</f>
        <v>0</v>
      </c>
      <c r="BX239" s="2372">
        <f>0</f>
        <v>0</v>
      </c>
      <c r="BY239" s="2372">
        <f>0</f>
        <v>0</v>
      </c>
      <c r="BZ239" s="2372">
        <f>0</f>
        <v>0</v>
      </c>
      <c r="CA239" s="510">
        <f>0</f>
        <v>0</v>
      </c>
      <c r="CB239" s="510">
        <f>0</f>
        <v>0</v>
      </c>
      <c r="CC239" s="510">
        <f>0</f>
        <v>0</v>
      </c>
      <c r="CD239" s="510">
        <f>0</f>
        <v>0</v>
      </c>
      <c r="CE239" s="510">
        <f>0</f>
        <v>0</v>
      </c>
      <c r="CF239" s="510">
        <f>0</f>
        <v>0</v>
      </c>
      <c r="CG239" s="510">
        <f>0</f>
        <v>0</v>
      </c>
      <c r="CH239" s="510">
        <f>0</f>
        <v>0</v>
      </c>
      <c r="CI239" s="510">
        <f>0</f>
        <v>0</v>
      </c>
      <c r="CJ239" s="510">
        <f>0</f>
        <v>0</v>
      </c>
      <c r="CK239" s="510">
        <f>0</f>
        <v>0</v>
      </c>
      <c r="CL239" s="510">
        <f>0</f>
        <v>0</v>
      </c>
      <c r="CM239" s="510">
        <f>0</f>
        <v>0</v>
      </c>
      <c r="CN239" s="510">
        <f>0</f>
        <v>0</v>
      </c>
      <c r="CO239" s="510">
        <f>0</f>
        <v>0</v>
      </c>
      <c r="CP239" s="510">
        <f>0</f>
        <v>0</v>
      </c>
      <c r="CQ239" s="510">
        <f>0</f>
        <v>0</v>
      </c>
      <c r="CR239" s="510">
        <f>0</f>
        <v>0</v>
      </c>
      <c r="CS239" s="510">
        <f>0</f>
        <v>0</v>
      </c>
      <c r="CT239" s="2495">
        <f>q_CaCO3*P_recipDrivingForceCaCO3^2</f>
        <v>0</v>
      </c>
      <c r="CV239" s="2502">
        <f>E266*E239+F266*F239+G266*G239+H266*H239+I266*I239+J266*J239+K266*K239+L266*L239+M266*M239+N266*N239+O266*O239+P266*P239+Q266*Q239+R266*R239+S266*S239+T266*T239+U266*U239+V266*V239+W266*W239+X266*X239+Y266*Y239+Z266*Z239+AA266*AA239+AB266*AB239+AC266*AC239+AD266*AD239+AE266*AE239+AF266*AF239+AG266*AG239+AH266*AH239+AI266*AI239+AJ266*AJ239+AK266*AK239+AL266*AL239+AM266*AM239+AN266*AN239+AO266*AO239+AP266*AP239+AQ266*AQ239+AR266*AR239+AS266*AS239+AT266*AT239+AU266*AU239+AV266*AV239+AW266*AW239+AX266*AX239+AY266*AY239+AZ266*AZ239+BA266*BA239+BB266*BB239+BC266*BC239+BD266*BD239+BE266*BE239+BF266*BF239+BG266*BG239+BH266*BH239+BI266*BI239+BJ266*BJ239+BK266*BK239+BL266*BL239+BM266*BM239+BN266*BN239+BO266*BO239+BP266*BP239+BQ266*BQ239+BR266*BR239+BS266*BS239+BT266*BT239+BU266*BU239+BV266*BV239+BW266*BW239+BX266*BX239+BY266*BY239+BZ266*BZ239+CA266*CA239+CB266*CB239+CC266*CC239+CD266*CD239+CE266*CE239+CF266*CF239+CG266*CG239+CH266*CH239+CI266*CI239+CJ266*CJ239+CK266*CK239+CL266*CL239+CM266*CM239+CN266*CN239+CO266*CO239+CP266*CP239+CQ266*CQ239+CR266*CR239+CS266*CS239</f>
        <v>0</v>
      </c>
      <c r="CW239" s="2502">
        <f>E267*E239+F267*F239+G267*G239+H267*H239+I267*I239+J267*J239+K267*K239+L267*L239+M267*M239+N267*N239+O267*O239+P267*P239+Q267*Q239+R267*R239+S267*S239+T267*T239+U267*U239+V267*V239+W267*W239+X267*X239+Y267*Y239+Z267*Z239+AA267*AA239+AB267*AB239+AC267*AC239+AD267*AD239+AE267*AE239+AF267*AF239+AG267*AG239+AH267*AH239+AI267*AI239+AJ267*AJ239+AK267*AK239+AL267*AL239+AM267*AM239+AN267*AN239+AO267*AO239+AP267*AP239+AQ267*AQ239+AR267*AR239+AS267*AS239+AT267*AT239+AU267*AU239+AV267*AV239+AW267*AW239+AX267*AX239+AY267*AY239+AZ267*AZ239+BA267*BA239+BB267*BB239+BC267*BC239+BD267*BD239+BE267*BE239+BF267*BF239+BG267*BG239+BH267*BH239+BI267*BI239+BJ267*BJ239+BK267*BK239+BL267*BL239+BM267*BM239+BN267*BN239+BO267*BO239+BP267*BP239+BQ267*BQ239+BR267*BR239+BS267*BS239+BT267*BT239+BU267*BU239+BV267*BV239+BW267*BW239+BX267*BX239+BY267*BY239+BZ267*BZ239+CA267*CA239+CB267*CB239+CC267*CC239+CD267*CD239+CE267*CE239+CF267*CF239+CG267*CG239+CH267*CH239+CI267*CI239+CJ267*CJ239+CK267*CK239+CL267*CL239+CM267*CM239+CN267*CN239+CO267*CO239+CP267*CP239+CQ267*CQ239+CR267*CR239+CS267*CS239</f>
        <v>0</v>
      </c>
      <c r="CX239" s="2503">
        <f>E268*E239+F268*F239+G268*G239+H268*H239+I268*I239+J268*J239+K268*K239+L268*L239+M268*M239+N268*N239+O268*O239+P268*P239+Q268*Q239+R268*R239+S268*S239+T268*T239+U268*U239+V268*V239+W268*W239+X268*X239+Y268*Y239+Z268*Z239+AA268*AA239+AB268*AB239+AC268*AC239+AD268*AD239+AE268*AE239+AF268*AF239+AG268*AG239+AH268*AH239+AI268*AI239+AJ268*AJ239+AK268*AK239+AL268*AL239+AM268*AM239+AN268*AN239+AO268*AO239+AP268*AP239+AQ268*AQ239+AR268*AR239+AS268*AS239+AT268*AT239+AU268*AU239+AV268*AV239+AW268*AW239+AX268*AX239+AY268*AY239+AZ268*AZ239+BA268*BA239+BB268*BB239+BC268*BC239+BD268*BD239+BE268*BE239+BF268*BF239+BG268*BG239+BH268*BH239+BI268*BI239+BJ268*BJ239+BK268*BK239+BL268*BL239+BM268*BM239+BN268*BN239+BO268*BO239+BP268*BP239+BQ268*BQ239+BR268*BR239+BS268*BS239+BT268*BT239+BU268*BU239+BV268*BV239+BW268*BW239+BX268*BX239+BY268*BY239+BZ268*BZ239+CA268*CA239+CB268*CB239+CC268*CC239+CD268*CD239+CE268*CE239+CF268*CF239+CG268*CG239+CH268*CH239+CI268*CI239+CJ268*CJ239+CK268*CK239+CL268*CL239+CM268*CM239+CN268*CN239+CO268*CO239+CP268*CP239+CQ268*CQ239+CR268*CR239+CS268*CS239</f>
        <v>0</v>
      </c>
      <c r="CY239" s="2504">
        <f>E269*E239+F269*F239+G269*G239+H269*H239+I269*I239+J269*J239+K269*K239+L269*L239+M269*M239+N269*N239+O269*O239+P269*P239+Q269*Q239+R269*R239+S269*S239+T269*T239+U269*U239+V269*V239+W269*W239+X269*X239+Y269*Y239+Z269*Z239+AA269*AA239+AB269*AB239+AC269*AC239+AD269*AD239+AE269*AE239+AF269*AF239+AG269*AG239+AH269*AH239+AI269*AI239+AJ269*AJ239+AK269*AK239+AL269*AL239+AM269*AM239+AN269*AN239+AO269*AO239+AP269*AP239+AQ269*AQ239+AR269*AR239+AS269*AS239+AT269*AT239+AU269*AU239+AV269*AV239+AW269*AW239+AX269*AX239+AY269*AY239+AZ269*AZ239+BA269*BA239+BB269*BB239+BC269*BC239+BD269*BD239+BE269*BE239+BF269*BF239+BG269*BG239+BH269*BH239+BI269*BI239+BJ269*BJ239+BK269*BK239+BL269*BL239+BM269*BM239+BN269*BN239+BO269*BO239+BP269*BP239+BQ269*BQ239+BR269*BR239+BS269*BS239+BT269*BT239+BU269*BU239+BV269*BV239+BW269*BW239+BX269*BX239+BY269*BY239+BZ269*BZ239+CA269*CA239+CB269*CB239+CC269*CC239+CD269*CD239+CE269*CE239+CF269*CF239+CG269*CG239+CH269*CH239+CI269*CI239+CJ269*CJ239+CK269*CK239+CL269*CL239+CM269*CM239+CN269*CN239+CO269*CO239+CP269*CP239+CQ269*CQ239+CR269*CR239+CS269*CS239</f>
        <v>0</v>
      </c>
      <c r="CZ239" s="2504">
        <f>E270*E239+F270*F239+G270*G239+H270*H239+I270*I239+J270*J239+K270*K239+L270*L239+M270*M239+N270*N239+O270*O239+P270*P239+Q270*Q239+R270*R239+S270*S239+T270*T239+U270*U239+V270*V239+W270*W239+X270*X239+Y270*Y239+Z270*Z239+AA270*AA239+AB270*AB239+AC270*AC239+AD270*AD239+AE270*AE239+AF270*AF239+AG270*AG239+AH270*AH239+AI270*AI239+AJ270*AJ239+AK270*AK239+AL270*AL239+AM270*AM239+AN270*AN239+AO270*AO239+AP270*AP239+AQ270*AQ239+AR270*AR239+AS270*AS239+AT270*AT239+AU270*AU239+AV270*AV239+AW270*AW239+AX270*AX239+AY270*AY239+AZ270*AZ239+BA270*BA239+BB270*BB239+BC270*BC239+BD270*BD239+BE270*BE239+BF270*BF239+BG270*BG239+BH270*BH239+BI270*BI239+BJ270*BJ239+BK270*BK239+BL270*BL239+BM270*BM239+BN270*BN239+BO270*BO239+BP270*BP239+BQ270*BQ239+BR270*BR239+BS270*BS239+BT270*BT239+BU270*BU239+BV270*BV239+BW270*BW239+BX270*BX239+BY270*BY239+BZ270*BZ239+CA270*CA239+CB270*CB239+CC270*CC239+CD270*CD239+CE270*CE239+CF270*CF239+CG270*CG239+CH270*CH239+CI270*CI239+CJ270*CJ239+CK270*CK239+CL270*CL239+CM270*CM239+CN270*CN239+CO270*CO239+CP270*CP239+CQ270*CQ239+CR270*CR239+CS270*CS239</f>
        <v>0</v>
      </c>
      <c r="DA239" s="2504">
        <f>E271*E239+F271*F239+G271*G239+H271*H239+I271*I239+J271*J239+K271*K239+L271*L239+M271*M239+N271*N239+O271*O239+P271*P239+Q271*Q239+R271*R239+S271*S239+T271*T239+U271*U239+V271*V239+W271*W239+X271*X239+Y271*Y239+Z271*Z239+AA271*AA239+AB271*AB239+AC271*AC239+AD271*AD239+AE271*AE239+AF271*AF239+AG271*AG239+AH271*AH239+AI271*AI239+AJ271*AJ239+AK271*AK239+AL271*AL239+AM271*AM239+AN271*AN239+AO271*AO239+AP271*AP239+AQ271*AQ239+AR271*AR239+AS271*AS239+AT271*AT239+AU271*AU239+AV271*AV239+AW271*AW239+AX271*AX239+AY271*AY239+AZ271*AZ239+BA271*BA239+BB271*BB239+BC271*BC239+BD271*BD239+BE271*BE239+BF271*BF239+BG271*BG239+BH271*BH239+BI271*BI239+BJ271*BJ239+BK271*BK239+BL271*BL239+BM271*BM239+BN271*BN239+BO271*BO239+BP271*BP239+BQ271*BQ239+BR271*BR239+BS271*BS239+BT271*BT239+BU271*BU239+BV271*BV239+BW271*BW239+BX271*BX239+BY271*BY239+BZ271*BZ239+CA271*CA239+CB271*CB239+CC271*CC239+CD271*CD239+CE271*CE239+CF271*CF239+CG271*CG239+CH271*CH239+CI271*CI239+CJ271*CJ239+CK271*CK239+CL271*CL239+CM271*CM239+CN271*CN239+CO271*CO239+CP271*CP239+CQ271*CQ239+CR271*CR239+CS271*CS239</f>
        <v>0</v>
      </c>
      <c r="DB239" s="2504">
        <f>E272*E239+F272*F239+G272*G239+H272*H239+I272*I239+J272*J239+K272*K239+L272*L239+M272*M239+N272*N239+O272*O239+P272*P239+Q272*Q239+R272*R239+S272*S239+T272*T239+U272*U239+V272*V239+W272*W239+X272*X239+Y272*Y239+Z272*Z239+AA272*AA239+AB272*AB239+AC272*AC239+AD272*AD239+AE272*AE239+AF272*AF239+AG272*AG239+AH272*AH239+AI272*AI239+AJ272*AJ239+AK272*AK239+AL272*AL239+AM272*AM239+AN272*AN239+AO272*AO239+AP272*AP239+AQ272*AQ239+AR272*AR239+AS272*AS239+AT272*AT239+AU272*AU239+AV272*AV239+AW272*AW239+AX272*AX239+AY272*AY239+AZ272*AZ239+BA272*BA239+BB272*BB239+BC272*BC239+BD272*BD239+BE272*BE239+BF272*BF239+BG272*BG239+BH272*BH239+BI272*BI239+BJ272*BJ239+BK272*BK239+BL272*BL239+BM272*BM239+BN272*BN239+BO272*BO239+BP272*BP239+BQ272*BQ239+BR272*BR239+BS272*BS239+BT272*BT239+BU272*BU239+BV272*BV239+BW272*BW239+BX272*BX239+BY272*BY239+BZ272*BZ239+CA272*CA239+CB272*CB239+CC272*CC239+CD272*CD239+CE272*CE239+CF272*CF239+CG272*CG239+CH272*CH239+CI272*CI239+CJ272*CJ239+CK272*CK239+CL272*CL239+CM272*CM239+CN272*CN239+CO272*CO239+CP272*CP239+CQ272*CQ239+CR272*CR239+CS272*CS239</f>
        <v>0</v>
      </c>
      <c r="DC239" s="2504">
        <f>E273*E239+F273*F239+G273*G239+H273*H239+I273*I239+J273*J239+K273*K239+L273*L239+M273*M239+N273*N239+O273*O239+P273*P239+Q273*Q239+R273*R239+S273*S239+T273*T239+U273*U239+V273*V239+W273*W239+X273*X239+Y273*Y239+Z273*Z239+AA273*AA239+AB273*AB239+AC273*AC239+AD273*AD239+AE273*AE239+AF273*AF239+AG273*AG239+AH273*AH239+AI273*AI239+AJ273*AJ239+AK273*AK239+AL273*AL239+AM273*AM239+AN273*AN239+AO273*AO239+AP273*AP239+AQ273*AQ239+AR273*AR239+AS273*AS239+AT273*AT239+AU273*AU239+AV273*AV239+AW273*AW239+AX273*AX239+AY273*AY239+AZ273*AZ239+BA273*BA239+BB273*BB239+BC273*BC239+BD273*BD239+BE273*BE239+BF273*BF239+BG273*BG239+BH273*BH239+BI273*BI239+BJ273*BJ239+BK273*BK239+BL273*BL239+BM273*BM239+BN273*BN239+BO273*BO239+BP273*BP239+BQ273*BQ239+BR273*BR239+BS273*BS239+BT273*BT239+BU273*BU239+BV273*BV239+BW273*BW239+BX273*BX239+BY273*BY239+BZ273*BZ239+CA273*CA239+CB273*CB239+CC273*CC239+CD273*CD239+CE273*CE239+CF273*CF239+CG273*CG239+CH273*CH239+CI273*CI239+CJ273*CJ239+CK273*CK239+CL273*CL239+CM273*CM239+CN273*CN239+CO273*CO239+CP273*CP239+CQ273*CQ239+CR273*CR239+CS273*CS239</f>
        <v>0</v>
      </c>
      <c r="DD239" s="2504">
        <f>E274*E239+F274*F239+G274*G239+H274*H239+I274*I239+J274*J239+K274*K239+L274*L239+M274*M239+N274*N239+O274*O239+P274*P239+Q274*Q239+R274*R239+S274*S239+T274*T239+U274*U239+V274*V239+W274*W239+X274*X239+Y274*Y239+Z274*Z239+AA274*AA239+AB274*AB239+AC274*AC239+AD274*AD239+AE274*AE239+AF274*AF239+AG274*AG239+AH274*AH239+AI274*AI239+AJ274*AJ239+AK274*AK239+AL274*AL239+AM274*AM239+AN274*AN239+AO274*AO239+AP274*AP239+AQ274*AQ239+AR274*AR239+AS274*AS239+AT274*AT239+AU274*AU239+AV274*AV239+AW274*AW239+AX274*AX239+AY274*AY239+AZ274*AZ239+BA274*BA239+BB274*BB239+BC274*BC239+BD274*BD239+BE274*BE239+BF274*BF239+BG274*BG239+BH274*BH239+BI274*BI239+BJ274*BJ239+BK274*BK239+BL274*BL239+BM274*BM239+BN274*BN239+BO274*BO239+BP274*BP239+BQ274*BQ239+BR274*BR239+BS274*BS239+BT274*BT239+BU274*BU239+BV274*BV239+BW274*BW239+BX274*BX239+BY274*BY239+BZ274*BZ239+CA274*CA239+CB274*CB239+CC274*CC239+CD274*CD239+CE274*CE239+CF274*CF239+CG274*CG239+CH274*CH239+CI274*CI239+CJ274*CJ239+CK274*CK239+CL274*CL239+CM274*CM239+CN274*CN239+CO274*CO239+CP274*CP239+CQ274*CQ239+CR274*CR239+CS274*CS239</f>
        <v>0</v>
      </c>
      <c r="DE239" s="2504">
        <f>E275*E239+F275*F239+G275*G239+H275*H239+I275*I239+J275*J239+K275*K239+L275*L239+M275*M239+N275*N239+O275*O239+P275*P239+Q275*Q239+R275*R239+S275*S239+T275*T239+U275*U239+V275*V239+W275*W239+X275*X239+Y275*Y239+Z275*Z239+AA275*AA239+AB275*AB239+AC275*AC239+AD275*AD239+AE275*AE239+AF275*AF239+AG275*AG239+AH275*AH239+AI275*AI239+AJ275*AJ239+AK275*AK239+AL275*AL239+AM275*AM239+AN275*AN239+AO275*AO239+AP275*AP239+AQ275*AQ239+AR275*AR239+AS275*AS239+AT275*AT239+AU275*AU239+AV275*AV239+AW275*AW239+AX275*AX239+AY275*AY239+AZ275*AZ239+BA275*BA239+BB275*BB239+BC275*BC239+BD275*BD239+BE275*BE239+BF275*BF239+BG275*BG239+BH275*BH239+BI275*BI239+BJ275*BJ239+BK275*BK239+BL275*BL239+BM275*BM239+BN275*BN239+BO275*BO239+BP275*BP239+BQ275*BQ239+BR275*BR239+BS275*BS239+BT275*BT239+BU275*BU239+BV275*BV239+BW275*BW239+BX275*BX239+BY275*BY239+BZ275*BZ239+CA275*CA239+CB275*CB239+CC275*CC239+CD275*CD239+CE275*CE239+CF275*CF239+CG275*CG239+CH275*CH239+CI275*CI239+CJ275*CJ239+CK275*CK239+CL275*CL239+CM275*CM239+CN275*CN239+CO275*CO239+CP275*CP239+CQ275*CQ239+CR275*CR239+CS275*CS239</f>
        <v>0</v>
      </c>
      <c r="DF239" s="2504">
        <f>E276*E239+F276*F239+G276*G239+H276*H239+I276*I239+J276*J239+K276*K239+L276*L239+M276*M239+N276*N239+O276*O239+P276*P239+Q276*Q239+R276*R239+S276*S239+T276*T239+U276*U239+V276*V239+W276*W239+X276*X239+Y276*Y239+Z276*Z239+AA276*AA239+AB276*AB239+AC276*AC239+AD276*AD239+AE276*AE239+AF276*AF239+AG276*AG239+AH276*AH239+AI276*AI239+AJ276*AJ239+AK276*AK239+AL276*AL239+AM276*AM239+AN276*AN239+AO276*AO239+AP276*AP239+AQ276*AQ239+AR276*AR239+AS276*AS239+AT276*AT239+AU276*AU239+AV276*AV239+AW276*AW239+AX276*AX239+AY276*AY239+AZ276*AZ239+BA276*BA239+BB276*BB239+BC276*BC239+BD276*BD239+BE276*BE239+BF276*BF239+BG276*BG239+BH276*BH239+BI276*BI239+BJ276*BJ239+BK276*BK239+BL276*BL239+BM276*BM239+BN276*BN239+BO276*BO239+BP276*BP239+BQ276*BQ239+BR276*BR239+BS276*BS239+BT276*BT239+BU276*BU239+BV276*BV239+BW276*BW239+BX276*BX239+BY276*BY239+BZ276*BZ239+CA276*CA239+CB276*CB239+CC276*CC239+CD276*CD239+CE276*CE239+CF276*CF239+CG276*CG239+CH276*CH239+CI276*CI239+CJ276*CJ239+CK276*CK239+CL276*CL239+CM276*CM239+CN276*CN239+CO276*CO239+CP276*CP239+CQ276*CQ239+CR276*CR239+CS276*CS239</f>
        <v>0</v>
      </c>
    </row>
    <row r="240" spans="2:110" x14ac:dyDescent="0.25">
      <c r="B240" s="1533">
        <v>98</v>
      </c>
      <c r="C240" s="1408" t="s">
        <v>3616</v>
      </c>
      <c r="D240" s="572" t="s">
        <v>1125</v>
      </c>
      <c r="E240" s="509">
        <f>0</f>
        <v>0</v>
      </c>
      <c r="F240" s="509">
        <f>0</f>
        <v>0</v>
      </c>
      <c r="G240" s="509">
        <f>0</f>
        <v>0</v>
      </c>
      <c r="H240" s="509">
        <f>0</f>
        <v>0</v>
      </c>
      <c r="I240" s="509">
        <f>0</f>
        <v>0</v>
      </c>
      <c r="J240" s="509">
        <f>0</f>
        <v>0</v>
      </c>
      <c r="K240" s="509">
        <f>0</f>
        <v>0</v>
      </c>
      <c r="L240" s="509">
        <f>0</f>
        <v>0</v>
      </c>
      <c r="M240" s="509">
        <f>0</f>
        <v>0</v>
      </c>
      <c r="N240" s="509">
        <f>0</f>
        <v>0</v>
      </c>
      <c r="O240" s="509">
        <f>0</f>
        <v>0</v>
      </c>
      <c r="P240" s="509">
        <f>0</f>
        <v>0</v>
      </c>
      <c r="Q240" s="509">
        <f>0</f>
        <v>0</v>
      </c>
      <c r="R240" s="510">
        <f>0</f>
        <v>0</v>
      </c>
      <c r="S240" s="509">
        <f>0</f>
        <v>0</v>
      </c>
      <c r="T240" s="509">
        <f>0</f>
        <v>0</v>
      </c>
      <c r="U240" s="509">
        <f>0</f>
        <v>0</v>
      </c>
      <c r="V240" s="509">
        <f>0</f>
        <v>0</v>
      </c>
      <c r="W240" s="509">
        <f>0</f>
        <v>0</v>
      </c>
      <c r="X240" s="509">
        <f>0</f>
        <v>0</v>
      </c>
      <c r="Y240" s="509">
        <f>0</f>
        <v>0</v>
      </c>
      <c r="Z240" s="509">
        <f>0</f>
        <v>0</v>
      </c>
      <c r="AA240" s="509">
        <f>0</f>
        <v>0</v>
      </c>
      <c r="AB240" s="509">
        <f>0</f>
        <v>0</v>
      </c>
      <c r="AC240" s="509">
        <f>0</f>
        <v>0</v>
      </c>
      <c r="AD240" s="509">
        <f>0</f>
        <v>0</v>
      </c>
      <c r="AE240" s="509">
        <f>0</f>
        <v>0</v>
      </c>
      <c r="AF240" s="509">
        <f>0</f>
        <v>0</v>
      </c>
      <c r="AG240" s="509">
        <f>0</f>
        <v>0</v>
      </c>
      <c r="AH240" s="509">
        <f>0</f>
        <v>0</v>
      </c>
      <c r="AI240" s="509">
        <f>0</f>
        <v>0</v>
      </c>
      <c r="AJ240" s="509">
        <f>0</f>
        <v>0</v>
      </c>
      <c r="AK240" s="509">
        <f>0</f>
        <v>0</v>
      </c>
      <c r="AL240" s="509">
        <f>0</f>
        <v>0</v>
      </c>
      <c r="AM240" s="510">
        <f>-2*A_MP/M_MACP</f>
        <v>-0.16206538757887573</v>
      </c>
      <c r="AN240" s="509">
        <f>0</f>
        <v>0</v>
      </c>
      <c r="AO240" s="509">
        <f>0</f>
        <v>0</v>
      </c>
      <c r="AP240" s="509">
        <f>0</f>
        <v>0</v>
      </c>
      <c r="AQ240" s="509">
        <f>0</f>
        <v>0</v>
      </c>
      <c r="AR240" s="509">
        <f>0</f>
        <v>0</v>
      </c>
      <c r="AS240" s="509">
        <f>0</f>
        <v>0</v>
      </c>
      <c r="AT240" s="509">
        <f>0</f>
        <v>0</v>
      </c>
      <c r="AU240" s="509">
        <f>0</f>
        <v>0</v>
      </c>
      <c r="AV240" s="509">
        <f>0</f>
        <v>0</v>
      </c>
      <c r="AW240" s="509">
        <f>0</f>
        <v>0</v>
      </c>
      <c r="AX240" s="509">
        <f>0</f>
        <v>0</v>
      </c>
      <c r="AY240" s="509">
        <f>0</f>
        <v>0</v>
      </c>
      <c r="AZ240" s="510">
        <f>-3*A_MCa/M_MACP</f>
        <v>-0.31455284127800509</v>
      </c>
      <c r="BA240" s="509">
        <f>0</f>
        <v>0</v>
      </c>
      <c r="BB240" s="509">
        <f>0</f>
        <v>0</v>
      </c>
      <c r="BC240" s="510">
        <f>0</f>
        <v>0</v>
      </c>
      <c r="BD240" s="509">
        <f>0</f>
        <v>0</v>
      </c>
      <c r="BE240" s="509">
        <f>0</f>
        <v>0</v>
      </c>
      <c r="BF240" s="510">
        <f>0</f>
        <v>0</v>
      </c>
      <c r="BG240" s="510">
        <f>0</f>
        <v>0</v>
      </c>
      <c r="BH240" s="509">
        <f>0</f>
        <v>0</v>
      </c>
      <c r="BI240" s="510">
        <f>0</f>
        <v>0</v>
      </c>
      <c r="BJ240" s="510">
        <f>0</f>
        <v>0</v>
      </c>
      <c r="BK240" s="509">
        <f>0</f>
        <v>0</v>
      </c>
      <c r="BL240" s="509">
        <f>0</f>
        <v>0</v>
      </c>
      <c r="BM240" s="510">
        <f>0</f>
        <v>0</v>
      </c>
      <c r="BN240" s="510">
        <f>0</f>
        <v>0</v>
      </c>
      <c r="BO240" s="509">
        <f>0</f>
        <v>0</v>
      </c>
      <c r="BP240" s="510">
        <f>0</f>
        <v>0</v>
      </c>
      <c r="BQ240" s="510">
        <f>0</f>
        <v>0</v>
      </c>
      <c r="BR240" s="510">
        <f>0</f>
        <v>0</v>
      </c>
      <c r="BS240" s="510">
        <f>1</f>
        <v>1</v>
      </c>
      <c r="BT240" s="510">
        <f>0</f>
        <v>0</v>
      </c>
      <c r="BU240" s="510">
        <f>0</f>
        <v>0</v>
      </c>
      <c r="BV240" s="510">
        <f>0</f>
        <v>0</v>
      </c>
      <c r="BW240" s="2372">
        <f>0</f>
        <v>0</v>
      </c>
      <c r="BX240" s="2372">
        <f>0</f>
        <v>0</v>
      </c>
      <c r="BY240" s="2372">
        <f>0</f>
        <v>0</v>
      </c>
      <c r="BZ240" s="2372">
        <f>0</f>
        <v>0</v>
      </c>
      <c r="CA240" s="510">
        <f>0</f>
        <v>0</v>
      </c>
      <c r="CB240" s="510">
        <f>0</f>
        <v>0</v>
      </c>
      <c r="CC240" s="510">
        <f>0</f>
        <v>0</v>
      </c>
      <c r="CD240" s="510">
        <f>0</f>
        <v>0</v>
      </c>
      <c r="CE240" s="510">
        <f>0</f>
        <v>0</v>
      </c>
      <c r="CF240" s="510">
        <f>0</f>
        <v>0</v>
      </c>
      <c r="CG240" s="510">
        <f>0</f>
        <v>0</v>
      </c>
      <c r="CH240" s="510">
        <f>0</f>
        <v>0</v>
      </c>
      <c r="CI240" s="510">
        <f>0</f>
        <v>0</v>
      </c>
      <c r="CJ240" s="510">
        <f>0</f>
        <v>0</v>
      </c>
      <c r="CK240" s="510">
        <f>0</f>
        <v>0</v>
      </c>
      <c r="CL240" s="510">
        <f>0</f>
        <v>0</v>
      </c>
      <c r="CM240" s="510">
        <f>0</f>
        <v>0</v>
      </c>
      <c r="CN240" s="510">
        <f>0</f>
        <v>0</v>
      </c>
      <c r="CO240" s="510">
        <f>0</f>
        <v>0</v>
      </c>
      <c r="CP240" s="510">
        <f>0</f>
        <v>0</v>
      </c>
      <c r="CQ240" s="510">
        <f>0</f>
        <v>0</v>
      </c>
      <c r="CR240" s="510">
        <f>0</f>
        <v>0</v>
      </c>
      <c r="CS240" s="510">
        <f>0</f>
        <v>0</v>
      </c>
      <c r="CT240" s="2495">
        <f>q_ACP*P_recipDrivingForceACP^2</f>
        <v>0</v>
      </c>
      <c r="CV240" s="2502">
        <f>E266*E240+F266*F240+G266*G240+H266*H240+I266*I240+J266*J240+K266*K240+L266*L240+M266*M240+N266*N240+O266*O240+P266*P240+Q266*Q240+R266*R240+S266*S240+T266*T240+U266*U240+V266*V240+W266*W240+X266*X240+Y266*Y240+Z266*Z240+AA266*AA240+AB266*AB240+AC266*AC240+AD266*AD240+AE266*AE240+AF266*AF240+AG266*AG240+AH266*AH240+AI266*AI240+AJ266*AJ240+AK266*AK240+AL266*AL240+AM266*AM240+AN266*AN240+AO266*AO240+AP266*AP240+AQ266*AQ240+AR266*AR240+AS266*AS240+AT266*AT240+AU266*AU240+AV266*AV240+AW266*AW240+AX266*AX240+AY266*AY240+AZ266*AZ240+BA266*BA240+BB266*BB240+BC266*BC240+BD266*BD240+BE266*BE240+BF266*BF240+BG266*BG240+BH266*BH240+BI266*BI240+BJ266*BJ240+BK266*BK240+BL266*BL240+BM266*BM240+BN266*BN240+BO266*BO240+BP266*BP240+BQ266*BQ240+BR266*BR240+BS266*BS240+BT266*BT240+BU266*BU240+BV266*BV240+BW266*BW240+BX266*BX240+BY266*BY240+BZ266*BZ240+CA266*CA240+CB266*CB240+CC266*CC240+CD266*CD240+CE266*CE240+CF266*CF240+CG266*CG240+CH266*CH240+CI266*CI240+CJ266*CJ240+CK266*CK240+CL266*CL240+CM266*CM240+CN266*CN240+CO266*CO240+CP266*CP240+CQ266*CQ240+CR266*CR240+CS266*CS240</f>
        <v>0</v>
      </c>
      <c r="CW240" s="2502">
        <f>E267*E240+F267*F240+G267*G240+H267*H240+I267*I240+J267*J240+K267*K240+L267*L240+M267*M240+N267*N240+O267*O240+P267*P240+Q267*Q240+R267*R240+S267*S240+T267*T240+U267*U240+V267*V240+W267*W240+X267*X240+Y267*Y240+Z267*Z240+AA267*AA240+AB267*AB240+AC267*AC240+AD267*AD240+AE267*AE240+AF267*AF240+AG267*AG240+AH267*AH240+AI267*AI240+AJ267*AJ240+AK267*AK240+AL267*AL240+AM267*AM240+AN267*AN240+AO267*AO240+AP267*AP240+AQ267*AQ240+AR267*AR240+AS267*AS240+AT267*AT240+AU267*AU240+AV267*AV240+AW267*AW240+AX267*AX240+AY267*AY240+AZ267*AZ240+BA267*BA240+BB267*BB240+BC267*BC240+BD267*BD240+BE267*BE240+BF267*BF240+BG267*BG240+BH267*BH240+BI267*BI240+BJ267*BJ240+BK267*BK240+BL267*BL240+BM267*BM240+BN267*BN240+BO267*BO240+BP267*BP240+BQ267*BQ240+BR267*BR240+BS267*BS240+BT267*BT240+BU267*BU240+BV267*BV240+BW267*BW240+BX267*BX240+BY267*BY240+BZ267*BZ240+CA267*CA240+CB267*CB240+CC267*CC240+CD267*CD240+CE267*CE240+CF267*CF240+CG267*CG240+CH267*CH240+CI267*CI240+CJ267*CJ240+CK267*CK240+CL267*CL240+CM267*CM240+CN267*CN240+CO267*CO240+CP267*CP240+CQ267*CQ240+CR267*CR240+CS267*CS240</f>
        <v>0</v>
      </c>
      <c r="CX240" s="2503">
        <f>E268*E240+F268*F240+G268*G240+H268*H240+I268*I240+J268*J240+K268*K240+L268*L240+M268*M240+N268*N240+O268*O240+P268*P240+Q268*Q240+R268*R240+S268*S240+T268*T240+U268*U240+V268*V240+W268*W240+X268*X240+Y268*Y240+Z268*Z240+AA268*AA240+AB268*AB240+AC268*AC240+AD268*AD240+AE268*AE240+AF268*AF240+AG268*AG240+AH268*AH240+AI268*AI240+AJ268*AJ240+AK268*AK240+AL268*AL240+AM268*AM240+AN268*AN240+AO268*AO240+AP268*AP240+AQ268*AQ240+AR268*AR240+AS268*AS240+AT268*AT240+AU268*AU240+AV268*AV240+AW268*AW240+AX268*AX240+AY268*AY240+AZ268*AZ240+BA268*BA240+BB268*BB240+BC268*BC240+BD268*BD240+BE268*BE240+BF268*BF240+BG268*BG240+BH268*BH240+BI268*BI240+BJ268*BJ240+BK268*BK240+BL268*BL240+BM268*BM240+BN268*BN240+BO268*BO240+BP268*BP240+BQ268*BQ240+BR268*BR240+BS268*BS240+BT268*BT240+BU268*BU240+BV268*BV240+BW268*BW240+BX268*BX240+BY268*BY240+BZ268*BZ240+CA268*CA240+CB268*CB240+CC268*CC240+CD268*CD240+CE268*CE240+CF268*CF240+CG268*CG240+CH268*CH240+CI268*CI240+CJ268*CJ240+CK268*CK240+CL268*CL240+CM268*CM240+CN268*CN240+CO268*CO240+CP268*CP240+CQ268*CQ240+CR268*CR240+CS268*CS240</f>
        <v>0</v>
      </c>
      <c r="CY240" s="2504">
        <f>E269*E240+F269*F240+G269*G240+H269*H240+I269*I240+J269*J240+K269*K240+L269*L240+M269*M240+N269*N240+O269*O240+P269*P240+Q269*Q240+R269*R240+S269*S240+T269*T240+U269*U240+V269*V240+W269*W240+X269*X240+Y269*Y240+Z269*Z240+AA269*AA240+AB269*AB240+AC269*AC240+AD269*AD240+AE269*AE240+AF269*AF240+AG269*AG240+AH269*AH240+AI269*AI240+AJ269*AJ240+AK269*AK240+AL269*AL240+AM269*AM240+AN269*AN240+AO269*AO240+AP269*AP240+AQ269*AQ240+AR269*AR240+AS269*AS240+AT269*AT240+AU269*AU240+AV269*AV240+AW269*AW240+AX269*AX240+AY269*AY240+AZ269*AZ240+BA269*BA240+BB269*BB240+BC269*BC240+BD269*BD240+BE269*BE240+BF269*BF240+BG269*BG240+BH269*BH240+BI269*BI240+BJ269*BJ240+BK269*BK240+BL269*BL240+BM269*BM240+BN269*BN240+BO269*BO240+BP269*BP240+BQ269*BQ240+BR269*BR240+BS269*BS240+BT269*BT240+BU269*BU240+BV269*BV240+BW269*BW240+BX269*BX240+BY269*BY240+BZ269*BZ240+CA269*CA240+CB269*CB240+CC269*CC240+CD269*CD240+CE269*CE240+CF269*CF240+CG269*CG240+CH269*CH240+CI269*CI240+CJ269*CJ240+CK269*CK240+CL269*CL240+CM269*CM240+CN269*CN240+CO269*CO240+CP269*CP240+CQ269*CQ240+CR269*CR240+CS269*CS240</f>
        <v>0</v>
      </c>
      <c r="CZ240" s="2504">
        <f>E270*E240+F270*F240+G270*G240+H270*H240+I270*I240+J270*J240+K270*K240+L270*L240+M270*M240+N270*N240+O270*O240+P270*P240+Q270*Q240+R270*R240+S270*S240+T270*T240+U270*U240+V270*V240+W270*W240+X270*X240+Y270*Y240+Z270*Z240+AA270*AA240+AB270*AB240+AC270*AC240+AD270*AD240+AE270*AE240+AF270*AF240+AG270*AG240+AH270*AH240+AI270*AI240+AJ270*AJ240+AK270*AK240+AL270*AL240+AM270*AM240+AN270*AN240+AO270*AO240+AP270*AP240+AQ270*AQ240+AR270*AR240+AS270*AS240+AT270*AT240+AU270*AU240+AV270*AV240+AW270*AW240+AX270*AX240+AY270*AY240+AZ270*AZ240+BA270*BA240+BB270*BB240+BC270*BC240+BD270*BD240+BE270*BE240+BF270*BF240+BG270*BG240+BH270*BH240+BI270*BI240+BJ270*BJ240+BK270*BK240+BL270*BL240+BM270*BM240+BN270*BN240+BO270*BO240+BP270*BP240+BQ270*BQ240+BR270*BR240+BS270*BS240+BT270*BT240+BU270*BU240+BV270*BV240+BW270*BW240+BX270*BX240+BY270*BY240+BZ270*BZ240+CA270*CA240+CB270*CB240+CC270*CC240+CD270*CD240+CE270*CE240+CF270*CF240+CG270*CG240+CH270*CH240+CI270*CI240+CJ270*CJ240+CK270*CK240+CL270*CL240+CM270*CM240+CN270*CN240+CO270*CO240+CP270*CP240+CQ270*CQ240+CR270*CR240+CS270*CS240</f>
        <v>0</v>
      </c>
      <c r="DA240" s="2504">
        <f>E271*E240+F271*F240+G271*G240+H271*H240+I271*I240+J271*J240+K271*K240+L271*L240+M271*M240+N271*N240+O271*O240+P271*P240+Q271*Q240+R271*R240+S271*S240+T271*T240+U271*U240+V271*V240+W271*W240+X271*X240+Y271*Y240+Z271*Z240+AA271*AA240+AB271*AB240+AC271*AC240+AD271*AD240+AE271*AE240+AF271*AF240+AG271*AG240+AH271*AH240+AI271*AI240+AJ271*AJ240+AK271*AK240+AL271*AL240+AM271*AM240+AN271*AN240+AO271*AO240+AP271*AP240+AQ271*AQ240+AR271*AR240+AS271*AS240+AT271*AT240+AU271*AU240+AV271*AV240+AW271*AW240+AX271*AX240+AY271*AY240+AZ271*AZ240+BA271*BA240+BB271*BB240+BC271*BC240+BD271*BD240+BE271*BE240+BF271*BF240+BG271*BG240+BH271*BH240+BI271*BI240+BJ271*BJ240+BK271*BK240+BL271*BL240+BM271*BM240+BN271*BN240+BO271*BO240+BP271*BP240+BQ271*BQ240+BR271*BR240+BS271*BS240+BT271*BT240+BU271*BU240+BV271*BV240+BW271*BW240+BX271*BX240+BY271*BY240+BZ271*BZ240+CA271*CA240+CB271*CB240+CC271*CC240+CD271*CD240+CE271*CE240+CF271*CF240+CG271*CG240+CH271*CH240+CI271*CI240+CJ271*CJ240+CK271*CK240+CL271*CL240+CM271*CM240+CN271*CN240+CO271*CO240+CP271*CP240+CQ271*CQ240+CR271*CR240+CS271*CS240</f>
        <v>0</v>
      </c>
      <c r="DB240" s="2504">
        <f>E272*E240+F272*F240+G272*G240+H272*H240+I272*I240+J272*J240+K272*K240+L272*L240+M272*M240+N272*N240+O272*O240+P272*P240+Q272*Q240+R272*R240+S272*S240+T272*T240+U272*U240+V272*V240+W272*W240+X272*X240+Y272*Y240+Z272*Z240+AA272*AA240+AB272*AB240+AC272*AC240+AD272*AD240+AE272*AE240+AF272*AF240+AG272*AG240+AH272*AH240+AI272*AI240+AJ272*AJ240+AK272*AK240+AL272*AL240+AM272*AM240+AN272*AN240+AO272*AO240+AP272*AP240+AQ272*AQ240+AR272*AR240+AS272*AS240+AT272*AT240+AU272*AU240+AV272*AV240+AW272*AW240+AX272*AX240+AY272*AY240+AZ272*AZ240+BA272*BA240+BB272*BB240+BC272*BC240+BD272*BD240+BE272*BE240+BF272*BF240+BG272*BG240+BH272*BH240+BI272*BI240+BJ272*BJ240+BK272*BK240+BL272*BL240+BM272*BM240+BN272*BN240+BO272*BO240+BP272*BP240+BQ272*BQ240+BR272*BR240+BS272*BS240+BT272*BT240+BU272*BU240+BV272*BV240+BW272*BW240+BX272*BX240+BY272*BY240+BZ272*BZ240+CA272*CA240+CB272*CB240+CC272*CC240+CD272*CD240+CE272*CE240+CF272*CF240+CG272*CG240+CH272*CH240+CI272*CI240+CJ272*CJ240+CK272*CK240+CL272*CL240+CM272*CM240+CN272*CN240+CO272*CO240+CP272*CP240+CQ272*CQ240+CR272*CR240+CS272*CS240</f>
        <v>0</v>
      </c>
      <c r="DC240" s="2504">
        <f>E273*E240+F273*F240+G273*G240+H273*H240+I273*I240+J273*J240+K273*K240+L273*L240+M273*M240+N273*N240+O273*O240+P273*P240+Q273*Q240+R273*R240+S273*S240+T273*T240+U273*U240+V273*V240+W273*W240+X273*X240+Y273*Y240+Z273*Z240+AA273*AA240+AB273*AB240+AC273*AC240+AD273*AD240+AE273*AE240+AF273*AF240+AG273*AG240+AH273*AH240+AI273*AI240+AJ273*AJ240+AK273*AK240+AL273*AL240+AM273*AM240+AN273*AN240+AO273*AO240+AP273*AP240+AQ273*AQ240+AR273*AR240+AS273*AS240+AT273*AT240+AU273*AU240+AV273*AV240+AW273*AW240+AX273*AX240+AY273*AY240+AZ273*AZ240+BA273*BA240+BB273*BB240+BC273*BC240+BD273*BD240+BE273*BE240+BF273*BF240+BG273*BG240+BH273*BH240+BI273*BI240+BJ273*BJ240+BK273*BK240+BL273*BL240+BM273*BM240+BN273*BN240+BO273*BO240+BP273*BP240+BQ273*BQ240+BR273*BR240+BS273*BS240+BT273*BT240+BU273*BU240+BV273*BV240+BW273*BW240+BX273*BX240+BY273*BY240+BZ273*BZ240+CA273*CA240+CB273*CB240+CC273*CC240+CD273*CD240+CE273*CE240+CF273*CF240+CG273*CG240+CH273*CH240+CI273*CI240+CJ273*CJ240+CK273*CK240+CL273*CL240+CM273*CM240+CN273*CN240+CO273*CO240+CP273*CP240+CQ273*CQ240+CR273*CR240+CS273*CS240</f>
        <v>0</v>
      </c>
      <c r="DD240" s="2504">
        <f>E274*E240+F274*F240+G274*G240+H274*H240+I274*I240+J274*J240+K274*K240+L274*L240+M274*M240+N274*N240+O274*O240+P274*P240+Q274*Q240+R274*R240+S274*S240+T274*T240+U274*U240+V274*V240+W274*W240+X274*X240+Y274*Y240+Z274*Z240+AA274*AA240+AB274*AB240+AC274*AC240+AD274*AD240+AE274*AE240+AF274*AF240+AG274*AG240+AH274*AH240+AI274*AI240+AJ274*AJ240+AK274*AK240+AL274*AL240+AM274*AM240+AN274*AN240+AO274*AO240+AP274*AP240+AQ274*AQ240+AR274*AR240+AS274*AS240+AT274*AT240+AU274*AU240+AV274*AV240+AW274*AW240+AX274*AX240+AY274*AY240+AZ274*AZ240+BA274*BA240+BB274*BB240+BC274*BC240+BD274*BD240+BE274*BE240+BF274*BF240+BG274*BG240+BH274*BH240+BI274*BI240+BJ274*BJ240+BK274*BK240+BL274*BL240+BM274*BM240+BN274*BN240+BO274*BO240+BP274*BP240+BQ274*BQ240+BR274*BR240+BS274*BS240+BT274*BT240+BU274*BU240+BV274*BV240+BW274*BW240+BX274*BX240+BY274*BY240+BZ274*BZ240+CA274*CA240+CB274*CB240+CC274*CC240+CD274*CD240+CE274*CE240+CF274*CF240+CG274*CG240+CH274*CH240+CI274*CI240+CJ274*CJ240+CK274*CK240+CL274*CL240+CM274*CM240+CN274*CN240+CO274*CO240+CP274*CP240+CQ274*CQ240+CR274*CR240+CS274*CS240</f>
        <v>0</v>
      </c>
      <c r="DE240" s="2504">
        <f>E275*E240+F275*F240+G275*G240+H275*H240+I275*I240+J275*J240+K275*K240+L275*L240+M275*M240+N275*N240+O275*O240+P275*P240+Q275*Q240+R275*R240+S275*S240+T275*T240+U275*U240+V275*V240+W275*W240+X275*X240+Y275*Y240+Z275*Z240+AA275*AA240+AB275*AB240+AC275*AC240+AD275*AD240+AE275*AE240+AF275*AF240+AG275*AG240+AH275*AH240+AI275*AI240+AJ275*AJ240+AK275*AK240+AL275*AL240+AM275*AM240+AN275*AN240+AO275*AO240+AP275*AP240+AQ275*AQ240+AR275*AR240+AS275*AS240+AT275*AT240+AU275*AU240+AV275*AV240+AW275*AW240+AX275*AX240+AY275*AY240+AZ275*AZ240+BA275*BA240+BB275*BB240+BC275*BC240+BD275*BD240+BE275*BE240+BF275*BF240+BG275*BG240+BH275*BH240+BI275*BI240+BJ275*BJ240+BK275*BK240+BL275*BL240+BM275*BM240+BN275*BN240+BO275*BO240+BP275*BP240+BQ275*BQ240+BR275*BR240+BS275*BS240+BT275*BT240+BU275*BU240+BV275*BV240+BW275*BW240+BX275*BX240+BY275*BY240+BZ275*BZ240+CA275*CA240+CB275*CB240+CC275*CC240+CD275*CD240+CE275*CE240+CF275*CF240+CG275*CG240+CH275*CH240+CI275*CI240+CJ275*CJ240+CK275*CK240+CL275*CL240+CM275*CM240+CN275*CN240+CO275*CO240+CP275*CP240+CQ275*CQ240+CR275*CR240+CS275*CS240</f>
        <v>0</v>
      </c>
      <c r="DF240" s="2504">
        <f>E276*E240+F276*F240+G276*G240+H276*H240+I276*I240+J276*J240+K276*K240+L276*L240+M276*M240+N276*N240+O276*O240+P276*P240+Q276*Q240+R276*R240+S276*S240+T276*T240+U276*U240+V276*V240+W276*W240+X276*X240+Y276*Y240+Z276*Z240+AA276*AA240+AB276*AB240+AC276*AC240+AD276*AD240+AE276*AE240+AF276*AF240+AG276*AG240+AH276*AH240+AI276*AI240+AJ276*AJ240+AK276*AK240+AL276*AL240+AM276*AM240+AN276*AN240+AO276*AO240+AP276*AP240+AQ276*AQ240+AR276*AR240+AS276*AS240+AT276*AT240+AU276*AU240+AV276*AV240+AW276*AW240+AX276*AX240+AY276*AY240+AZ276*AZ240+BA276*BA240+BB276*BB240+BC276*BC240+BD276*BD240+BE276*BE240+BF276*BF240+BG276*BG240+BH276*BH240+BI276*BI240+BJ276*BJ240+BK276*BK240+BL276*BL240+BM276*BM240+BN276*BN240+BO276*BO240+BP276*BP240+BQ276*BQ240+BR276*BR240+BS276*BS240+BT276*BT240+BU276*BU240+BV276*BV240+BW276*BW240+BX276*BX240+BY276*BY240+BZ276*BZ240+CA276*CA240+CB276*CB240+CC276*CC240+CD276*CD240+CE276*CE240+CF276*CF240+CG276*CG240+CH276*CH240+CI276*CI240+CJ276*CJ240+CK276*CK240+CL276*CL240+CM276*CM240+CN276*CN240+CO276*CO240+CP276*CP240+CQ276*CQ240+CR276*CR240+CS276*CS240</f>
        <v>0</v>
      </c>
    </row>
    <row r="241" spans="2:110" x14ac:dyDescent="0.25">
      <c r="B241" s="1533">
        <v>99</v>
      </c>
      <c r="C241" s="1408" t="s">
        <v>3617</v>
      </c>
      <c r="D241" s="1409" t="s">
        <v>4213</v>
      </c>
      <c r="E241" s="509">
        <f>0</f>
        <v>0</v>
      </c>
      <c r="F241" s="509">
        <f>0</f>
        <v>0</v>
      </c>
      <c r="G241" s="509">
        <f>0</f>
        <v>0</v>
      </c>
      <c r="H241" s="509">
        <f>0</f>
        <v>0</v>
      </c>
      <c r="I241" s="509">
        <f>0</f>
        <v>0</v>
      </c>
      <c r="J241" s="509">
        <f>0</f>
        <v>0</v>
      </c>
      <c r="K241" s="509">
        <f>0</f>
        <v>0</v>
      </c>
      <c r="L241" s="509">
        <f>0</f>
        <v>0</v>
      </c>
      <c r="M241" s="509">
        <f>0</f>
        <v>0</v>
      </c>
      <c r="N241" s="509">
        <f>0</f>
        <v>0</v>
      </c>
      <c r="O241" s="509">
        <f>0</f>
        <v>0</v>
      </c>
      <c r="P241" s="509">
        <f>0</f>
        <v>0</v>
      </c>
      <c r="Q241" s="509">
        <f>0</f>
        <v>0</v>
      </c>
      <c r="R241" s="510">
        <f>0</f>
        <v>0</v>
      </c>
      <c r="S241" s="509">
        <f>0</f>
        <v>0</v>
      </c>
      <c r="T241" s="509">
        <f>0</f>
        <v>0</v>
      </c>
      <c r="U241" s="509">
        <f>0</f>
        <v>0</v>
      </c>
      <c r="V241" s="509">
        <f>0</f>
        <v>0</v>
      </c>
      <c r="W241" s="509">
        <f>0</f>
        <v>0</v>
      </c>
      <c r="X241" s="509">
        <f>0</f>
        <v>0</v>
      </c>
      <c r="Y241" s="509">
        <f>0</f>
        <v>0</v>
      </c>
      <c r="Z241" s="509">
        <f>0</f>
        <v>0</v>
      </c>
      <c r="AA241" s="509">
        <f>0</f>
        <v>0</v>
      </c>
      <c r="AB241" s="509">
        <f>0</f>
        <v>0</v>
      </c>
      <c r="AC241" s="509">
        <f>0</f>
        <v>0</v>
      </c>
      <c r="AD241" s="509">
        <f>0</f>
        <v>0</v>
      </c>
      <c r="AE241" s="510">
        <f>0</f>
        <v>0</v>
      </c>
      <c r="AF241" s="510">
        <f>0</f>
        <v>0</v>
      </c>
      <c r="AG241" s="509">
        <f>0</f>
        <v>0</v>
      </c>
      <c r="AH241" s="509">
        <f>0</f>
        <v>0</v>
      </c>
      <c r="AI241" s="510">
        <f>0</f>
        <v>0</v>
      </c>
      <c r="AJ241" s="509">
        <f>0</f>
        <v>0</v>
      </c>
      <c r="AK241" s="509">
        <f>0</f>
        <v>0</v>
      </c>
      <c r="AL241" s="509">
        <f>0</f>
        <v>0</v>
      </c>
      <c r="AM241" s="510">
        <f>-A_MP/M_MBSH</f>
        <v>-0.17998807007087103</v>
      </c>
      <c r="AN241" s="509">
        <f>0</f>
        <v>0</v>
      </c>
      <c r="AO241" s="509">
        <f>0</f>
        <v>0</v>
      </c>
      <c r="AP241" s="509">
        <f>0</f>
        <v>0</v>
      </c>
      <c r="AQ241" s="509">
        <f>0</f>
        <v>0</v>
      </c>
      <c r="AR241" s="509">
        <f>0</f>
        <v>0</v>
      </c>
      <c r="AS241" s="509">
        <f>0</f>
        <v>0</v>
      </c>
      <c r="AT241" s="510">
        <f>0</f>
        <v>0</v>
      </c>
      <c r="AU241" s="509">
        <f>0</f>
        <v>0</v>
      </c>
      <c r="AV241" s="509">
        <f>0</f>
        <v>0</v>
      </c>
      <c r="AW241" s="510">
        <f>0</f>
        <v>0</v>
      </c>
      <c r="AX241" s="509">
        <f>0</f>
        <v>0</v>
      </c>
      <c r="AY241" s="509">
        <f>0</f>
        <v>0</v>
      </c>
      <c r="AZ241" s="510">
        <f>-A_MCa/M_MBSH</f>
        <v>-0.2328926601076691</v>
      </c>
      <c r="BA241" s="510">
        <f>0</f>
        <v>0</v>
      </c>
      <c r="BB241" s="509">
        <f>0</f>
        <v>0</v>
      </c>
      <c r="BC241" s="510">
        <f>0</f>
        <v>0</v>
      </c>
      <c r="BD241" s="510">
        <f>0</f>
        <v>0</v>
      </c>
      <c r="BE241" s="509">
        <f>0</f>
        <v>0</v>
      </c>
      <c r="BF241" s="509">
        <f>0</f>
        <v>0</v>
      </c>
      <c r="BG241" s="510">
        <f>0</f>
        <v>0</v>
      </c>
      <c r="BH241" s="510">
        <f>0</f>
        <v>0</v>
      </c>
      <c r="BI241" s="509">
        <f>0</f>
        <v>0</v>
      </c>
      <c r="BJ241" s="510">
        <f>0</f>
        <v>0</v>
      </c>
      <c r="BK241" s="510">
        <f>0</f>
        <v>0</v>
      </c>
      <c r="BL241" s="510">
        <f>0</f>
        <v>0</v>
      </c>
      <c r="BM241" s="510">
        <f>0</f>
        <v>0</v>
      </c>
      <c r="BN241" s="510">
        <f>0</f>
        <v>0</v>
      </c>
      <c r="BO241" s="510">
        <f>0</f>
        <v>0</v>
      </c>
      <c r="BP241" s="510">
        <f>0</f>
        <v>0</v>
      </c>
      <c r="BQ241" s="510">
        <f>0</f>
        <v>0</v>
      </c>
      <c r="BR241" s="510">
        <f>0</f>
        <v>0</v>
      </c>
      <c r="BS241" s="510">
        <f>0</f>
        <v>0</v>
      </c>
      <c r="BT241" s="510">
        <f>1</f>
        <v>1</v>
      </c>
      <c r="BU241" s="510">
        <f>0</f>
        <v>0</v>
      </c>
      <c r="BV241" s="510">
        <f>0</f>
        <v>0</v>
      </c>
      <c r="BW241" s="2372">
        <f>0</f>
        <v>0</v>
      </c>
      <c r="BX241" s="2372">
        <f>0</f>
        <v>0</v>
      </c>
      <c r="BY241" s="2372">
        <f>0</f>
        <v>0</v>
      </c>
      <c r="BZ241" s="2372">
        <f>0</f>
        <v>0</v>
      </c>
      <c r="CA241" s="510">
        <f>0</f>
        <v>0</v>
      </c>
      <c r="CB241" s="510">
        <f>0</f>
        <v>0</v>
      </c>
      <c r="CC241" s="510">
        <f>0</f>
        <v>0</v>
      </c>
      <c r="CD241" s="510">
        <f>0</f>
        <v>0</v>
      </c>
      <c r="CE241" s="510">
        <f>0</f>
        <v>0</v>
      </c>
      <c r="CF241" s="510">
        <f>0</f>
        <v>0</v>
      </c>
      <c r="CG241" s="510">
        <f>0</f>
        <v>0</v>
      </c>
      <c r="CH241" s="510">
        <f>0</f>
        <v>0</v>
      </c>
      <c r="CI241" s="510">
        <f>0</f>
        <v>0</v>
      </c>
      <c r="CJ241" s="510">
        <f>0</f>
        <v>0</v>
      </c>
      <c r="CK241" s="510">
        <f>0</f>
        <v>0</v>
      </c>
      <c r="CL241" s="510">
        <f>0</f>
        <v>0</v>
      </c>
      <c r="CM241" s="510">
        <f>0</f>
        <v>0</v>
      </c>
      <c r="CN241" s="510">
        <f>0</f>
        <v>0</v>
      </c>
      <c r="CO241" s="510">
        <f>0</f>
        <v>0</v>
      </c>
      <c r="CP241" s="510">
        <f>0</f>
        <v>0</v>
      </c>
      <c r="CQ241" s="510">
        <f>0</f>
        <v>0</v>
      </c>
      <c r="CR241" s="510">
        <f>0</f>
        <v>0</v>
      </c>
      <c r="CS241" s="510">
        <f>0</f>
        <v>0</v>
      </c>
      <c r="CT241" s="2495">
        <f>q_BSH*P_recipDrivingForceBSH^2</f>
        <v>0</v>
      </c>
      <c r="CV241" s="2502">
        <f>E266*E241+F266*F241+G266*G241+H266*H241+I266*I241+J266*J241+K266*K241+L266*L241+M266*M241+N266*N241+O266*O241+P266*P241+Q266*Q241+R266*R241+S266*S241+T266*T241+U266*U241+V266*V241+W266*W241+X266*X241+Y266*Y241+Z266*Z241+AA266*AA241+AB266*AB241+AC266*AC241+AD266*AD241+AE266*AE241+AF266*AF241+AG266*AG241+AH266*AH241+AI266*AI241+AJ266*AJ241+AK266*AK241+AL266*AL241+AM266*AM241+AN266*AN241+AO266*AO241+AP266*AP241+AQ266*AQ241+AR266*AR241+AS266*AS241+AT266*AT241+AU266*AU241+AV266*AV241+AW266*AW241+AX266*AX241+AY266*AY241+AZ266*AZ241+BA266*BA241+BB266*BB241+BC266*BC241+BD266*BD241+BE266*BE241+BF266*BF241+BG266*BG241+BH266*BH241+BI266*BI241+BJ266*BJ241+BK266*BK241+BL266*BL241+BM266*BM241+BN266*BN241+BO266*BO241+BP266*BP241+BQ266*BQ241+BR266*BR241+BS266*BS241+BT266*BT241+BU266*BU241+BV266*BV241+BW266*BW241+BX266*BX241+BY266*BY241+BZ266*BZ241+CA266*CA241+CB266*CB241+CC266*CC241+CD266*CD241+CE266*CE241+CF266*CF241+CG266*CG241+CH266*CH241+CI266*CI241+CJ266*CJ241+CK266*CK241+CL266*CL241+CM266*CM241+CN266*CN241+CO266*CO241+CP266*CP241+CQ266*CQ241+CR266*CR241+CS266*CS241</f>
        <v>0</v>
      </c>
      <c r="CW241" s="2502">
        <f>E267*E241+F267*F241+G267*G241+H267*H241+I267*I241+J267*J241+K267*K241+L267*L241+M267*M241+N267*N241+O267*O241+P267*P241+Q267*Q241+R267*R241+S267*S241+T267*T241+U267*U241+V267*V241+W267*W241+X267*X241+Y267*Y241+Z267*Z241+AA267*AA241+AB267*AB241+AC267*AC241+AD267*AD241+AE267*AE241+AF267*AF241+AG267*AG241+AH267*AH241+AI267*AI241+AJ267*AJ241+AK267*AK241+AL267*AL241+AM267*AM241+AN267*AN241+AO267*AO241+AP267*AP241+AQ267*AQ241+AR267*AR241+AS267*AS241+AT267*AT241+AU267*AU241+AV267*AV241+AW267*AW241+AX267*AX241+AY267*AY241+AZ267*AZ241+BA267*BA241+BB267*BB241+BC267*BC241+BD267*BD241+BE267*BE241+BF267*BF241+BG267*BG241+BH267*BH241+BI267*BI241+BJ267*BJ241+BK267*BK241+BL267*BL241+BM267*BM241+BN267*BN241+BO267*BO241+BP267*BP241+BQ267*BQ241+BR267*BR241+BS267*BS241+BT267*BT241+BU267*BU241+BV267*BV241+BW267*BW241+BX267*BX241+BY267*BY241+BZ267*BZ241+CA267*CA241+CB267*CB241+CC267*CC241+CD267*CD241+CE267*CE241+CF267*CF241+CG267*CG241+CH267*CH241+CI267*CI241+CJ267*CJ241+CK267*CK241+CL267*CL241+CM267*CM241+CN267*CN241+CO267*CO241+CP267*CP241+CQ267*CQ241+CR267*CR241+CS267*CS241</f>
        <v>0</v>
      </c>
      <c r="CX241" s="2503">
        <f>E268*E241+F268*F241+G268*G241+H268*H241+I268*I241+J268*J241+K268*K241+L268*L241+M268*M241+N268*N241+O268*O241+P268*P241+Q268*Q241+R268*R241+S268*S241+T268*T241+U268*U241+V268*V241+W268*W241+X268*X241+Y268*Y241+Z268*Z241+AA268*AA241+AB268*AB241+AC268*AC241+AD268*AD241+AE268*AE241+AF268*AF241+AG268*AG241+AH268*AH241+AI268*AI241+AJ268*AJ241+AK268*AK241+AL268*AL241+AM268*AM241+AN268*AN241+AO268*AO241+AP268*AP241+AQ268*AQ241+AR268*AR241+AS268*AS241+AT268*AT241+AU268*AU241+AV268*AV241+AW268*AW241+AX268*AX241+AY268*AY241+AZ268*AZ241+BA268*BA241+BB268*BB241+BC268*BC241+BD268*BD241+BE268*BE241+BF268*BF241+BG268*BG241+BH268*BH241+BI268*BI241+BJ268*BJ241+BK268*BK241+BL268*BL241+BM268*BM241+BN268*BN241+BO268*BO241+BP268*BP241+BQ268*BQ241+BR268*BR241+BS268*BS241+BT268*BT241+BU268*BU241+BV268*BV241+BW268*BW241+BX268*BX241+BY268*BY241+BZ268*BZ241+CA268*CA241+CB268*CB241+CC268*CC241+CD268*CD241+CE268*CE241+CF268*CF241+CG268*CG241+CH268*CH241+CI268*CI241+CJ268*CJ241+CK268*CK241+CL268*CL241+CM268*CM241+CN268*CN241+CO268*CO241+CP268*CP241+CQ268*CQ241+CR268*CR241+CS268*CS241</f>
        <v>0</v>
      </c>
      <c r="CY241" s="2504">
        <f>E269*E241+F269*F241+G269*G241+H269*H241+I269*I241+J269*J241+K269*K241+L269*L241+M269*M241+N269*N241+O269*O241+P269*P241+Q269*Q241+R269*R241+S269*S241+T269*T241+U269*U241+V269*V241+W269*W241+X269*X241+Y269*Y241+Z269*Z241+AA269*AA241+AB269*AB241+AC269*AC241+AD269*AD241+AE269*AE241+AF269*AF241+AG269*AG241+AH269*AH241+AI269*AI241+AJ269*AJ241+AK269*AK241+AL269*AL241+AM269*AM241+AN269*AN241+AO269*AO241+AP269*AP241+AQ269*AQ241+AR269*AR241+AS269*AS241+AT269*AT241+AU269*AU241+AV269*AV241+AW269*AW241+AX269*AX241+AY269*AY241+AZ269*AZ241+BA269*BA241+BB269*BB241+BC269*BC241+BD269*BD241+BE269*BE241+BF269*BF241+BG269*BG241+BH269*BH241+BI269*BI241+BJ269*BJ241+BK269*BK241+BL269*BL241+BM269*BM241+BN269*BN241+BO269*BO241+BP269*BP241+BQ269*BQ241+BR269*BR241+BS269*BS241+BT269*BT241+BU269*BU241+BV269*BV241+BW269*BW241+BX269*BX241+BY269*BY241+BZ269*BZ241+CA269*CA241+CB269*CB241+CC269*CC241+CD269*CD241+CE269*CE241+CF269*CF241+CG269*CG241+CH269*CH241+CI269*CI241+CJ269*CJ241+CK269*CK241+CL269*CL241+CM269*CM241+CN269*CN241+CO269*CO241+CP269*CP241+CQ269*CQ241+CR269*CR241+CS269*CS241</f>
        <v>0</v>
      </c>
      <c r="CZ241" s="2504">
        <f>E270*E241+F270*F241+G270*G241+H270*H241+I270*I241+J270*J241+K270*K241+L270*L241+M270*M241+N270*N241+O270*O241+P270*P241+Q270*Q241+R270*R241+S270*S241+T270*T241+U270*U241+V270*V241+W270*W241+X270*X241+Y270*Y241+Z270*Z241+AA270*AA241+AB270*AB241+AC270*AC241+AD270*AD241+AE270*AE241+AF270*AF241+AG270*AG241+AH270*AH241+AI270*AI241+AJ270*AJ241+AK270*AK241+AL270*AL241+AM270*AM241+AN270*AN241+AO270*AO241+AP270*AP241+AQ270*AQ241+AR270*AR241+AS270*AS241+AT270*AT241+AU270*AU241+AV270*AV241+AW270*AW241+AX270*AX241+AY270*AY241+AZ270*AZ241+BA270*BA241+BB270*BB241+BC270*BC241+BD270*BD241+BE270*BE241+BF270*BF241+BG270*BG241+BH270*BH241+BI270*BI241+BJ270*BJ241+BK270*BK241+BL270*BL241+BM270*BM241+BN270*BN241+BO270*BO241+BP270*BP241+BQ270*BQ241+BR270*BR241+BS270*BS241+BT270*BT241+BU270*BU241+BV270*BV241+BW270*BW241+BX270*BX241+BY270*BY241+BZ270*BZ241+CA270*CA241+CB270*CB241+CC270*CC241+CD270*CD241+CE270*CE241+CF270*CF241+CG270*CG241+CH270*CH241+CI270*CI241+CJ270*CJ241+CK270*CK241+CL270*CL241+CM270*CM241+CN270*CN241+CO270*CO241+CP270*CP241+CQ270*CQ241+CR270*CR241+CS270*CS241</f>
        <v>0</v>
      </c>
      <c r="DA241" s="2504">
        <f>E271*E241+F271*F241+G271*G241+H271*H241+I271*I241+J271*J241+K271*K241+L271*L241+M271*M241+N271*N241+O271*O241+P271*P241+Q271*Q241+R271*R241+S271*S241+T271*T241+U271*U241+V271*V241+W271*W241+X271*X241+Y271*Y241+Z271*Z241+AA271*AA241+AB271*AB241+AC271*AC241+AD271*AD241+AE271*AE241+AF271*AF241+AG271*AG241+AH271*AH241+AI271*AI241+AJ271*AJ241+AK271*AK241+AL271*AL241+AM271*AM241+AN271*AN241+AO271*AO241+AP271*AP241+AQ271*AQ241+AR271*AR241+AS271*AS241+AT271*AT241+AU271*AU241+AV271*AV241+AW271*AW241+AX271*AX241+AY271*AY241+AZ271*AZ241+BA271*BA241+BB271*BB241+BC271*BC241+BD271*BD241+BE271*BE241+BF271*BF241+BG271*BG241+BH271*BH241+BI271*BI241+BJ271*BJ241+BK271*BK241+BL271*BL241+BM271*BM241+BN271*BN241+BO271*BO241+BP271*BP241+BQ271*BQ241+BR271*BR241+BS271*BS241+BT271*BT241+BU271*BU241+BV271*BV241+BW271*BW241+BX271*BX241+BY271*BY241+BZ271*BZ241+CA271*CA241+CB271*CB241+CC271*CC241+CD271*CD241+CE271*CE241+CF271*CF241+CG271*CG241+CH271*CH241+CI271*CI241+CJ271*CJ241+CK271*CK241+CL271*CL241+CM271*CM241+CN271*CN241+CO271*CO241+CP271*CP241+CQ271*CQ241+CR271*CR241+CS271*CS241</f>
        <v>0</v>
      </c>
      <c r="DB241" s="2504">
        <f>E272*E241+F272*F241+G272*G241+H272*H241+I272*I241+J272*J241+K272*K241+L272*L241+M272*M241+N272*N241+O272*O241+P272*P241+Q272*Q241+R272*R241+S272*S241+T272*T241+U272*U241+V272*V241+W272*W241+X272*X241+Y272*Y241+Z272*Z241+AA272*AA241+AB272*AB241+AC272*AC241+AD272*AD241+AE272*AE241+AF272*AF241+AG272*AG241+AH272*AH241+AI272*AI241+AJ272*AJ241+AK272*AK241+AL272*AL241+AM272*AM241+AN272*AN241+AO272*AO241+AP272*AP241+AQ272*AQ241+AR272*AR241+AS272*AS241+AT272*AT241+AU272*AU241+AV272*AV241+AW272*AW241+AX272*AX241+AY272*AY241+AZ272*AZ241+BA272*BA241+BB272*BB241+BC272*BC241+BD272*BD241+BE272*BE241+BF272*BF241+BG272*BG241+BH272*BH241+BI272*BI241+BJ272*BJ241+BK272*BK241+BL272*BL241+BM272*BM241+BN272*BN241+BO272*BO241+BP272*BP241+BQ272*BQ241+BR272*BR241+BS272*BS241+BT272*BT241+BU272*BU241+BV272*BV241+BW272*BW241+BX272*BX241+BY272*BY241+BZ272*BZ241+CA272*CA241+CB272*CB241+CC272*CC241+CD272*CD241+CE272*CE241+CF272*CF241+CG272*CG241+CH272*CH241+CI272*CI241+CJ272*CJ241+CK272*CK241+CL272*CL241+CM272*CM241+CN272*CN241+CO272*CO241+CP272*CP241+CQ272*CQ241+CR272*CR241+CS272*CS241</f>
        <v>0</v>
      </c>
      <c r="DC241" s="2504">
        <f>E273*E241+F273*F241+G273*G241+H273*H241+I273*I241+J273*J241+K273*K241+L273*L241+M273*M241+N273*N241+O273*O241+P273*P241+Q273*Q241+R273*R241+S273*S241+T273*T241+U273*U241+V273*V241+W273*W241+X273*X241+Y273*Y241+Z273*Z241+AA273*AA241+AB273*AB241+AC273*AC241+AD273*AD241+AE273*AE241+AF273*AF241+AG273*AG241+AH273*AH241+AI273*AI241+AJ273*AJ241+AK273*AK241+AL273*AL241+AM273*AM241+AN273*AN241+AO273*AO241+AP273*AP241+AQ273*AQ241+AR273*AR241+AS273*AS241+AT273*AT241+AU273*AU241+AV273*AV241+AW273*AW241+AX273*AX241+AY273*AY241+AZ273*AZ241+BA273*BA241+BB273*BB241+BC273*BC241+BD273*BD241+BE273*BE241+BF273*BF241+BG273*BG241+BH273*BH241+BI273*BI241+BJ273*BJ241+BK273*BK241+BL273*BL241+BM273*BM241+BN273*BN241+BO273*BO241+BP273*BP241+BQ273*BQ241+BR273*BR241+BS273*BS241+BT273*BT241+BU273*BU241+BV273*BV241+BW273*BW241+BX273*BX241+BY273*BY241+BZ273*BZ241+CA273*CA241+CB273*CB241+CC273*CC241+CD273*CD241+CE273*CE241+CF273*CF241+CG273*CG241+CH273*CH241+CI273*CI241+CJ273*CJ241+CK273*CK241+CL273*CL241+CM273*CM241+CN273*CN241+CO273*CO241+CP273*CP241+CQ273*CQ241+CR273*CR241+CS273*CS241</f>
        <v>0</v>
      </c>
      <c r="DD241" s="2504">
        <f>E274*E241+F274*F241+G274*G241+H274*H241+I274*I241+J274*J241+K274*K241+L274*L241+M274*M241+N274*N241+O274*O241+P274*P241+Q274*Q241+R274*R241+S274*S241+T274*T241+U274*U241+V274*V241+W274*W241+X274*X241+Y274*Y241+Z274*Z241+AA274*AA241+AB274*AB241+AC274*AC241+AD274*AD241+AE274*AE241+AF274*AF241+AG274*AG241+AH274*AH241+AI274*AI241+AJ274*AJ241+AK274*AK241+AL274*AL241+AM274*AM241+AN274*AN241+AO274*AO241+AP274*AP241+AQ274*AQ241+AR274*AR241+AS274*AS241+AT274*AT241+AU274*AU241+AV274*AV241+AW274*AW241+AX274*AX241+AY274*AY241+AZ274*AZ241+BA274*BA241+BB274*BB241+BC274*BC241+BD274*BD241+BE274*BE241+BF274*BF241+BG274*BG241+BH274*BH241+BI274*BI241+BJ274*BJ241+BK274*BK241+BL274*BL241+BM274*BM241+BN274*BN241+BO274*BO241+BP274*BP241+BQ274*BQ241+BR274*BR241+BS274*BS241+BT274*BT241+BU274*BU241+BV274*BV241+BW274*BW241+BX274*BX241+BY274*BY241+BZ274*BZ241+CA274*CA241+CB274*CB241+CC274*CC241+CD274*CD241+CE274*CE241+CF274*CF241+CG274*CG241+CH274*CH241+CI274*CI241+CJ274*CJ241+CK274*CK241+CL274*CL241+CM274*CM241+CN274*CN241+CO274*CO241+CP274*CP241+CQ274*CQ241+CR274*CR241+CS274*CS241</f>
        <v>0</v>
      </c>
      <c r="DE241" s="2504">
        <f>E275*E241+F275*F241+G275*G241+H275*H241+I275*I241+J275*J241+K275*K241+L275*L241+M275*M241+N275*N241+O275*O241+P275*P241+Q275*Q241+R275*R241+S275*S241+T275*T241+U275*U241+V275*V241+W275*W241+X275*X241+Y275*Y241+Z275*Z241+AA275*AA241+AB275*AB241+AC275*AC241+AD275*AD241+AE275*AE241+AF275*AF241+AG275*AG241+AH275*AH241+AI275*AI241+AJ275*AJ241+AK275*AK241+AL275*AL241+AM275*AM241+AN275*AN241+AO275*AO241+AP275*AP241+AQ275*AQ241+AR275*AR241+AS275*AS241+AT275*AT241+AU275*AU241+AV275*AV241+AW275*AW241+AX275*AX241+AY275*AY241+AZ275*AZ241+BA275*BA241+BB275*BB241+BC275*BC241+BD275*BD241+BE275*BE241+BF275*BF241+BG275*BG241+BH275*BH241+BI275*BI241+BJ275*BJ241+BK275*BK241+BL275*BL241+BM275*BM241+BN275*BN241+BO275*BO241+BP275*BP241+BQ275*BQ241+BR275*BR241+BS275*BS241+BT275*BT241+BU275*BU241+BV275*BV241+BW275*BW241+BX275*BX241+BY275*BY241+BZ275*BZ241+CA275*CA241+CB275*CB241+CC275*CC241+CD275*CD241+CE275*CE241+CF275*CF241+CG275*CG241+CH275*CH241+CI275*CI241+CJ275*CJ241+CK275*CK241+CL275*CL241+CM275*CM241+CN275*CN241+CO275*CO241+CP275*CP241+CQ275*CQ241+CR275*CR241+CS275*CS241</f>
        <v>0</v>
      </c>
      <c r="DF241" s="2504">
        <f>E276*E241+F276*F241+G276*G241+H276*H241+I276*I241+J276*J241+K276*K241+L276*L241+M276*M241+N276*N241+O276*O241+P276*P241+Q276*Q241+R276*R241+S276*S241+T276*T241+U276*U241+V276*V241+W276*W241+X276*X241+Y276*Y241+Z276*Z241+AA276*AA241+AB276*AB241+AC276*AC241+AD276*AD241+AE276*AE241+AF276*AF241+AG276*AG241+AH276*AH241+AI276*AI241+AJ276*AJ241+AK276*AK241+AL276*AL241+AM276*AM241+AN276*AN241+AO276*AO241+AP276*AP241+AQ276*AQ241+AR276*AR241+AS276*AS241+AT276*AT241+AU276*AU241+AV276*AV241+AW276*AW241+AX276*AX241+AY276*AY241+AZ276*AZ241+BA276*BA241+BB276*BB241+BC276*BC241+BD276*BD241+BE276*BE241+BF276*BF241+BG276*BG241+BH276*BH241+BI276*BI241+BJ276*BJ241+BK276*BK241+BL276*BL241+BM276*BM241+BN276*BN241+BO276*BO241+BP276*BP241+BQ276*BQ241+BR276*BR241+BS276*BS241+BT276*BT241+BU276*BU241+BV276*BV241+BW276*BW241+BX276*BX241+BY276*BY241+BZ276*BZ241+CA276*CA241+CB276*CB241+CC276*CC241+CD276*CD241+CE276*CE241+CF276*CF241+CG276*CG241+CH276*CH241+CI276*CI241+CJ276*CJ241+CK276*CK241+CL276*CL241+CM276*CM241+CN276*CN241+CO276*CO241+CP276*CP241+CQ276*CQ241+CR276*CR241+CS276*CS241</f>
        <v>0</v>
      </c>
    </row>
    <row r="242" spans="2:110" x14ac:dyDescent="0.25">
      <c r="B242" s="1533">
        <v>100</v>
      </c>
      <c r="C242" s="1408" t="s">
        <v>3618</v>
      </c>
      <c r="D242" s="572" t="s">
        <v>288</v>
      </c>
      <c r="E242" s="509">
        <f>0</f>
        <v>0</v>
      </c>
      <c r="F242" s="509">
        <f>0</f>
        <v>0</v>
      </c>
      <c r="G242" s="509">
        <f>0</f>
        <v>0</v>
      </c>
      <c r="H242" s="509">
        <f>0</f>
        <v>0</v>
      </c>
      <c r="I242" s="509">
        <f>0</f>
        <v>0</v>
      </c>
      <c r="J242" s="509">
        <f>0</f>
        <v>0</v>
      </c>
      <c r="K242" s="509">
        <f>0</f>
        <v>0</v>
      </c>
      <c r="L242" s="509">
        <f>0</f>
        <v>0</v>
      </c>
      <c r="M242" s="509">
        <f>0</f>
        <v>0</v>
      </c>
      <c r="N242" s="509">
        <f>0</f>
        <v>0</v>
      </c>
      <c r="O242" s="509">
        <f>0</f>
        <v>0</v>
      </c>
      <c r="P242" s="509">
        <f>0</f>
        <v>0</v>
      </c>
      <c r="Q242" s="509">
        <f>0</f>
        <v>0</v>
      </c>
      <c r="R242" s="510">
        <f>0</f>
        <v>0</v>
      </c>
      <c r="S242" s="509">
        <f>0</f>
        <v>0</v>
      </c>
      <c r="T242" s="509">
        <f>0</f>
        <v>0</v>
      </c>
      <c r="U242" s="509">
        <f>0</f>
        <v>0</v>
      </c>
      <c r="V242" s="509">
        <f>0</f>
        <v>0</v>
      </c>
      <c r="W242" s="509">
        <f>0</f>
        <v>0</v>
      </c>
      <c r="X242" s="509">
        <f>0</f>
        <v>0</v>
      </c>
      <c r="Y242" s="509">
        <f>0</f>
        <v>0</v>
      </c>
      <c r="Z242" s="509">
        <f>0</f>
        <v>0</v>
      </c>
      <c r="AA242" s="510">
        <f>-A_MN/M_MSTR</f>
        <v>-5.7075504823359977E-2</v>
      </c>
      <c r="AB242" s="510">
        <f>0</f>
        <v>0</v>
      </c>
      <c r="AC242" s="509">
        <f>0</f>
        <v>0</v>
      </c>
      <c r="AD242" s="509">
        <f>0</f>
        <v>0</v>
      </c>
      <c r="AE242" s="509">
        <f>0</f>
        <v>0</v>
      </c>
      <c r="AF242" s="509">
        <f>0</f>
        <v>0</v>
      </c>
      <c r="AG242" s="509">
        <f>0</f>
        <v>0</v>
      </c>
      <c r="AH242" s="509">
        <f>0</f>
        <v>0</v>
      </c>
      <c r="AI242" s="509">
        <f>0</f>
        <v>0</v>
      </c>
      <c r="AJ242" s="509">
        <f>0</f>
        <v>0</v>
      </c>
      <c r="AK242" s="509">
        <f>0</f>
        <v>0</v>
      </c>
      <c r="AL242" s="509">
        <f>0</f>
        <v>0</v>
      </c>
      <c r="AM242" s="510">
        <f>-A_MP/M_MSTR</f>
        <v>-0.12621410566683836</v>
      </c>
      <c r="AN242" s="509">
        <f>0</f>
        <v>0</v>
      </c>
      <c r="AO242" s="509">
        <f>0</f>
        <v>0</v>
      </c>
      <c r="AP242" s="509">
        <f>0</f>
        <v>0</v>
      </c>
      <c r="AQ242" s="509">
        <f>0</f>
        <v>0</v>
      </c>
      <c r="AR242" s="509">
        <f>0</f>
        <v>0</v>
      </c>
      <c r="AS242" s="509">
        <f>0</f>
        <v>0</v>
      </c>
      <c r="AT242" s="509">
        <f>0</f>
        <v>0</v>
      </c>
      <c r="AU242" s="509">
        <f>0</f>
        <v>0</v>
      </c>
      <c r="AV242" s="509">
        <f>0</f>
        <v>0</v>
      </c>
      <c r="AW242" s="509">
        <f>0</f>
        <v>0</v>
      </c>
      <c r="AX242" s="509">
        <f>0</f>
        <v>0</v>
      </c>
      <c r="AY242" s="509">
        <f>0</f>
        <v>0</v>
      </c>
      <c r="AZ242" s="509">
        <f>0</f>
        <v>0</v>
      </c>
      <c r="BA242" s="510">
        <f>-A_MMg/M_MSTR</f>
        <v>-9.9039755597804202E-2</v>
      </c>
      <c r="BB242" s="509">
        <f>0</f>
        <v>0</v>
      </c>
      <c r="BC242" s="510">
        <f>0</f>
        <v>0</v>
      </c>
      <c r="BD242" s="509">
        <f>0</f>
        <v>0</v>
      </c>
      <c r="BE242" s="509">
        <f>0</f>
        <v>0</v>
      </c>
      <c r="BF242" s="510">
        <f>0</f>
        <v>0</v>
      </c>
      <c r="BG242" s="510">
        <f>0</f>
        <v>0</v>
      </c>
      <c r="BH242" s="509">
        <f>0</f>
        <v>0</v>
      </c>
      <c r="BI242" s="510">
        <f>0</f>
        <v>0</v>
      </c>
      <c r="BJ242" s="510">
        <f>0</f>
        <v>0</v>
      </c>
      <c r="BK242" s="509">
        <f>0</f>
        <v>0</v>
      </c>
      <c r="BL242" s="509">
        <f>0</f>
        <v>0</v>
      </c>
      <c r="BM242" s="510">
        <f>0</f>
        <v>0</v>
      </c>
      <c r="BN242" s="510">
        <f>0</f>
        <v>0</v>
      </c>
      <c r="BO242" s="509">
        <f>0</f>
        <v>0</v>
      </c>
      <c r="BP242" s="510">
        <f>0</f>
        <v>0</v>
      </c>
      <c r="BQ242" s="510">
        <f>0</f>
        <v>0</v>
      </c>
      <c r="BR242" s="510">
        <f>0</f>
        <v>0</v>
      </c>
      <c r="BS242" s="510">
        <f>0</f>
        <v>0</v>
      </c>
      <c r="BT242" s="510">
        <f>0</f>
        <v>0</v>
      </c>
      <c r="BU242" s="510">
        <f>1</f>
        <v>1</v>
      </c>
      <c r="BV242" s="510">
        <f>0</f>
        <v>0</v>
      </c>
      <c r="BW242" s="2372">
        <f>0</f>
        <v>0</v>
      </c>
      <c r="BX242" s="2372">
        <f>0</f>
        <v>0</v>
      </c>
      <c r="BY242" s="2372">
        <f>0</f>
        <v>0</v>
      </c>
      <c r="BZ242" s="2372">
        <f>0</f>
        <v>0</v>
      </c>
      <c r="CA242" s="510">
        <f>0</f>
        <v>0</v>
      </c>
      <c r="CB242" s="510">
        <f>0</f>
        <v>0</v>
      </c>
      <c r="CC242" s="510">
        <f>0</f>
        <v>0</v>
      </c>
      <c r="CD242" s="510">
        <f>0</f>
        <v>0</v>
      </c>
      <c r="CE242" s="510">
        <f>0</f>
        <v>0</v>
      </c>
      <c r="CF242" s="510">
        <f>0</f>
        <v>0</v>
      </c>
      <c r="CG242" s="510">
        <f>0</f>
        <v>0</v>
      </c>
      <c r="CH242" s="510">
        <f>0</f>
        <v>0</v>
      </c>
      <c r="CI242" s="510">
        <f>0</f>
        <v>0</v>
      </c>
      <c r="CJ242" s="510">
        <f>0</f>
        <v>0</v>
      </c>
      <c r="CK242" s="510">
        <f>0</f>
        <v>0</v>
      </c>
      <c r="CL242" s="510">
        <f>0</f>
        <v>0</v>
      </c>
      <c r="CM242" s="510">
        <f>0</f>
        <v>0</v>
      </c>
      <c r="CN242" s="510">
        <f>0</f>
        <v>0</v>
      </c>
      <c r="CO242" s="510">
        <f>0</f>
        <v>0</v>
      </c>
      <c r="CP242" s="510">
        <f>0</f>
        <v>0</v>
      </c>
      <c r="CQ242" s="510">
        <f>0</f>
        <v>0</v>
      </c>
      <c r="CR242" s="510">
        <f>0</f>
        <v>0</v>
      </c>
      <c r="CS242" s="510">
        <f>0</f>
        <v>0</v>
      </c>
      <c r="CT242" s="2495">
        <f>q_STR*P_recipDrivingForceSTR^3</f>
        <v>0</v>
      </c>
      <c r="CV242" s="2502">
        <f>E266*E242+F266*F242+G266*G242+H266*H242+I266*I242+J266*J242+K266*K242+L266*L242+M266*M242+N266*N242+O266*O242+P266*P242+Q266*Q242+R266*R242+S266*S242+T266*T242+U266*U242+V266*V242+W266*W242+X266*X242+Y266*Y242+Z266*Z242+AA266*AA242+AB266*AB242+AC266*AC242+AD266*AD242+AE266*AE242+AF266*AF242+AG266*AG242+AH266*AH242+AI266*AI242+AJ266*AJ242+AK266*AK242+AL266*AL242+AM266*AM242+AN266*AN242+AO266*AO242+AP266*AP242+AQ266*AQ242+AR266*AR242+AS266*AS242+AT266*AT242+AU266*AU242+AV266*AV242+AW266*AW242+AX266*AX242+AY266*AY242+AZ266*AZ242+BA266*BA242+BB266*BB242+BC266*BC242+BD266*BD242+BE266*BE242+BF266*BF242+BG266*BG242+BH266*BH242+BI266*BI242+BJ266*BJ242+BK266*BK242+BL266*BL242+BM266*BM242+BN266*BN242+BO266*BO242+BP266*BP242+BQ266*BQ242+BR266*BR242+BS266*BS242+BT266*BT242+BU266*BU242+BV266*BV242+BW266*BW242+BX266*BX242+BY266*BY242+BZ266*BZ242+CA266*CA242+CB266*CB242+CC266*CC242+CD266*CD242+CE266*CE242+CF266*CF242+CG266*CG242+CH266*CH242+CI266*CI242+CJ266*CJ242+CK266*CK242+CL266*CL242+CM266*CM242+CN266*CN242+CO266*CO242+CP266*CP242+CQ266*CQ242+CR266*CR242+CS266*CS242</f>
        <v>0</v>
      </c>
      <c r="CW242" s="2502">
        <f>E267*E242+F267*F242+G267*G242+H267*H242+I267*I242+J267*J242+K267*K242+L267*L242+M267*M242+N267*N242+O267*O242+P267*P242+Q267*Q242+R267*R242+S267*S242+T267*T242+U267*U242+V267*V242+W267*W242+X267*X242+Y267*Y242+Z267*Z242+AA267*AA242+AB267*AB242+AC267*AC242+AD267*AD242+AE267*AE242+AF267*AF242+AG267*AG242+AH267*AH242+AI267*AI242+AJ267*AJ242+AK267*AK242+AL267*AL242+AM267*AM242+AN267*AN242+AO267*AO242+AP267*AP242+AQ267*AQ242+AR267*AR242+AS267*AS242+AT267*AT242+AU267*AU242+AV267*AV242+AW267*AW242+AX267*AX242+AY267*AY242+AZ267*AZ242+BA267*BA242+BB267*BB242+BC267*BC242+BD267*BD242+BE267*BE242+BF267*BF242+BG267*BG242+BH267*BH242+BI267*BI242+BJ267*BJ242+BK267*BK242+BL267*BL242+BM267*BM242+BN267*BN242+BO267*BO242+BP267*BP242+BQ267*BQ242+BR267*BR242+BS267*BS242+BT267*BT242+BU267*BU242+BV267*BV242+BW267*BW242+BX267*BX242+BY267*BY242+BZ267*BZ242+CA267*CA242+CB267*CB242+CC267*CC242+CD267*CD242+CE267*CE242+CF267*CF242+CG267*CG242+CH267*CH242+CI267*CI242+CJ267*CJ242+CK267*CK242+CL267*CL242+CM267*CM242+CN267*CN242+CO267*CO242+CP267*CP242+CQ267*CQ242+CR267*CR242+CS267*CS242</f>
        <v>0</v>
      </c>
      <c r="CX242" s="2503">
        <f>E268*E242+F268*F242+G268*G242+H268*H242+I268*I242+J268*J242+K268*K242+L268*L242+M268*M242+N268*N242+O268*O242+P268*P242+Q268*Q242+R268*R242+S268*S242+T268*T242+U268*U242+V268*V242+W268*W242+X268*X242+Y268*Y242+Z268*Z242+AA268*AA242+AB268*AB242+AC268*AC242+AD268*AD242+AE268*AE242+AF268*AF242+AG268*AG242+AH268*AH242+AI268*AI242+AJ268*AJ242+AK268*AK242+AL268*AL242+AM268*AM242+AN268*AN242+AO268*AO242+AP268*AP242+AQ268*AQ242+AR268*AR242+AS268*AS242+AT268*AT242+AU268*AU242+AV268*AV242+AW268*AW242+AX268*AX242+AY268*AY242+AZ268*AZ242+BA268*BA242+BB268*BB242+BC268*BC242+BD268*BD242+BE268*BE242+BF268*BF242+BG268*BG242+BH268*BH242+BI268*BI242+BJ268*BJ242+BK268*BK242+BL268*BL242+BM268*BM242+BN268*BN242+BO268*BO242+BP268*BP242+BQ268*BQ242+BR268*BR242+BS268*BS242+BT268*BT242+BU268*BU242+BV268*BV242+BW268*BW242+BX268*BX242+BY268*BY242+BZ268*BZ242+CA268*CA242+CB268*CB242+CC268*CC242+CD268*CD242+CE268*CE242+CF268*CF242+CG268*CG242+CH268*CH242+CI268*CI242+CJ268*CJ242+CK268*CK242+CL268*CL242+CM268*CM242+CN268*CN242+CO268*CO242+CP268*CP242+CQ268*CQ242+CR268*CR242+CS268*CS242</f>
        <v>0</v>
      </c>
      <c r="CY242" s="2504">
        <f>E269*E242+F269*F242+G269*G242+H269*H242+I269*I242+J269*J242+K269*K242+L269*L242+M269*M242+N269*N242+O269*O242+P269*P242+Q269*Q242+R269*R242+S269*S242+T269*T242+U269*U242+V269*V242+W269*W242+X269*X242+Y269*Y242+Z269*Z242+AA269*AA242+AB269*AB242+AC269*AC242+AD269*AD242+AE269*AE242+AF269*AF242+AG269*AG242+AH269*AH242+AI269*AI242+AJ269*AJ242+AK269*AK242+AL269*AL242+AM269*AM242+AN269*AN242+AO269*AO242+AP269*AP242+AQ269*AQ242+AR269*AR242+AS269*AS242+AT269*AT242+AU269*AU242+AV269*AV242+AW269*AW242+AX269*AX242+AY269*AY242+AZ269*AZ242+BA269*BA242+BB269*BB242+BC269*BC242+BD269*BD242+BE269*BE242+BF269*BF242+BG269*BG242+BH269*BH242+BI269*BI242+BJ269*BJ242+BK269*BK242+BL269*BL242+BM269*BM242+BN269*BN242+BO269*BO242+BP269*BP242+BQ269*BQ242+BR269*BR242+BS269*BS242+BT269*BT242+BU269*BU242+BV269*BV242+BW269*BW242+BX269*BX242+BY269*BY242+BZ269*BZ242+CA269*CA242+CB269*CB242+CC269*CC242+CD269*CD242+CE269*CE242+CF269*CF242+CG269*CG242+CH269*CH242+CI269*CI242+CJ269*CJ242+CK269*CK242+CL269*CL242+CM269*CM242+CN269*CN242+CO269*CO242+CP269*CP242+CQ269*CQ242+CR269*CR242+CS269*CS242</f>
        <v>0</v>
      </c>
      <c r="CZ242" s="2504">
        <f>E270*E242+F270*F242+G270*G242+H270*H242+I270*I242+J270*J242+K270*K242+L270*L242+M270*M242+N270*N242+O270*O242+P270*P242+Q270*Q242+R270*R242+S270*S242+T270*T242+U270*U242+V270*V242+W270*W242+X270*X242+Y270*Y242+Z270*Z242+AA270*AA242+AB270*AB242+AC270*AC242+AD270*AD242+AE270*AE242+AF270*AF242+AG270*AG242+AH270*AH242+AI270*AI242+AJ270*AJ242+AK270*AK242+AL270*AL242+AM270*AM242+AN270*AN242+AO270*AO242+AP270*AP242+AQ270*AQ242+AR270*AR242+AS270*AS242+AT270*AT242+AU270*AU242+AV270*AV242+AW270*AW242+AX270*AX242+AY270*AY242+AZ270*AZ242+BA270*BA242+BB270*BB242+BC270*BC242+BD270*BD242+BE270*BE242+BF270*BF242+BG270*BG242+BH270*BH242+BI270*BI242+BJ270*BJ242+BK270*BK242+BL270*BL242+BM270*BM242+BN270*BN242+BO270*BO242+BP270*BP242+BQ270*BQ242+BR270*BR242+BS270*BS242+BT270*BT242+BU270*BU242+BV270*BV242+BW270*BW242+BX270*BX242+BY270*BY242+BZ270*BZ242+CA270*CA242+CB270*CB242+CC270*CC242+CD270*CD242+CE270*CE242+CF270*CF242+CG270*CG242+CH270*CH242+CI270*CI242+CJ270*CJ242+CK270*CK242+CL270*CL242+CM270*CM242+CN270*CN242+CO270*CO242+CP270*CP242+CQ270*CQ242+CR270*CR242+CS270*CS242</f>
        <v>0</v>
      </c>
      <c r="DA242" s="2504">
        <f>E271*E242+F271*F242+G271*G242+H271*H242+I271*I242+J271*J242+K271*K242+L271*L242+M271*M242+N271*N242+O271*O242+P271*P242+Q271*Q242+R271*R242+S271*S242+T271*T242+U271*U242+V271*V242+W271*W242+X271*X242+Y271*Y242+Z271*Z242+AA271*AA242+AB271*AB242+AC271*AC242+AD271*AD242+AE271*AE242+AF271*AF242+AG271*AG242+AH271*AH242+AI271*AI242+AJ271*AJ242+AK271*AK242+AL271*AL242+AM271*AM242+AN271*AN242+AO271*AO242+AP271*AP242+AQ271*AQ242+AR271*AR242+AS271*AS242+AT271*AT242+AU271*AU242+AV271*AV242+AW271*AW242+AX271*AX242+AY271*AY242+AZ271*AZ242+BA271*BA242+BB271*BB242+BC271*BC242+BD271*BD242+BE271*BE242+BF271*BF242+BG271*BG242+BH271*BH242+BI271*BI242+BJ271*BJ242+BK271*BK242+BL271*BL242+BM271*BM242+BN271*BN242+BO271*BO242+BP271*BP242+BQ271*BQ242+BR271*BR242+BS271*BS242+BT271*BT242+BU271*BU242+BV271*BV242+BW271*BW242+BX271*BX242+BY271*BY242+BZ271*BZ242+CA271*CA242+CB271*CB242+CC271*CC242+CD271*CD242+CE271*CE242+CF271*CF242+CG271*CG242+CH271*CH242+CI271*CI242+CJ271*CJ242+CK271*CK242+CL271*CL242+CM271*CM242+CN271*CN242+CO271*CO242+CP271*CP242+CQ271*CQ242+CR271*CR242+CS271*CS242</f>
        <v>0</v>
      </c>
      <c r="DB242" s="2504">
        <f>E272*E242+F272*F242+G272*G242+H272*H242+I272*I242+J272*J242+K272*K242+L272*L242+M272*M242+N272*N242+O272*O242+P272*P242+Q272*Q242+R272*R242+S272*S242+T272*T242+U272*U242+V272*V242+W272*W242+X272*X242+Y272*Y242+Z272*Z242+AA272*AA242+AB272*AB242+AC272*AC242+AD272*AD242+AE272*AE242+AF272*AF242+AG272*AG242+AH272*AH242+AI272*AI242+AJ272*AJ242+AK272*AK242+AL272*AL242+AM272*AM242+AN272*AN242+AO272*AO242+AP272*AP242+AQ272*AQ242+AR272*AR242+AS272*AS242+AT272*AT242+AU272*AU242+AV272*AV242+AW272*AW242+AX272*AX242+AY272*AY242+AZ272*AZ242+BA272*BA242+BB272*BB242+BC272*BC242+BD272*BD242+BE272*BE242+BF272*BF242+BG272*BG242+BH272*BH242+BI272*BI242+BJ272*BJ242+BK272*BK242+BL272*BL242+BM272*BM242+BN272*BN242+BO272*BO242+BP272*BP242+BQ272*BQ242+BR272*BR242+BS272*BS242+BT272*BT242+BU272*BU242+BV272*BV242+BW272*BW242+BX272*BX242+BY272*BY242+BZ272*BZ242+CA272*CA242+CB272*CB242+CC272*CC242+CD272*CD242+CE272*CE242+CF272*CF242+CG272*CG242+CH272*CH242+CI272*CI242+CJ272*CJ242+CK272*CK242+CL272*CL242+CM272*CM242+CN272*CN242+CO272*CO242+CP272*CP242+CQ272*CQ242+CR272*CR242+CS272*CS242</f>
        <v>0</v>
      </c>
      <c r="DC242" s="2504">
        <f>E273*E242+F273*F242+G273*G242+H273*H242+I273*I242+J273*J242+K273*K242+L273*L242+M273*M242+N273*N242+O273*O242+P273*P242+Q273*Q242+R273*R242+S273*S242+T273*T242+U273*U242+V273*V242+W273*W242+X273*X242+Y273*Y242+Z273*Z242+AA273*AA242+AB273*AB242+AC273*AC242+AD273*AD242+AE273*AE242+AF273*AF242+AG273*AG242+AH273*AH242+AI273*AI242+AJ273*AJ242+AK273*AK242+AL273*AL242+AM273*AM242+AN273*AN242+AO273*AO242+AP273*AP242+AQ273*AQ242+AR273*AR242+AS273*AS242+AT273*AT242+AU273*AU242+AV273*AV242+AW273*AW242+AX273*AX242+AY273*AY242+AZ273*AZ242+BA273*BA242+BB273*BB242+BC273*BC242+BD273*BD242+BE273*BE242+BF273*BF242+BG273*BG242+BH273*BH242+BI273*BI242+BJ273*BJ242+BK273*BK242+BL273*BL242+BM273*BM242+BN273*BN242+BO273*BO242+BP273*BP242+BQ273*BQ242+BR273*BR242+BS273*BS242+BT273*BT242+BU273*BU242+BV273*BV242+BW273*BW242+BX273*BX242+BY273*BY242+BZ273*BZ242+CA273*CA242+CB273*CB242+CC273*CC242+CD273*CD242+CE273*CE242+CF273*CF242+CG273*CG242+CH273*CH242+CI273*CI242+CJ273*CJ242+CK273*CK242+CL273*CL242+CM273*CM242+CN273*CN242+CO273*CO242+CP273*CP242+CQ273*CQ242+CR273*CR242+CS273*CS242</f>
        <v>0</v>
      </c>
      <c r="DD242" s="2504">
        <f>E274*E242+F274*F242+G274*G242+H274*H242+I274*I242+J274*J242+K274*K242+L274*L242+M274*M242+N274*N242+O274*O242+P274*P242+Q274*Q242+R274*R242+S274*S242+T274*T242+U274*U242+V274*V242+W274*W242+X274*X242+Y274*Y242+Z274*Z242+AA274*AA242+AB274*AB242+AC274*AC242+AD274*AD242+AE274*AE242+AF274*AF242+AG274*AG242+AH274*AH242+AI274*AI242+AJ274*AJ242+AK274*AK242+AL274*AL242+AM274*AM242+AN274*AN242+AO274*AO242+AP274*AP242+AQ274*AQ242+AR274*AR242+AS274*AS242+AT274*AT242+AU274*AU242+AV274*AV242+AW274*AW242+AX274*AX242+AY274*AY242+AZ274*AZ242+BA274*BA242+BB274*BB242+BC274*BC242+BD274*BD242+BE274*BE242+BF274*BF242+BG274*BG242+BH274*BH242+BI274*BI242+BJ274*BJ242+BK274*BK242+BL274*BL242+BM274*BM242+BN274*BN242+BO274*BO242+BP274*BP242+BQ274*BQ242+BR274*BR242+BS274*BS242+BT274*BT242+BU274*BU242+BV274*BV242+BW274*BW242+BX274*BX242+BY274*BY242+BZ274*BZ242+CA274*CA242+CB274*CB242+CC274*CC242+CD274*CD242+CE274*CE242+CF274*CF242+CG274*CG242+CH274*CH242+CI274*CI242+CJ274*CJ242+CK274*CK242+CL274*CL242+CM274*CM242+CN274*CN242+CO274*CO242+CP274*CP242+CQ274*CQ242+CR274*CR242+CS274*CS242</f>
        <v>0</v>
      </c>
      <c r="DE242" s="2504">
        <f>E275*E242+F275*F242+G275*G242+H275*H242+I275*I242+J275*J242+K275*K242+L275*L242+M275*M242+N275*N242+O275*O242+P275*P242+Q275*Q242+R275*R242+S275*S242+T275*T242+U275*U242+V275*V242+W275*W242+X275*X242+Y275*Y242+Z275*Z242+AA275*AA242+AB275*AB242+AC275*AC242+AD275*AD242+AE275*AE242+AF275*AF242+AG275*AG242+AH275*AH242+AI275*AI242+AJ275*AJ242+AK275*AK242+AL275*AL242+AM275*AM242+AN275*AN242+AO275*AO242+AP275*AP242+AQ275*AQ242+AR275*AR242+AS275*AS242+AT275*AT242+AU275*AU242+AV275*AV242+AW275*AW242+AX275*AX242+AY275*AY242+AZ275*AZ242+BA275*BA242+BB275*BB242+BC275*BC242+BD275*BD242+BE275*BE242+BF275*BF242+BG275*BG242+BH275*BH242+BI275*BI242+BJ275*BJ242+BK275*BK242+BL275*BL242+BM275*BM242+BN275*BN242+BO275*BO242+BP275*BP242+BQ275*BQ242+BR275*BR242+BS275*BS242+BT275*BT242+BU275*BU242+BV275*BV242+BW275*BW242+BX275*BX242+BY275*BY242+BZ275*BZ242+CA275*CA242+CB275*CB242+CC275*CC242+CD275*CD242+CE275*CE242+CF275*CF242+CG275*CG242+CH275*CH242+CI275*CI242+CJ275*CJ242+CK275*CK242+CL275*CL242+CM275*CM242+CN275*CN242+CO275*CO242+CP275*CP242+CQ275*CQ242+CR275*CR242+CS275*CS242</f>
        <v>0</v>
      </c>
      <c r="DF242" s="2504">
        <f>E276*E242+F276*F242+G276*G242+H276*H242+I276*I242+J276*J242+K276*K242+L276*L242+M276*M242+N276*N242+O276*O242+P276*P242+Q276*Q242+R276*R242+S276*S242+T276*T242+U276*U242+V276*V242+W276*W242+X276*X242+Y276*Y242+Z276*Z242+AA276*AA242+AB276*AB242+AC276*AC242+AD276*AD242+AE276*AE242+AF276*AF242+AG276*AG242+AH276*AH242+AI276*AI242+AJ276*AJ242+AK276*AK242+AL276*AL242+AM276*AM242+AN276*AN242+AO276*AO242+AP276*AP242+AQ276*AQ242+AR276*AR242+AS276*AS242+AT276*AT242+AU276*AU242+AV276*AV242+AW276*AW242+AX276*AX242+AY276*AY242+AZ276*AZ242+BA276*BA242+BB276*BB242+BC276*BC242+BD276*BD242+BE276*BE242+BF276*BF242+BG276*BG242+BH276*BH242+BI276*BI242+BJ276*BJ242+BK276*BK242+BL276*BL242+BM276*BM242+BN276*BN242+BO276*BO242+BP276*BP242+BQ276*BQ242+BR276*BR242+BS276*BS242+BT276*BT242+BU276*BU242+BV276*BV242+BW276*BW242+BX276*BX242+BY276*BY242+BZ276*BZ242+CA276*CA242+CB276*CB242+CC276*CC242+CD276*CD242+CE276*CE242+CF276*CF242+CG276*CG242+CH276*CH242+CI276*CI242+CJ276*CJ242+CK276*CK242+CL276*CL242+CM276*CM242+CN276*CN242+CO276*CO242+CP276*CP242+CQ276*CQ242+CR276*CR242+CS276*CS242</f>
        <v>0</v>
      </c>
    </row>
    <row r="243" spans="2:110" x14ac:dyDescent="0.25">
      <c r="B243" s="1533">
        <v>101</v>
      </c>
      <c r="C243" s="1408" t="s">
        <v>3619</v>
      </c>
      <c r="D243" s="572" t="s">
        <v>1123</v>
      </c>
      <c r="E243" s="509">
        <f>0</f>
        <v>0</v>
      </c>
      <c r="F243" s="509">
        <f>0</f>
        <v>0</v>
      </c>
      <c r="G243" s="509">
        <f>0</f>
        <v>0</v>
      </c>
      <c r="H243" s="509">
        <f>0</f>
        <v>0</v>
      </c>
      <c r="I243" s="509">
        <f>0</f>
        <v>0</v>
      </c>
      <c r="J243" s="509">
        <f>0</f>
        <v>0</v>
      </c>
      <c r="K243" s="509">
        <f>0</f>
        <v>0</v>
      </c>
      <c r="L243" s="509">
        <f>0</f>
        <v>0</v>
      </c>
      <c r="M243" s="509">
        <f>0</f>
        <v>0</v>
      </c>
      <c r="N243" s="509">
        <f>0</f>
        <v>0</v>
      </c>
      <c r="O243" s="509">
        <f>0</f>
        <v>0</v>
      </c>
      <c r="P243" s="509">
        <f>0</f>
        <v>0</v>
      </c>
      <c r="Q243" s="509">
        <f>0</f>
        <v>0</v>
      </c>
      <c r="R243" s="510">
        <f>0</f>
        <v>0</v>
      </c>
      <c r="S243" s="509">
        <f>0</f>
        <v>0</v>
      </c>
      <c r="T243" s="509">
        <f>0</f>
        <v>0</v>
      </c>
      <c r="U243" s="509">
        <f>0</f>
        <v>0</v>
      </c>
      <c r="V243" s="509">
        <f>0</f>
        <v>0</v>
      </c>
      <c r="W243" s="509">
        <f>0</f>
        <v>0</v>
      </c>
      <c r="X243" s="509">
        <f>0</f>
        <v>0</v>
      </c>
      <c r="Y243" s="509">
        <f>0</f>
        <v>0</v>
      </c>
      <c r="Z243" s="509">
        <f>0</f>
        <v>0</v>
      </c>
      <c r="AA243" s="510">
        <f>0</f>
        <v>0</v>
      </c>
      <c r="AB243" s="510">
        <f>0</f>
        <v>0</v>
      </c>
      <c r="AC243" s="509">
        <f>0</f>
        <v>0</v>
      </c>
      <c r="AD243" s="509">
        <f>0</f>
        <v>0</v>
      </c>
      <c r="AE243" s="509">
        <f>0</f>
        <v>0</v>
      </c>
      <c r="AF243" s="509">
        <f>0</f>
        <v>0</v>
      </c>
      <c r="AG243" s="509">
        <f>0</f>
        <v>0</v>
      </c>
      <c r="AH243" s="509">
        <f>0</f>
        <v>0</v>
      </c>
      <c r="AI243" s="509">
        <f>0</f>
        <v>0</v>
      </c>
      <c r="AJ243" s="509">
        <f>0</f>
        <v>0</v>
      </c>
      <c r="AK243" s="509">
        <f>0</f>
        <v>0</v>
      </c>
      <c r="AL243" s="509">
        <f>0</f>
        <v>0</v>
      </c>
      <c r="AM243" s="510">
        <f>-2*A_MP/M_MVivi</f>
        <v>-0.1234998580474381</v>
      </c>
      <c r="AN243" s="509">
        <f>0</f>
        <v>0</v>
      </c>
      <c r="AO243" s="509">
        <f>0</f>
        <v>0</v>
      </c>
      <c r="AP243" s="509">
        <f>0</f>
        <v>0</v>
      </c>
      <c r="AQ243" s="509">
        <f>0</f>
        <v>0</v>
      </c>
      <c r="AR243" s="509">
        <f>0</f>
        <v>0</v>
      </c>
      <c r="AS243" s="509">
        <f>0</f>
        <v>0</v>
      </c>
      <c r="AT243" s="509">
        <f>0</f>
        <v>0</v>
      </c>
      <c r="AU243" s="509">
        <f>0</f>
        <v>0</v>
      </c>
      <c r="AV243" s="509">
        <f>0</f>
        <v>0</v>
      </c>
      <c r="AW243" s="509">
        <f>0</f>
        <v>0</v>
      </c>
      <c r="AX243" s="509">
        <f>0</f>
        <v>0</v>
      </c>
      <c r="AY243" s="509">
        <f>0</f>
        <v>0</v>
      </c>
      <c r="AZ243" s="509">
        <f>0</f>
        <v>0</v>
      </c>
      <c r="BA243" s="510">
        <f>0</f>
        <v>0</v>
      </c>
      <c r="BB243" s="509">
        <f>0</f>
        <v>0</v>
      </c>
      <c r="BC243" s="510">
        <f>-3*A_MFe/M_MVivi</f>
        <v>-0.33400121987727954</v>
      </c>
      <c r="BD243" s="509">
        <f>0</f>
        <v>0</v>
      </c>
      <c r="BE243" s="509">
        <f>0</f>
        <v>0</v>
      </c>
      <c r="BF243" s="510">
        <f>0</f>
        <v>0</v>
      </c>
      <c r="BG243" s="510">
        <f>0</f>
        <v>0</v>
      </c>
      <c r="BH243" s="509">
        <f>0</f>
        <v>0</v>
      </c>
      <c r="BI243" s="510">
        <f>0</f>
        <v>0</v>
      </c>
      <c r="BJ243" s="510">
        <f>0</f>
        <v>0</v>
      </c>
      <c r="BK243" s="509">
        <f>0</f>
        <v>0</v>
      </c>
      <c r="BL243" s="509">
        <f>0</f>
        <v>0</v>
      </c>
      <c r="BM243" s="510">
        <f>0</f>
        <v>0</v>
      </c>
      <c r="BN243" s="510">
        <f>0</f>
        <v>0</v>
      </c>
      <c r="BO243" s="509">
        <f>0</f>
        <v>0</v>
      </c>
      <c r="BP243" s="510">
        <f>0</f>
        <v>0</v>
      </c>
      <c r="BQ243" s="510">
        <f>0</f>
        <v>0</v>
      </c>
      <c r="BR243" s="510">
        <f>0</f>
        <v>0</v>
      </c>
      <c r="BS243" s="510">
        <f>0</f>
        <v>0</v>
      </c>
      <c r="BT243" s="510">
        <f>0</f>
        <v>0</v>
      </c>
      <c r="BU243" s="510">
        <f>0</f>
        <v>0</v>
      </c>
      <c r="BV243" s="510">
        <f>1</f>
        <v>1</v>
      </c>
      <c r="BW243" s="2372">
        <f>0</f>
        <v>0</v>
      </c>
      <c r="BX243" s="2372">
        <f>0</f>
        <v>0</v>
      </c>
      <c r="BY243" s="2372">
        <f>0</f>
        <v>0</v>
      </c>
      <c r="BZ243" s="2372">
        <f>0</f>
        <v>0</v>
      </c>
      <c r="CA243" s="510">
        <f>0</f>
        <v>0</v>
      </c>
      <c r="CB243" s="510">
        <f>0</f>
        <v>0</v>
      </c>
      <c r="CC243" s="510">
        <f>0</f>
        <v>0</v>
      </c>
      <c r="CD243" s="510">
        <f>0</f>
        <v>0</v>
      </c>
      <c r="CE243" s="510">
        <f>0</f>
        <v>0</v>
      </c>
      <c r="CF243" s="510">
        <f>0</f>
        <v>0</v>
      </c>
      <c r="CG243" s="510">
        <f>0</f>
        <v>0</v>
      </c>
      <c r="CH243" s="510">
        <f>0</f>
        <v>0</v>
      </c>
      <c r="CI243" s="510">
        <f>0</f>
        <v>0</v>
      </c>
      <c r="CJ243" s="510">
        <f>0</f>
        <v>0</v>
      </c>
      <c r="CK243" s="510">
        <f>0</f>
        <v>0</v>
      </c>
      <c r="CL243" s="510">
        <f>0</f>
        <v>0</v>
      </c>
      <c r="CM243" s="510">
        <f>0</f>
        <v>0</v>
      </c>
      <c r="CN243" s="510">
        <f>0</f>
        <v>0</v>
      </c>
      <c r="CO243" s="510">
        <f>0</f>
        <v>0</v>
      </c>
      <c r="CP243" s="510">
        <f>0</f>
        <v>0</v>
      </c>
      <c r="CQ243" s="510">
        <f>0</f>
        <v>0</v>
      </c>
      <c r="CR243" s="510">
        <f>0</f>
        <v>0</v>
      </c>
      <c r="CS243" s="510">
        <f>0</f>
        <v>0</v>
      </c>
      <c r="CT243" s="2495">
        <f>q_Vivi*P_recipDrivingForceVivi^2</f>
        <v>0</v>
      </c>
      <c r="CV243" s="2502">
        <f>E266*E243+F266*F243+G266*G243+H266*H243+I266*I243+J266*J243+K266*K243+L266*L243+M266*M243+N266*N243+O266*O243+P266*P243+Q266*Q243+R266*R243+S266*S243+T266*T243+U266*U243+V266*V243+W266*W243+X266*X243+Y266*Y243+Z266*Z243+AA266*AA243+AB266*AB243+AC266*AC243+AD266*AD243+AE266*AE243+AF266*AF243+AG266*AG243+AH266*AH243+AI266*AI243+AJ266*AJ243+AK266*AK243+AL266*AL243+AM266*AM243+AN266*AN243+AO266*AO243+AP266*AP243+AQ266*AQ243+AR266*AR243+AS266*AS243+AT266*AT243+AU266*AU243+AV266*AV243+AW266*AW243+AX266*AX243+AY266*AY243+AZ266*AZ243+BA266*BA243+BB266*BB243+BC266*BC243+BD266*BD243+BE266*BE243+BF266*BF243+BG266*BG243+BH266*BH243+BI266*BI243+BJ266*BJ243+BK266*BK243+BL266*BL243+BM266*BM243+BN266*BN243+BO266*BO243+BP266*BP243+BQ266*BQ243+BR266*BR243+BS266*BS243+BT266*BT243+BU266*BU243+BV266*BV243+BW266*BW243+BX266*BX243+BY266*BY243+BZ266*BZ243+CA266*CA243+CB266*CB243+CC266*CC243+CD266*CD243+CE266*CE243+CF266*CF243+CG266*CG243+CH266*CH243+CI266*CI243+CJ266*CJ243+CK266*CK243+CL266*CL243+CM266*CM243+CN266*CN243+CO266*CO243+CP266*CP243+CQ266*CQ243+CR266*CR243+CS266*CS243</f>
        <v>0</v>
      </c>
      <c r="CW243" s="2502">
        <f>E267*E243+F267*F243+G267*G243+H267*H243+I267*I243+J267*J243+K267*K243+L267*L243+M267*M243+N267*N243+O267*O243+P267*P243+Q267*Q243+R267*R243+S267*S243+T267*T243+U267*U243+V267*V243+W267*W243+X267*X243+Y267*Y243+Z267*Z243+AA267*AA243+AB267*AB243+AC267*AC243+AD267*AD243+AE267*AE243+AF267*AF243+AG267*AG243+AH267*AH243+AI267*AI243+AJ267*AJ243+AK267*AK243+AL267*AL243+AM267*AM243+AN267*AN243+AO267*AO243+AP267*AP243+AQ267*AQ243+AR267*AR243+AS267*AS243+AT267*AT243+AU267*AU243+AV267*AV243+AW267*AW243+AX267*AX243+AY267*AY243+AZ267*AZ243+BA267*BA243+BB267*BB243+BC267*BC243+BD267*BD243+BE267*BE243+BF267*BF243+BG267*BG243+BH267*BH243+BI267*BI243+BJ267*BJ243+BK267*BK243+BL267*BL243+BM267*BM243+BN267*BN243+BO267*BO243+BP267*BP243+BQ267*BQ243+BR267*BR243+BS267*BS243+BT267*BT243+BU267*BU243+BV267*BV243+BW267*BW243+BX267*BX243+BY267*BY243+BZ267*BZ243+CA267*CA243+CB267*CB243+CC267*CC243+CD267*CD243+CE267*CE243+CF267*CF243+CG267*CG243+CH267*CH243+CI267*CI243+CJ267*CJ243+CK267*CK243+CL267*CL243+CM267*CM243+CN267*CN243+CO267*CO243+CP267*CP243+CQ267*CQ243+CR267*CR243+CS267*CS243</f>
        <v>0</v>
      </c>
      <c r="CX243" s="2503">
        <f>E268*E243+F268*F243+G268*G243+H268*H243+I268*I243+J268*J243+K268*K243+L268*L243+M268*M243+N268*N243+O268*O243+P268*P243+Q268*Q243+R268*R243+S268*S243+T268*T243+U268*U243+V268*V243+W268*W243+X268*X243+Y268*Y243+Z268*Z243+AA268*AA243+AB268*AB243+AC268*AC243+AD268*AD243+AE268*AE243+AF268*AF243+AG268*AG243+AH268*AH243+AI268*AI243+AJ268*AJ243+AK268*AK243+AL268*AL243+AM268*AM243+AN268*AN243+AO268*AO243+AP268*AP243+AQ268*AQ243+AR268*AR243+AS268*AS243+AT268*AT243+AU268*AU243+AV268*AV243+AW268*AW243+AX268*AX243+AY268*AY243+AZ268*AZ243+BA268*BA243+BB268*BB243+BC268*BC243+BD268*BD243+BE268*BE243+BF268*BF243+BG268*BG243+BH268*BH243+BI268*BI243+BJ268*BJ243+BK268*BK243+BL268*BL243+BM268*BM243+BN268*BN243+BO268*BO243+BP268*BP243+BQ268*BQ243+BR268*BR243+BS268*BS243+BT268*BT243+BU268*BU243+BV268*BV243+BW268*BW243+BX268*BX243+BY268*BY243+BZ268*BZ243+CA268*CA243+CB268*CB243+CC268*CC243+CD268*CD243+CE268*CE243+CF268*CF243+CG268*CG243+CH268*CH243+CI268*CI243+CJ268*CJ243+CK268*CK243+CL268*CL243+CM268*CM243+CN268*CN243+CO268*CO243+CP268*CP243+CQ268*CQ243+CR268*CR243+CS268*CS243</f>
        <v>0</v>
      </c>
      <c r="CY243" s="2504">
        <f>E269*E243+F269*F243+G269*G243+H269*H243+I269*I243+J269*J243+K269*K243+L269*L243+M269*M243+N269*N243+O269*O243+P269*P243+Q269*Q243+R269*R243+S269*S243+T269*T243+U269*U243+V269*V243+W269*W243+X269*X243+Y269*Y243+Z269*Z243+AA269*AA243+AB269*AB243+AC269*AC243+AD269*AD243+AE269*AE243+AF269*AF243+AG269*AG243+AH269*AH243+AI269*AI243+AJ269*AJ243+AK269*AK243+AL269*AL243+AM269*AM243+AN269*AN243+AO269*AO243+AP269*AP243+AQ269*AQ243+AR269*AR243+AS269*AS243+AT269*AT243+AU269*AU243+AV269*AV243+AW269*AW243+AX269*AX243+AY269*AY243+AZ269*AZ243+BA269*BA243+BB269*BB243+BC269*BC243+BD269*BD243+BE269*BE243+BF269*BF243+BG269*BG243+BH269*BH243+BI269*BI243+BJ269*BJ243+BK269*BK243+BL269*BL243+BM269*BM243+BN269*BN243+BO269*BO243+BP269*BP243+BQ269*BQ243+BR269*BR243+BS269*BS243+BT269*BT243+BU269*BU243+BV269*BV243+BW269*BW243+BX269*BX243+BY269*BY243+BZ269*BZ243+CA269*CA243+CB269*CB243+CC269*CC243+CD269*CD243+CE269*CE243+CF269*CF243+CG269*CG243+CH269*CH243+CI269*CI243+CJ269*CJ243+CK269*CK243+CL269*CL243+CM269*CM243+CN269*CN243+CO269*CO243+CP269*CP243+CQ269*CQ243+CR269*CR243+CS269*CS243</f>
        <v>0</v>
      </c>
      <c r="CZ243" s="2504">
        <f>E270*E243+F270*F243+G270*G243+H270*H243+I270*I243+J270*J243+K270*K243+L270*L243+M270*M243+N270*N243+O270*O243+P270*P243+Q270*Q243+R270*R243+S270*S243+T270*T243+U270*U243+V270*V243+W270*W243+X270*X243+Y270*Y243+Z270*Z243+AA270*AA243+AB270*AB243+AC270*AC243+AD270*AD243+AE270*AE243+AF270*AF243+AG270*AG243+AH270*AH243+AI270*AI243+AJ270*AJ243+AK270*AK243+AL270*AL243+AM270*AM243+AN270*AN243+AO270*AO243+AP270*AP243+AQ270*AQ243+AR270*AR243+AS270*AS243+AT270*AT243+AU270*AU243+AV270*AV243+AW270*AW243+AX270*AX243+AY270*AY243+AZ270*AZ243+BA270*BA243+BB270*BB243+BC270*BC243+BD270*BD243+BE270*BE243+BF270*BF243+BG270*BG243+BH270*BH243+BI270*BI243+BJ270*BJ243+BK270*BK243+BL270*BL243+BM270*BM243+BN270*BN243+BO270*BO243+BP270*BP243+BQ270*BQ243+BR270*BR243+BS270*BS243+BT270*BT243+BU270*BU243+BV270*BV243+BW270*BW243+BX270*BX243+BY270*BY243+BZ270*BZ243+CA270*CA243+CB270*CB243+CC270*CC243+CD270*CD243+CE270*CE243+CF270*CF243+CG270*CG243+CH270*CH243+CI270*CI243+CJ270*CJ243+CK270*CK243+CL270*CL243+CM270*CM243+CN270*CN243+CO270*CO243+CP270*CP243+CQ270*CQ243+CR270*CR243+CS270*CS243</f>
        <v>0</v>
      </c>
      <c r="DA243" s="2504">
        <f>E271*E243+F271*F243+G271*G243+H271*H243+I271*I243+J271*J243+K271*K243+L271*L243+M271*M243+N271*N243+O271*O243+P271*P243+Q271*Q243+R271*R243+S271*S243+T271*T243+U271*U243+V271*V243+W271*W243+X271*X243+Y271*Y243+Z271*Z243+AA271*AA243+AB271*AB243+AC271*AC243+AD271*AD243+AE271*AE243+AF271*AF243+AG271*AG243+AH271*AH243+AI271*AI243+AJ271*AJ243+AK271*AK243+AL271*AL243+AM271*AM243+AN271*AN243+AO271*AO243+AP271*AP243+AQ271*AQ243+AR271*AR243+AS271*AS243+AT271*AT243+AU271*AU243+AV271*AV243+AW271*AW243+AX271*AX243+AY271*AY243+AZ271*AZ243+BA271*BA243+BB271*BB243+BC271*BC243+BD271*BD243+BE271*BE243+BF271*BF243+BG271*BG243+BH271*BH243+BI271*BI243+BJ271*BJ243+BK271*BK243+BL271*BL243+BM271*BM243+BN271*BN243+BO271*BO243+BP271*BP243+BQ271*BQ243+BR271*BR243+BS271*BS243+BT271*BT243+BU271*BU243+BV271*BV243+BW271*BW243+BX271*BX243+BY271*BY243+BZ271*BZ243+CA271*CA243+CB271*CB243+CC271*CC243+CD271*CD243+CE271*CE243+CF271*CF243+CG271*CG243+CH271*CH243+CI271*CI243+CJ271*CJ243+CK271*CK243+CL271*CL243+CM271*CM243+CN271*CN243+CO271*CO243+CP271*CP243+CQ271*CQ243+CR271*CR243+CS271*CS243</f>
        <v>0</v>
      </c>
      <c r="DB243" s="2504">
        <f>E272*E243+F272*F243+G272*G243+H272*H243+I272*I243+J272*J243+K272*K243+L272*L243+M272*M243+N272*N243+O272*O243+P272*P243+Q272*Q243+R272*R243+S272*S243+T272*T243+U272*U243+V272*V243+W272*W243+X272*X243+Y272*Y243+Z272*Z243+AA272*AA243+AB272*AB243+AC272*AC243+AD272*AD243+AE272*AE243+AF272*AF243+AG272*AG243+AH272*AH243+AI272*AI243+AJ272*AJ243+AK272*AK243+AL272*AL243+AM272*AM243+AN272*AN243+AO272*AO243+AP272*AP243+AQ272*AQ243+AR272*AR243+AS272*AS243+AT272*AT243+AU272*AU243+AV272*AV243+AW272*AW243+AX272*AX243+AY272*AY243+AZ272*AZ243+BA272*BA243+BB272*BB243+BC272*BC243+BD272*BD243+BE272*BE243+BF272*BF243+BG272*BG243+BH272*BH243+BI272*BI243+BJ272*BJ243+BK272*BK243+BL272*BL243+BM272*BM243+BN272*BN243+BO272*BO243+BP272*BP243+BQ272*BQ243+BR272*BR243+BS272*BS243+BT272*BT243+BU272*BU243+BV272*BV243+BW272*BW243+BX272*BX243+BY272*BY243+BZ272*BZ243+CA272*CA243+CB272*CB243+CC272*CC243+CD272*CD243+CE272*CE243+CF272*CF243+CG272*CG243+CH272*CH243+CI272*CI243+CJ272*CJ243+CK272*CK243+CL272*CL243+CM272*CM243+CN272*CN243+CO272*CO243+CP272*CP243+CQ272*CQ243+CR272*CR243+CS272*CS243</f>
        <v>0</v>
      </c>
      <c r="DC243" s="2504">
        <f>E273*E243+F273*F243+G273*G243+H273*H243+I273*I243+J273*J243+K273*K243+L273*L243+M273*M243+N273*N243+O273*O243+P273*P243+Q273*Q243+R273*R243+S273*S243+T273*T243+U273*U243+V273*V243+W273*W243+X273*X243+Y273*Y243+Z273*Z243+AA273*AA243+AB273*AB243+AC273*AC243+AD273*AD243+AE273*AE243+AF273*AF243+AG273*AG243+AH273*AH243+AI273*AI243+AJ273*AJ243+AK273*AK243+AL273*AL243+AM273*AM243+AN273*AN243+AO273*AO243+AP273*AP243+AQ273*AQ243+AR273*AR243+AS273*AS243+AT273*AT243+AU273*AU243+AV273*AV243+AW273*AW243+AX273*AX243+AY273*AY243+AZ273*AZ243+BA273*BA243+BB273*BB243+BC273*BC243+BD273*BD243+BE273*BE243+BF273*BF243+BG273*BG243+BH273*BH243+BI273*BI243+BJ273*BJ243+BK273*BK243+BL273*BL243+BM273*BM243+BN273*BN243+BO273*BO243+BP273*BP243+BQ273*BQ243+BR273*BR243+BS273*BS243+BT273*BT243+BU273*BU243+BV273*BV243+BW273*BW243+BX273*BX243+BY273*BY243+BZ273*BZ243+CA273*CA243+CB273*CB243+CC273*CC243+CD273*CD243+CE273*CE243+CF273*CF243+CG273*CG243+CH273*CH243+CI273*CI243+CJ273*CJ243+CK273*CK243+CL273*CL243+CM273*CM243+CN273*CN243+CO273*CO243+CP273*CP243+CQ273*CQ243+CR273*CR243+CS273*CS243</f>
        <v>0</v>
      </c>
      <c r="DD243" s="2504">
        <f>E274*E243+F274*F243+G274*G243+H274*H243+I274*I243+J274*J243+K274*K243+L274*L243+M274*M243+N274*N243+O274*O243+P274*P243+Q274*Q243+R274*R243+S274*S243+T274*T243+U274*U243+V274*V243+W274*W243+X274*X243+Y274*Y243+Z274*Z243+AA274*AA243+AB274*AB243+AC274*AC243+AD274*AD243+AE274*AE243+AF274*AF243+AG274*AG243+AH274*AH243+AI274*AI243+AJ274*AJ243+AK274*AK243+AL274*AL243+AM274*AM243+AN274*AN243+AO274*AO243+AP274*AP243+AQ274*AQ243+AR274*AR243+AS274*AS243+AT274*AT243+AU274*AU243+AV274*AV243+AW274*AW243+AX274*AX243+AY274*AY243+AZ274*AZ243+BA274*BA243+BB274*BB243+BC274*BC243+BD274*BD243+BE274*BE243+BF274*BF243+BG274*BG243+BH274*BH243+BI274*BI243+BJ274*BJ243+BK274*BK243+BL274*BL243+BM274*BM243+BN274*BN243+BO274*BO243+BP274*BP243+BQ274*BQ243+BR274*BR243+BS274*BS243+BT274*BT243+BU274*BU243+BV274*BV243+BW274*BW243+BX274*BX243+BY274*BY243+BZ274*BZ243+CA274*CA243+CB274*CB243+CC274*CC243+CD274*CD243+CE274*CE243+CF274*CF243+CG274*CG243+CH274*CH243+CI274*CI243+CJ274*CJ243+CK274*CK243+CL274*CL243+CM274*CM243+CN274*CN243+CO274*CO243+CP274*CP243+CQ274*CQ243+CR274*CR243+CS274*CS243</f>
        <v>0</v>
      </c>
      <c r="DE243" s="2504">
        <f>E275*E243+F275*F243+G275*G243+H275*H243+I275*I243+J275*J243+K275*K243+L275*L243+M275*M243+N275*N243+O275*O243+P275*P243+Q275*Q243+R275*R243+S275*S243+T275*T243+U275*U243+V275*V243+W275*W243+X275*X243+Y275*Y243+Z275*Z243+AA275*AA243+AB275*AB243+AC275*AC243+AD275*AD243+AE275*AE243+AF275*AF243+AG275*AG243+AH275*AH243+AI275*AI243+AJ275*AJ243+AK275*AK243+AL275*AL243+AM275*AM243+AN275*AN243+AO275*AO243+AP275*AP243+AQ275*AQ243+AR275*AR243+AS275*AS243+AT275*AT243+AU275*AU243+AV275*AV243+AW275*AW243+AX275*AX243+AY275*AY243+AZ275*AZ243+BA275*BA243+BB275*BB243+BC275*BC243+BD275*BD243+BE275*BE243+BF275*BF243+BG275*BG243+BH275*BH243+BI275*BI243+BJ275*BJ243+BK275*BK243+BL275*BL243+BM275*BM243+BN275*BN243+BO275*BO243+BP275*BP243+BQ275*BQ243+BR275*BR243+BS275*BS243+BT275*BT243+BU275*BU243+BV275*BV243+BW275*BW243+BX275*BX243+BY275*BY243+BZ275*BZ243+CA275*CA243+CB275*CB243+CC275*CC243+CD275*CD243+CE275*CE243+CF275*CF243+CG275*CG243+CH275*CH243+CI275*CI243+CJ275*CJ243+CK275*CK243+CL275*CL243+CM275*CM243+CN275*CN243+CO275*CO243+CP275*CP243+CQ275*CQ243+CR275*CR243+CS275*CS243</f>
        <v>0</v>
      </c>
      <c r="DF243" s="2504">
        <f>E276*E243+F276*F243+G276*G243+H276*H243+I276*I243+J276*J243+K276*K243+L276*L243+M276*M243+N276*N243+O276*O243+P276*P243+Q276*Q243+R276*R243+S276*S243+T276*T243+U276*U243+V276*V243+W276*W243+X276*X243+Y276*Y243+Z276*Z243+AA276*AA243+AB276*AB243+AC276*AC243+AD276*AD243+AE276*AE243+AF276*AF243+AG276*AG243+AH276*AH243+AI276*AI243+AJ276*AJ243+AK276*AK243+AL276*AL243+AM276*AM243+AN276*AN243+AO276*AO243+AP276*AP243+AQ276*AQ243+AR276*AR243+AS276*AS243+AT276*AT243+AU276*AU243+AV276*AV243+AW276*AW243+AX276*AX243+AY276*AY243+AZ276*AZ243+BA276*BA243+BB276*BB243+BC276*BC243+BD276*BD243+BE276*BE243+BF276*BF243+BG276*BG243+BH276*BH243+BI276*BI243+BJ276*BJ243+BK276*BK243+BL276*BL243+BM276*BM243+BN276*BN243+BO276*BO243+BP276*BP243+BQ276*BQ243+BR276*BR243+BS276*BS243+BT276*BT243+BU276*BU243+BV276*BV243+BW276*BW243+BX276*BX243+BY276*BY243+BZ276*BZ243+CA276*CA243+CB276*CB243+CC276*CC243+CD276*CD243+CE276*CE243+CF276*CF243+CG276*CG243+CH276*CH243+CI276*CI243+CJ276*CJ243+CK276*CK243+CL276*CL243+CM276*CM243+CN276*CN243+CO276*CO243+CP276*CP243+CQ276*CQ243+CR276*CR243+CS276*CS243</f>
        <v>0</v>
      </c>
    </row>
    <row r="244" spans="2:110" x14ac:dyDescent="0.25">
      <c r="B244" s="2378">
        <v>102</v>
      </c>
      <c r="C244" s="2379" t="s">
        <v>3620</v>
      </c>
      <c r="D244" s="2380" t="s">
        <v>5300</v>
      </c>
      <c r="E244" s="2381">
        <f>0</f>
        <v>0</v>
      </c>
      <c r="F244" s="2381">
        <f>0</f>
        <v>0</v>
      </c>
      <c r="G244" s="2381">
        <f>0</f>
        <v>0</v>
      </c>
      <c r="H244" s="2381">
        <f>0</f>
        <v>0</v>
      </c>
      <c r="I244" s="2381">
        <f>0</f>
        <v>0</v>
      </c>
      <c r="J244" s="2421">
        <f>0</f>
        <v>0</v>
      </c>
      <c r="K244" s="2382">
        <f>0</f>
        <v>0</v>
      </c>
      <c r="L244" s="2381">
        <f>0</f>
        <v>0</v>
      </c>
      <c r="M244" s="2381">
        <f>0</f>
        <v>0</v>
      </c>
      <c r="N244" s="2381">
        <f>0</f>
        <v>0</v>
      </c>
      <c r="O244" s="2381">
        <f>0</f>
        <v>0</v>
      </c>
      <c r="P244" s="2381">
        <f>0</f>
        <v>0</v>
      </c>
      <c r="Q244" s="2381">
        <f>0</f>
        <v>0</v>
      </c>
      <c r="R244" s="2381">
        <f>0</f>
        <v>0</v>
      </c>
      <c r="S244" s="2381">
        <f>0</f>
        <v>0</v>
      </c>
      <c r="T244" s="2381">
        <f>0</f>
        <v>0</v>
      </c>
      <c r="U244" s="2381">
        <f>0</f>
        <v>0</v>
      </c>
      <c r="V244" s="2381">
        <f>0</f>
        <v>0</v>
      </c>
      <c r="W244" s="2381">
        <f>0</f>
        <v>0</v>
      </c>
      <c r="X244" s="2381">
        <f>0</f>
        <v>0</v>
      </c>
      <c r="Y244" s="2381">
        <f>0</f>
        <v>0</v>
      </c>
      <c r="Z244" s="2381">
        <f>0</f>
        <v>0</v>
      </c>
      <c r="AA244" s="2381">
        <f>0</f>
        <v>0</v>
      </c>
      <c r="AB244" s="2382">
        <f>0</f>
        <v>0</v>
      </c>
      <c r="AC244" s="2382">
        <f>0</f>
        <v>0</v>
      </c>
      <c r="AD244" s="2382">
        <f>0</f>
        <v>0</v>
      </c>
      <c r="AE244" s="2382">
        <f>0</f>
        <v>0</v>
      </c>
      <c r="AF244" s="2382">
        <f>0</f>
        <v>0</v>
      </c>
      <c r="AG244" s="2382">
        <f>0</f>
        <v>0</v>
      </c>
      <c r="AH244" s="2382">
        <f>0</f>
        <v>0</v>
      </c>
      <c r="AI244" s="2382">
        <f>0</f>
        <v>0</v>
      </c>
      <c r="AJ244" s="2382">
        <f>0</f>
        <v>0</v>
      </c>
      <c r="AK244" s="2423">
        <f>0</f>
        <v>0</v>
      </c>
      <c r="AL244" s="2382">
        <f>0</f>
        <v>0</v>
      </c>
      <c r="AM244" s="2382">
        <f>0</f>
        <v>0</v>
      </c>
      <c r="AN244" s="2381">
        <f>0</f>
        <v>0</v>
      </c>
      <c r="AO244" s="2382">
        <f>0</f>
        <v>0</v>
      </c>
      <c r="AP244" s="2382">
        <f>0</f>
        <v>0</v>
      </c>
      <c r="AQ244" s="2423">
        <f>0</f>
        <v>0</v>
      </c>
      <c r="AR244" s="2382">
        <f>0</f>
        <v>0</v>
      </c>
      <c r="AS244" s="2381">
        <f>0</f>
        <v>0</v>
      </c>
      <c r="AT244" s="2382">
        <f>0</f>
        <v>0</v>
      </c>
      <c r="AU244" s="2382">
        <f>0</f>
        <v>0</v>
      </c>
      <c r="AV244" s="2382">
        <f>0</f>
        <v>0</v>
      </c>
      <c r="AW244" s="2382">
        <f>0</f>
        <v>0</v>
      </c>
      <c r="AX244" s="2382">
        <f>0</f>
        <v>0</v>
      </c>
      <c r="AY244" s="2382">
        <f>0</f>
        <v>0</v>
      </c>
      <c r="AZ244" s="2382">
        <f>0</f>
        <v>0</v>
      </c>
      <c r="BA244" s="2382">
        <f>0</f>
        <v>0</v>
      </c>
      <c r="BB244" s="2382">
        <f>0</f>
        <v>0</v>
      </c>
      <c r="BC244" s="2382">
        <f>0</f>
        <v>0</v>
      </c>
      <c r="BD244" s="2382">
        <f>0</f>
        <v>0</v>
      </c>
      <c r="BE244" s="2382">
        <f>0</f>
        <v>0</v>
      </c>
      <c r="BF244" s="2382">
        <f>0</f>
        <v>0</v>
      </c>
      <c r="BG244" s="2382">
        <f>0</f>
        <v>0</v>
      </c>
      <c r="BH244" s="2382">
        <f>0</f>
        <v>0</v>
      </c>
      <c r="BI244" s="2382">
        <f>0</f>
        <v>0</v>
      </c>
      <c r="BJ244" s="2382">
        <f>0</f>
        <v>0</v>
      </c>
      <c r="BK244" s="2382">
        <f>0</f>
        <v>0</v>
      </c>
      <c r="BL244" s="2382">
        <f>0</f>
        <v>0</v>
      </c>
      <c r="BM244" s="2382">
        <f>0</f>
        <v>0</v>
      </c>
      <c r="BN244" s="2382">
        <f>0</f>
        <v>0</v>
      </c>
      <c r="BO244" s="2382">
        <f>0</f>
        <v>0</v>
      </c>
      <c r="BP244" s="2382">
        <f>0</f>
        <v>0</v>
      </c>
      <c r="BQ244" s="2382">
        <f>0</f>
        <v>0</v>
      </c>
      <c r="BR244" s="2382">
        <f>0</f>
        <v>0</v>
      </c>
      <c r="BS244" s="2382">
        <f>0</f>
        <v>0</v>
      </c>
      <c r="BT244" s="2382">
        <f>0</f>
        <v>0</v>
      </c>
      <c r="BU244" s="2382">
        <f>0</f>
        <v>0</v>
      </c>
      <c r="BV244" s="2382">
        <f>0</f>
        <v>0</v>
      </c>
      <c r="BW244" s="2382">
        <f>-1</f>
        <v>-1</v>
      </c>
      <c r="BX244" s="2382">
        <f>1</f>
        <v>1</v>
      </c>
      <c r="BY244" s="2382">
        <f>0</f>
        <v>0</v>
      </c>
      <c r="BZ244" s="2382">
        <f>0</f>
        <v>0</v>
      </c>
      <c r="CA244" s="2382">
        <f>0</f>
        <v>0</v>
      </c>
      <c r="CB244" s="2382">
        <f>0</f>
        <v>0</v>
      </c>
      <c r="CC244" s="2382">
        <f>0</f>
        <v>0</v>
      </c>
      <c r="CD244" s="2382">
        <f>0</f>
        <v>0</v>
      </c>
      <c r="CE244" s="2382">
        <f>0</f>
        <v>0</v>
      </c>
      <c r="CF244" s="2382">
        <f>0</f>
        <v>0</v>
      </c>
      <c r="CG244" s="2382">
        <f>0</f>
        <v>0</v>
      </c>
      <c r="CH244" s="2382">
        <f>0</f>
        <v>0</v>
      </c>
      <c r="CI244" s="2382">
        <f>0</f>
        <v>0</v>
      </c>
      <c r="CJ244" s="2382">
        <f>0</f>
        <v>0</v>
      </c>
      <c r="CK244" s="2380">
        <f>0</f>
        <v>0</v>
      </c>
      <c r="CL244" s="2380">
        <f>0</f>
        <v>0</v>
      </c>
      <c r="CM244" s="2380">
        <f>0</f>
        <v>0</v>
      </c>
      <c r="CN244" s="2380">
        <f>0</f>
        <v>0</v>
      </c>
      <c r="CO244" s="2380">
        <f>0</f>
        <v>0</v>
      </c>
      <c r="CP244" s="2380">
        <f>0</f>
        <v>0</v>
      </c>
      <c r="CQ244" s="2380">
        <f>0</f>
        <v>0</v>
      </c>
      <c r="CR244" s="2380">
        <f>0</f>
        <v>0</v>
      </c>
      <c r="CS244" s="2380">
        <f>0</f>
        <v>0</v>
      </c>
      <c r="CT244" s="2496">
        <f>q_PFOA_SORP*(S_PFOA-(X_PFOA/X_VSS)*(c_g_kg*c_mg_g)/K_OC_PFOA_EQ)</f>
        <v>2.9848363665980245E-6</v>
      </c>
      <c r="CV244" s="2502">
        <f>E266*E244+F266*F244+G266*G244+H266*H244+I266*I244+J266*J244+K266*K244+L266*L244+M266*M244+N266*N244+O266*O244+P266*P244+Q266*Q244+R266*R244+S266*S244+T266*T244+U266*U244+V266*V244+W266*W244+X266*X244+Y266*Y244+Z266*Z244+AA266*AA244+AB266*AB244+AC266*AC244+AD266*AD244+AE266*AE244+AF266*AF244+AG266*AG244+AH266*AH244+AI266*AI244+AJ266*AJ244+AK266*AK244+AL266*AL244+AM266*AM244+AN266*AN244+AO266*AO244+AP266*AP244+AQ266*AQ244+AR266*AR244+AS266*AS244+AT266*AT244+AU266*AU244+AV266*AV244+AW266*AW244+AX266*AX244+AY266*AY244+AZ266*AZ244+BA266*BA244+BB266*BB244+BC266*BC244+BD266*BD244+BE266*BE244+BF266*BF244+BG266*BG244+BH266*BH244+BI266*BI244+BJ266*BJ244+BK266*BK244+BL266*BL244+BM266*BM244+BN266*BN244+BO266*BO244+BP266*BP244+BQ266*BQ244+BR266*BR244+BS266*BS244+BT266*BT244+BU266*BU244+BV266*BV244+BW266*BW244+BX266*BX244+BY266*BY244+BZ266*BZ244+CA266*CA244+CB266*CB244+CC266*CC244+CD266*CD244+CE266*CE244+CF266*CF244+CG266*CG244+CH266*CH244+CI266*CI244+CJ266*CJ244+CK266*CK244+CL266*CL244+CM266*CM244+CN266*CN244+CO266*CO244+CP266*CP244+CQ266*CQ244+CR266*CR244+CS266*CS244</f>
        <v>0</v>
      </c>
      <c r="CW244" s="2502">
        <f>E267*E244+F267*F244+G267*G244+H267*H244+I267*I244+J267*J244+K267*K244+L267*L244+M267*M244+N267*N244+O267*O244+P267*P244+Q267*Q244+R267*R244+S267*S244+T267*T244+U267*U244+V267*V244+W267*W244+X267*X244+Y267*Y244+Z267*Z244+AA267*AA244+AB267*AB244+AC267*AC244+AD267*AD244+AE267*AE244+AF267*AF244+AG267*AG244+AH267*AH244+AI267*AI244+AJ267*AJ244+AK267*AK244+AL267*AL244+AM267*AM244+AN267*AN244+AO267*AO244+AP267*AP244+AQ267*AQ244+AR267*AR244+AS267*AS244+AT267*AT244+AU267*AU244+AV267*AV244+AW267*AW244+AX267*AX244+AY267*AY244+AZ267*AZ244+BA267*BA244+BB267*BB244+BC267*BC244+BD267*BD244+BE267*BE244+BF267*BF244+BG267*BG244+BH267*BH244+BI267*BI244+BJ267*BJ244+BK267*BK244+BL267*BL244+BM267*BM244+BN267*BN244+BO267*BO244+BP267*BP244+BQ267*BQ244+BR267*BR244+BS267*BS244+BT267*BT244+BU267*BU244+BV267*BV244+BW267*BW244+BX267*BX244+BY267*BY244+BZ267*BZ244+CA267*CA244+CB267*CB244+CC267*CC244+CD267*CD244+CE267*CE244+CF267*CF244+CG267*CG244+CH267*CH244+CI267*CI244+CJ267*CJ244+CK267*CK244+CL267*CL244+CM267*CM244+CN267*CN244+CO267*CO244+CP267*CP244+CQ267*CQ244+CR267*CR244+CS267*CS244</f>
        <v>0</v>
      </c>
      <c r="CX244" s="2503">
        <f>E268*E244+F268*F244+G268*G244+H268*H244+I268*I244+J268*J244+K268*K244+L268*L244+M268*M244+N268*N244+O268*O244+P268*P244+Q268*Q244+R268*R244+S268*S244+T268*T244+U268*U244+V268*V244+W268*W244+X268*X244+Y268*Y244+Z268*Z244+AA268*AA244+AB268*AB244+AC268*AC244+AD268*AD244+AE268*AE244+AF268*AF244+AG268*AG244+AH268*AH244+AI268*AI244+AJ268*AJ244+AK268*AK244+AL268*AL244+AM268*AM244+AN268*AN244+AO268*AO244+AP268*AP244+AQ268*AQ244+AR268*AR244+AS268*AS244+AT268*AT244+AU268*AU244+AV268*AV244+AW268*AW244+AX268*AX244+AY268*AY244+AZ268*AZ244+BA268*BA244+BB268*BB244+BC268*BC244+BD268*BD244+BE268*BE244+BF268*BF244+BG268*BG244+BH268*BH244+BI268*BI244+BJ268*BJ244+BK268*BK244+BL268*BL244+BM268*BM244+BN268*BN244+BO268*BO244+BP268*BP244+BQ268*BQ244+BR268*BR244+BS268*BS244+BT268*BT244+BU268*BU244+BV268*BV244+BW268*BW244+BX268*BX244+BY268*BY244+BZ268*BZ244+CA268*CA244+CB268*CB244+CC268*CC244+CD268*CD244+CE268*CE244+CF268*CF244+CG268*CG244+CH268*CH244+CI268*CI244+CJ268*CJ244+CK268*CK244+CL268*CL244+CM268*CM244+CN268*CN244+CO268*CO244+CP268*CP244+CQ268*CQ244+CR268*CR244+CS268*CS244</f>
        <v>0</v>
      </c>
      <c r="CY244" s="2504">
        <f>E269*E244+F269*F244+G269*G244+H269*H244+I269*I244+J269*J244+K269*K244+L269*L244+M269*M244+N269*N244+O269*O244+P269*P244+Q269*Q244+R269*R244+S269*S244+T269*T244+U269*U244+V269*V244+W269*W244+X269*X244+Y269*Y244+Z269*Z244+AA269*AA244+AB269*AB244+AC269*AC244+AD269*AD244+AE269*AE244+AF269*AF244+AG269*AG244+AH269*AH244+AI269*AI244+AJ269*AJ244+AK269*AK244+AL269*AL244+AM269*AM244+AN269*AN244+AO269*AO244+AP269*AP244+AQ269*AQ244+AR269*AR244+AS269*AS244+AT269*AT244+AU269*AU244+AV269*AV244+AW269*AW244+AX269*AX244+AY269*AY244+AZ269*AZ244+BA269*BA244+BB269*BB244+BC269*BC244+BD269*BD244+BE269*BE244+BF269*BF244+BG269*BG244+BH269*BH244+BI269*BI244+BJ269*BJ244+BK269*BK244+BL269*BL244+BM269*BM244+BN269*BN244+BO269*BO244+BP269*BP244+BQ269*BQ244+BR269*BR244+BS269*BS244+BT269*BT244+BU269*BU244+BV269*BV244+BW269*BW244+BX269*BX244+BY269*BY244+BZ269*BZ244+CA269*CA244+CB269*CB244+CC269*CC244+CD269*CD244+CE269*CE244+CF269*CF244+CG269*CG244+CH269*CH244+CI269*CI244+CJ269*CJ244+CK269*CK244+CL269*CL244+CM269*CM244+CN269*CN244+CO269*CO244+CP269*CP244+CQ269*CQ244+CR269*CR244+CS269*CS244</f>
        <v>0</v>
      </c>
      <c r="CZ244" s="2504">
        <f>E270*E244+F270*F244+G270*G244+H270*H244+I270*I244+J270*J244+K270*K244+L270*L244+M270*M244+N270*N244+O270*O244+P270*P244+Q270*Q244+R270*R244+S270*S244+T270*T244+U270*U244+V270*V244+W270*W244+X270*X244+Y270*Y244+Z270*Z244+AA270*AA244+AB270*AB244+AC270*AC244+AD270*AD244+AE270*AE244+AF270*AF244+AG270*AG244+AH270*AH244+AI270*AI244+AJ270*AJ244+AK270*AK244+AL270*AL244+AM270*AM244+AN270*AN244+AO270*AO244+AP270*AP244+AQ270*AQ244+AR270*AR244+AS270*AS244+AT270*AT244+AU270*AU244+AV270*AV244+AW270*AW244+AX270*AX244+AY270*AY244+AZ270*AZ244+BA270*BA244+BB270*BB244+BC270*BC244+BD270*BD244+BE270*BE244+BF270*BF244+BG270*BG244+BH270*BH244+BI270*BI244+BJ270*BJ244+BK270*BK244+BL270*BL244+BM270*BM244+BN270*BN244+BO270*BO244+BP270*BP244+BQ270*BQ244+BR270*BR244+BS270*BS244+BT270*BT244+BU270*BU244+BV270*BV244+BW270*BW244+BX270*BX244+BY270*BY244+BZ270*BZ244+CA270*CA244+CB270*CB244+CC270*CC244+CD270*CD244+CE270*CE244+CF270*CF244+CG270*CG244+CH270*CH244+CI270*CI244+CJ270*CJ244+CK270*CK244+CL270*CL244+CM270*CM244+CN270*CN244+CO270*CO244+CP270*CP244+CQ270*CQ244+CR270*CR244+CS270*CS244</f>
        <v>0</v>
      </c>
      <c r="DA244" s="2504">
        <f>E271*E244+F271*F244+G271*G244+H271*H244+I271*I244+J271*J244+K271*K244+L271*L244+M271*M244+N271*N244+O271*O244+P271*P244+Q271*Q244+R271*R244+S271*S244+T271*T244+U271*U244+V271*V244+W271*W244+X271*X244+Y271*Y244+Z271*Z244+AA271*AA244+AB271*AB244+AC271*AC244+AD271*AD244+AE271*AE244+AF271*AF244+AG271*AG244+AH271*AH244+AI271*AI244+AJ271*AJ244+AK271*AK244+AL271*AL244+AM271*AM244+AN271*AN244+AO271*AO244+AP271*AP244+AQ271*AQ244+AR271*AR244+AS271*AS244+AT271*AT244+AU271*AU244+AV271*AV244+AW271*AW244+AX271*AX244+AY271*AY244+AZ271*AZ244+BA271*BA244+BB271*BB244+BC271*BC244+BD271*BD244+BE271*BE244+BF271*BF244+BG271*BG244+BH271*BH244+BI271*BI244+BJ271*BJ244+BK271*BK244+BL271*BL244+BM271*BM244+BN271*BN244+BO271*BO244+BP271*BP244+BQ271*BQ244+BR271*BR244+BS271*BS244+BT271*BT244+BU271*BU244+BV271*BV244+BW271*BW244+BX271*BX244+BY271*BY244+BZ271*BZ244+CA271*CA244+CB271*CB244+CC271*CC244+CD271*CD244+CE271*CE244+CF271*CF244+CG271*CG244+CH271*CH244+CI271*CI244+CJ271*CJ244+CK271*CK244+CL271*CL244+CM271*CM244+CN271*CN244+CO271*CO244+CP271*CP244+CQ271*CQ244+CR271*CR244+CS271*CS244</f>
        <v>0</v>
      </c>
      <c r="DB244" s="2504">
        <f>E272*E244+F272*F244+G272*G244+H272*H244+I272*I244+J272*J244+K272*K244+L272*L244+M272*M244+N272*N244+O272*O244+P272*P244+Q272*Q244+R272*R244+S272*S244+T272*T244+U272*U244+V272*V244+W272*W244+X272*X244+Y272*Y244+Z272*Z244+AA272*AA244+AB272*AB244+AC272*AC244+AD272*AD244+AE272*AE244+AF272*AF244+AG272*AG244+AH272*AH244+AI272*AI244+AJ272*AJ244+AK272*AK244+AL272*AL244+AM272*AM244+AN272*AN244+AO272*AO244+AP272*AP244+AQ272*AQ244+AR272*AR244+AS272*AS244+AT272*AT244+AU272*AU244+AV272*AV244+AW272*AW244+AX272*AX244+AY272*AY244+AZ272*AZ244+BA272*BA244+BB272*BB244+BC272*BC244+BD272*BD244+BE272*BE244+BF272*BF244+BG272*BG244+BH272*BH244+BI272*BI244+BJ272*BJ244+BK272*BK244+BL272*BL244+BM272*BM244+BN272*BN244+BO272*BO244+BP272*BP244+BQ272*BQ244+BR272*BR244+BS272*BS244+BT272*BT244+BU272*BU244+BV272*BV244+BW272*BW244+BX272*BX244+BY272*BY244+BZ272*BZ244+CA272*CA244+CB272*CB244+CC272*CC244+CD272*CD244+CE272*CE244+CF272*CF244+CG272*CG244+CH272*CH244+CI272*CI244+CJ272*CJ244+CK272*CK244+CL272*CL244+CM272*CM244+CN272*CN244+CO272*CO244+CP272*CP244+CQ272*CQ244+CR272*CR244+CS272*CS244</f>
        <v>0</v>
      </c>
      <c r="DC244" s="2504">
        <f>E273*E244+F273*F244+G273*G244+H273*H244+I273*I244+J273*J244+K273*K244+L273*L244+M273*M244+N273*N244+O273*O244+P273*P244+Q273*Q244+R273*R244+S273*S244+T273*T244+U273*U244+V273*V244+W273*W244+X273*X244+Y273*Y244+Z273*Z244+AA273*AA244+AB273*AB244+AC273*AC244+AD273*AD244+AE273*AE244+AF273*AF244+AG273*AG244+AH273*AH244+AI273*AI244+AJ273*AJ244+AK273*AK244+AL273*AL244+AM273*AM244+AN273*AN244+AO273*AO244+AP273*AP244+AQ273*AQ244+AR273*AR244+AS273*AS244+AT273*AT244+AU273*AU244+AV273*AV244+AW273*AW244+AX273*AX244+AY273*AY244+AZ273*AZ244+BA273*BA244+BB273*BB244+BC273*BC244+BD273*BD244+BE273*BE244+BF273*BF244+BG273*BG244+BH273*BH244+BI273*BI244+BJ273*BJ244+BK273*BK244+BL273*BL244+BM273*BM244+BN273*BN244+BO273*BO244+BP273*BP244+BQ273*BQ244+BR273*BR244+BS273*BS244+BT273*BT244+BU273*BU244+BV273*BV244+BW273*BW244+BX273*BX244+BY273*BY244+BZ273*BZ244+CA273*CA244+CB273*CB244+CC273*CC244+CD273*CD244+CE273*CE244+CF273*CF244+CG273*CG244+CH273*CH244+CI273*CI244+CJ273*CJ244+CK273*CK244+CL273*CL244+CM273*CM244+CN273*CN244+CO273*CO244+CP273*CP244+CQ273*CQ244+CR273*CR244+CS273*CS244</f>
        <v>0</v>
      </c>
      <c r="DD244" s="2504">
        <f>E274*E244+F274*F244+G274*G244+H274*H244+I274*I244+J274*J244+K274*K244+L274*L244+M274*M244+N274*N244+O274*O244+P274*P244+Q274*Q244+R274*R244+S274*S244+T274*T244+U274*U244+V274*V244+W274*W244+X274*X244+Y274*Y244+Z274*Z244+AA274*AA244+AB274*AB244+AC274*AC244+AD274*AD244+AE274*AE244+AF274*AF244+AG274*AG244+AH274*AH244+AI274*AI244+AJ274*AJ244+AK274*AK244+AL274*AL244+AM274*AM244+AN274*AN244+AO274*AO244+AP274*AP244+AQ274*AQ244+AR274*AR244+AS274*AS244+AT274*AT244+AU274*AU244+AV274*AV244+AW274*AW244+AX274*AX244+AY274*AY244+AZ274*AZ244+BA274*BA244+BB274*BB244+BC274*BC244+BD274*BD244+BE274*BE244+BF274*BF244+BG274*BG244+BH274*BH244+BI274*BI244+BJ274*BJ244+BK274*BK244+BL274*BL244+BM274*BM244+BN274*BN244+BO274*BO244+BP274*BP244+BQ274*BQ244+BR274*BR244+BS274*BS244+BT274*BT244+BU274*BU244+BV274*BV244+BW274*BW244+BX274*BX244+BY274*BY244+BZ274*BZ244+CA274*CA244+CB274*CB244+CC274*CC244+CD274*CD244+CE274*CE244+CF274*CF244+CG274*CG244+CH274*CH244+CI274*CI244+CJ274*CJ244+CK274*CK244+CL274*CL244+CM274*CM244+CN274*CN244+CO274*CO244+CP274*CP244+CQ274*CQ244+CR274*CR244+CS274*CS244</f>
        <v>0</v>
      </c>
      <c r="DE244" s="2504">
        <f>E275*E244+F275*F244+G275*G244+H275*H244+I275*I244+J275*J244+K275*K244+L275*L244+M275*M244+N275*N244+O275*O244+P275*P244+Q275*Q244+R275*R244+S275*S244+T275*T244+U275*U244+V275*V244+W275*W244+X275*X244+Y275*Y244+Z275*Z244+AA275*AA244+AB275*AB244+AC275*AC244+AD275*AD244+AE275*AE244+AF275*AF244+AG275*AG244+AH275*AH244+AI275*AI244+AJ275*AJ244+AK275*AK244+AL275*AL244+AM275*AM244+AN275*AN244+AO275*AO244+AP275*AP244+AQ275*AQ244+AR275*AR244+AS275*AS244+AT275*AT244+AU275*AU244+AV275*AV244+AW275*AW244+AX275*AX244+AY275*AY244+AZ275*AZ244+BA275*BA244+BB275*BB244+BC275*BC244+BD275*BD244+BE275*BE244+BF275*BF244+BG275*BG244+BH275*BH244+BI275*BI244+BJ275*BJ244+BK275*BK244+BL275*BL244+BM275*BM244+BN275*BN244+BO275*BO244+BP275*BP244+BQ275*BQ244+BR275*BR244+BS275*BS244+BT275*BT244+BU275*BU244+BV275*BV244+BW275*BW244+BX275*BX244+BY275*BY244+BZ275*BZ244+CA275*CA244+CB275*CB244+CC275*CC244+CD275*CD244+CE275*CE244+CF275*CF244+CG275*CG244+CH275*CH244+CI275*CI244+CJ275*CJ244+CK275*CK244+CL275*CL244+CM275*CM244+CN275*CN244+CO275*CO244+CP275*CP244+CQ275*CQ244+CR275*CR244+CS275*CS244</f>
        <v>0</v>
      </c>
      <c r="DF244" s="2504">
        <f>E276*E244+F276*F244+G276*G244+H276*H244+I276*I244+J276*J244+K276*K244+L276*L244+M276*M244+N276*N244+O276*O244+P276*P244+Q276*Q244+R276*R244+S276*S244+T276*T244+U276*U244+V276*V244+W276*W244+X276*X244+Y276*Y244+Z276*Z244+AA276*AA244+AB276*AB244+AC276*AC244+AD276*AD244+AE276*AE244+AF276*AF244+AG276*AG244+AH276*AH244+AI276*AI244+AJ276*AJ244+AK276*AK244+AL276*AL244+AM276*AM244+AN276*AN244+AO276*AO244+AP276*AP244+AQ276*AQ244+AR276*AR244+AS276*AS244+AT276*AT244+AU276*AU244+AV276*AV244+AW276*AW244+AX276*AX244+AY276*AY244+AZ276*AZ244+BA276*BA244+BB276*BB244+BC276*BC244+BD276*BD244+BE276*BE244+BF276*BF244+BG276*BG244+BH276*BH244+BI276*BI244+BJ276*BJ244+BK276*BK244+BL276*BL244+BM276*BM244+BN276*BN244+BO276*BO244+BP276*BP244+BQ276*BQ244+BR276*BR244+BS276*BS244+BT276*BT244+BU276*BU244+BV276*BV244+BW276*BW244+BX276*BX244+BY276*BY244+BZ276*BZ244+CA276*CA244+CB276*CB244+CC276*CC244+CD276*CD244+CE276*CE244+CF276*CF244+CG276*CG244+CH276*CH244+CI276*CI244+CJ276*CJ244+CK276*CK244+CL276*CL244+CM276*CM244+CN276*CN244+CO276*CO244+CP276*CP244+CQ276*CQ244+CR276*CR244+CS276*CS244</f>
        <v>0</v>
      </c>
    </row>
    <row r="245" spans="2:110" x14ac:dyDescent="0.25">
      <c r="B245" s="2378">
        <v>103</v>
      </c>
      <c r="C245" s="2379" t="s">
        <v>3846</v>
      </c>
      <c r="D245" s="2380" t="s">
        <v>5302</v>
      </c>
      <c r="E245" s="2381">
        <f>0</f>
        <v>0</v>
      </c>
      <c r="F245" s="2381">
        <f>0</f>
        <v>0</v>
      </c>
      <c r="G245" s="2381">
        <f>0</f>
        <v>0</v>
      </c>
      <c r="H245" s="2381">
        <f>0</f>
        <v>0</v>
      </c>
      <c r="I245" s="2381">
        <f>0</f>
        <v>0</v>
      </c>
      <c r="J245" s="2421">
        <f>0</f>
        <v>0</v>
      </c>
      <c r="K245" s="2382">
        <f>0</f>
        <v>0</v>
      </c>
      <c r="L245" s="2381">
        <f>0</f>
        <v>0</v>
      </c>
      <c r="M245" s="2381">
        <f>0</f>
        <v>0</v>
      </c>
      <c r="N245" s="2381">
        <f>0</f>
        <v>0</v>
      </c>
      <c r="O245" s="2381">
        <f>0</f>
        <v>0</v>
      </c>
      <c r="P245" s="2381">
        <f>0</f>
        <v>0</v>
      </c>
      <c r="Q245" s="2381">
        <f>0</f>
        <v>0</v>
      </c>
      <c r="R245" s="2381">
        <f>0</f>
        <v>0</v>
      </c>
      <c r="S245" s="2381">
        <f>0</f>
        <v>0</v>
      </c>
      <c r="T245" s="2381">
        <f>0</f>
        <v>0</v>
      </c>
      <c r="U245" s="2381">
        <f>0</f>
        <v>0</v>
      </c>
      <c r="V245" s="2381">
        <f>0</f>
        <v>0</v>
      </c>
      <c r="W245" s="2381">
        <f>0</f>
        <v>0</v>
      </c>
      <c r="X245" s="2381">
        <f>0</f>
        <v>0</v>
      </c>
      <c r="Y245" s="2381">
        <f>0</f>
        <v>0</v>
      </c>
      <c r="Z245" s="2381">
        <f>0</f>
        <v>0</v>
      </c>
      <c r="AA245" s="2381">
        <f>0</f>
        <v>0</v>
      </c>
      <c r="AB245" s="2382">
        <f>0</f>
        <v>0</v>
      </c>
      <c r="AC245" s="2382">
        <f>0</f>
        <v>0</v>
      </c>
      <c r="AD245" s="2382">
        <f>0</f>
        <v>0</v>
      </c>
      <c r="AE245" s="2382">
        <f>0</f>
        <v>0</v>
      </c>
      <c r="AF245" s="2382">
        <f>0</f>
        <v>0</v>
      </c>
      <c r="AG245" s="2382">
        <f>0</f>
        <v>0</v>
      </c>
      <c r="AH245" s="2382">
        <f>0</f>
        <v>0</v>
      </c>
      <c r="AI245" s="2382">
        <f>0</f>
        <v>0</v>
      </c>
      <c r="AJ245" s="2382">
        <f>0</f>
        <v>0</v>
      </c>
      <c r="AK245" s="2423">
        <f>0</f>
        <v>0</v>
      </c>
      <c r="AL245" s="2382">
        <f>0</f>
        <v>0</v>
      </c>
      <c r="AM245" s="2382">
        <f>0</f>
        <v>0</v>
      </c>
      <c r="AN245" s="2381">
        <f>0</f>
        <v>0</v>
      </c>
      <c r="AO245" s="2382">
        <f>0</f>
        <v>0</v>
      </c>
      <c r="AP245" s="2382">
        <f>0</f>
        <v>0</v>
      </c>
      <c r="AQ245" s="2423">
        <f>0</f>
        <v>0</v>
      </c>
      <c r="AR245" s="2382">
        <f>0</f>
        <v>0</v>
      </c>
      <c r="AS245" s="2381">
        <f>0</f>
        <v>0</v>
      </c>
      <c r="AT245" s="2382">
        <f>0</f>
        <v>0</v>
      </c>
      <c r="AU245" s="2382">
        <f>0</f>
        <v>0</v>
      </c>
      <c r="AV245" s="2382">
        <f>0</f>
        <v>0</v>
      </c>
      <c r="AW245" s="2382">
        <f>0</f>
        <v>0</v>
      </c>
      <c r="AX245" s="2382">
        <f>0</f>
        <v>0</v>
      </c>
      <c r="AY245" s="2382">
        <f>0</f>
        <v>0</v>
      </c>
      <c r="AZ245" s="2382">
        <f>0</f>
        <v>0</v>
      </c>
      <c r="BA245" s="2382">
        <f>0</f>
        <v>0</v>
      </c>
      <c r="BB245" s="2382">
        <f>0</f>
        <v>0</v>
      </c>
      <c r="BC245" s="2382">
        <f>0</f>
        <v>0</v>
      </c>
      <c r="BD245" s="2382">
        <f>0</f>
        <v>0</v>
      </c>
      <c r="BE245" s="2382">
        <f>0</f>
        <v>0</v>
      </c>
      <c r="BF245" s="2382">
        <f>0</f>
        <v>0</v>
      </c>
      <c r="BG245" s="2382">
        <f>0</f>
        <v>0</v>
      </c>
      <c r="BH245" s="2382">
        <f>0</f>
        <v>0</v>
      </c>
      <c r="BI245" s="2382">
        <f>0</f>
        <v>0</v>
      </c>
      <c r="BJ245" s="2382">
        <f>0</f>
        <v>0</v>
      </c>
      <c r="BK245" s="2382">
        <f>0</f>
        <v>0</v>
      </c>
      <c r="BL245" s="2382">
        <f>0</f>
        <v>0</v>
      </c>
      <c r="BM245" s="2382">
        <f>0</f>
        <v>0</v>
      </c>
      <c r="BN245" s="2382">
        <f>0</f>
        <v>0</v>
      </c>
      <c r="BO245" s="2382">
        <f>0</f>
        <v>0</v>
      </c>
      <c r="BP245" s="2382">
        <f>0</f>
        <v>0</v>
      </c>
      <c r="BQ245" s="2382">
        <f>0</f>
        <v>0</v>
      </c>
      <c r="BR245" s="2382">
        <f>0</f>
        <v>0</v>
      </c>
      <c r="BS245" s="2382">
        <f>0</f>
        <v>0</v>
      </c>
      <c r="BT245" s="2382">
        <f>0</f>
        <v>0</v>
      </c>
      <c r="BU245" s="2382">
        <f>0</f>
        <v>0</v>
      </c>
      <c r="BV245" s="2382">
        <f>0</f>
        <v>0</v>
      </c>
      <c r="BW245" s="2382">
        <f>0</f>
        <v>0</v>
      </c>
      <c r="BX245" s="2382">
        <f>0</f>
        <v>0</v>
      </c>
      <c r="BY245" s="2382">
        <f>-1</f>
        <v>-1</v>
      </c>
      <c r="BZ245" s="2382">
        <f>1</f>
        <v>1</v>
      </c>
      <c r="CA245" s="2382">
        <f>0</f>
        <v>0</v>
      </c>
      <c r="CB245" s="2382">
        <f>0</f>
        <v>0</v>
      </c>
      <c r="CC245" s="2382">
        <f>0</f>
        <v>0</v>
      </c>
      <c r="CD245" s="2382">
        <f>0</f>
        <v>0</v>
      </c>
      <c r="CE245" s="2382">
        <f>0</f>
        <v>0</v>
      </c>
      <c r="CF245" s="2382">
        <f>0</f>
        <v>0</v>
      </c>
      <c r="CG245" s="2382">
        <f>0</f>
        <v>0</v>
      </c>
      <c r="CH245" s="2382">
        <f>0</f>
        <v>0</v>
      </c>
      <c r="CI245" s="2382">
        <f>0</f>
        <v>0</v>
      </c>
      <c r="CJ245" s="2382">
        <f>0</f>
        <v>0</v>
      </c>
      <c r="CK245" s="2380">
        <f>0</f>
        <v>0</v>
      </c>
      <c r="CL245" s="2380">
        <f>0</f>
        <v>0</v>
      </c>
      <c r="CM245" s="2380">
        <f>0</f>
        <v>0</v>
      </c>
      <c r="CN245" s="2380">
        <f>0</f>
        <v>0</v>
      </c>
      <c r="CO245" s="2380">
        <f>0</f>
        <v>0</v>
      </c>
      <c r="CP245" s="2380">
        <f>0</f>
        <v>0</v>
      </c>
      <c r="CQ245" s="2380">
        <f>0</f>
        <v>0</v>
      </c>
      <c r="CR245" s="2380">
        <f>0</f>
        <v>0</v>
      </c>
      <c r="CS245" s="2380">
        <f>0</f>
        <v>0</v>
      </c>
      <c r="CT245" s="2496">
        <f>q_PFOS_SORP*(S_PFOS-(X_PFOS/X_VSS)*(c_g_kg*c_mg_g)/K_OC_PFOS_EQ)</f>
        <v>3.2662090916495059E-6</v>
      </c>
      <c r="CV245" s="2502">
        <f>E266*E245+F266*F245+G266*G245+H266*H245+I266*I245+J266*J245+K266*K245+L266*L245+M266*M245+N266*N245+O266*O245+P266*P245+Q266*Q245+R266*R245+S266*S245+T266*T245+U266*U245+V266*V245+W266*W245+X266*X245+Y266*Y245+Z266*Z245+AA266*AA245+AB266*AB245+AC266*AC245+AD266*AD245+AE266*AE245+AF266*AF245+AG266*AG245+AH266*AH245+AI266*AI245+AJ266*AJ245+AK266*AK245+AL266*AL245+AM266*AM245+AN266*AN245+AO266*AO245+AP266*AP245+AQ266*AQ245+AR266*AR245+AS266*AS245+AT266*AT245+AU266*AU245+AV266*AV245+AW266*AW245+AX266*AX245+AY266*AY245+AZ266*AZ245+BA266*BA245+BB266*BB245+BC266*BC245+BD266*BD245+BE266*BE245+BF266*BF245+BG266*BG245+BH266*BH245+BI266*BI245+BJ266*BJ245+BK266*BK245+BL266*BL245+BM266*BM245+BN266*BN245+BO266*BO245+BP266*BP245+BQ266*BQ245+BR266*BR245+BS266*BS245+BT266*BT245+BU266*BU245+BV266*BV245+BW266*BW245+BX266*BX245+BY266*BY245+BZ266*BZ245+CA266*CA245+CB266*CB245+CC266*CC245+CD266*CD245+CE266*CE245+CF266*CF245+CG266*CG245+CH266*CH245+CI266*CI245+CJ266*CJ245+CK266*CK245+CL266*CL245+CM266*CM245+CN266*CN245+CO266*CO245+CP266*CP245+CQ266*CQ245+CR266*CR245+CS266*CS245</f>
        <v>0</v>
      </c>
      <c r="CW245" s="2502">
        <f>E267*E245+F267*F245+G267*G245+H267*H245+I267*I245+J267*J245+K267*K245+L267*L245+M267*M245+N267*N245+O267*O245+P267*P245+Q267*Q245+R267*R245+S267*S245+T267*T245+U267*U245+V267*V245+W267*W245+X267*X245+Y267*Y245+Z267*Z245+AA267*AA245+AB267*AB245+AC267*AC245+AD267*AD245+AE267*AE245+AF267*AF245+AG267*AG245+AH267*AH245+AI267*AI245+AJ267*AJ245+AK267*AK245+AL267*AL245+AM267*AM245+AN267*AN245+AO267*AO245+AP267*AP245+AQ267*AQ245+AR267*AR245+AS267*AS245+AT267*AT245+AU267*AU245+AV267*AV245+AW267*AW245+AX267*AX245+AY267*AY245+AZ267*AZ245+BA267*BA245+BB267*BB245+BC267*BC245+BD267*BD245+BE267*BE245+BF267*BF245+BG267*BG245+BH267*BH245+BI267*BI245+BJ267*BJ245+BK267*BK245+BL267*BL245+BM267*BM245+BN267*BN245+BO267*BO245+BP267*BP245+BQ267*BQ245+BR267*BR245+BS267*BS245+BT267*BT245+BU267*BU245+BV267*BV245+BW267*BW245+BX267*BX245+BY267*BY245+BZ267*BZ245+CA267*CA245+CB267*CB245+CC267*CC245+CD267*CD245+CE267*CE245+CF267*CF245+CG267*CG245+CH267*CH245+CI267*CI245+CJ267*CJ245+CK267*CK245+CL267*CL245+CM267*CM245+CN267*CN245+CO267*CO245+CP267*CP245+CQ267*CQ245+CR267*CR245+CS267*CS245</f>
        <v>0</v>
      </c>
      <c r="CX245" s="2503">
        <f>E268*E245+F268*F245+G268*G245+H268*H245+I268*I245+J268*J245+K268*K245+L268*L245+M268*M245+N268*N245+O268*O245+P268*P245+Q268*Q245+R268*R245+S268*S245+T268*T245+U268*U245+V268*V245+W268*W245+X268*X245+Y268*Y245+Z268*Z245+AA268*AA245+AB268*AB245+AC268*AC245+AD268*AD245+AE268*AE245+AF268*AF245+AG268*AG245+AH268*AH245+AI268*AI245+AJ268*AJ245+AK268*AK245+AL268*AL245+AM268*AM245+AN268*AN245+AO268*AO245+AP268*AP245+AQ268*AQ245+AR268*AR245+AS268*AS245+AT268*AT245+AU268*AU245+AV268*AV245+AW268*AW245+AX268*AX245+AY268*AY245+AZ268*AZ245+BA268*BA245+BB268*BB245+BC268*BC245+BD268*BD245+BE268*BE245+BF268*BF245+BG268*BG245+BH268*BH245+BI268*BI245+BJ268*BJ245+BK268*BK245+BL268*BL245+BM268*BM245+BN268*BN245+BO268*BO245+BP268*BP245+BQ268*BQ245+BR268*BR245+BS268*BS245+BT268*BT245+BU268*BU245+BV268*BV245+BW268*BW245+BX268*BX245+BY268*BY245+BZ268*BZ245+CA268*CA245+CB268*CB245+CC268*CC245+CD268*CD245+CE268*CE245+CF268*CF245+CG268*CG245+CH268*CH245+CI268*CI245+CJ268*CJ245+CK268*CK245+CL268*CL245+CM268*CM245+CN268*CN245+CO268*CO245+CP268*CP245+CQ268*CQ245+CR268*CR245+CS268*CS245</f>
        <v>0</v>
      </c>
      <c r="CY245" s="2504">
        <f>E269*E245+F269*F245+G269*G245+H269*H245+I269*I245+J269*J245+K269*K245+L269*L245+M269*M245+N269*N245+O269*O245+P269*P245+Q269*Q245+R269*R245+S269*S245+T269*T245+U269*U245+V269*V245+W269*W245+X269*X245+Y269*Y245+Z269*Z245+AA269*AA245+AB269*AB245+AC269*AC245+AD269*AD245+AE269*AE245+AF269*AF245+AG269*AG245+AH269*AH245+AI269*AI245+AJ269*AJ245+AK269*AK245+AL269*AL245+AM269*AM245+AN269*AN245+AO269*AO245+AP269*AP245+AQ269*AQ245+AR269*AR245+AS269*AS245+AT269*AT245+AU269*AU245+AV269*AV245+AW269*AW245+AX269*AX245+AY269*AY245+AZ269*AZ245+BA269*BA245+BB269*BB245+BC269*BC245+BD269*BD245+BE269*BE245+BF269*BF245+BG269*BG245+BH269*BH245+BI269*BI245+BJ269*BJ245+BK269*BK245+BL269*BL245+BM269*BM245+BN269*BN245+BO269*BO245+BP269*BP245+BQ269*BQ245+BR269*BR245+BS269*BS245+BT269*BT245+BU269*BU245+BV269*BV245+BW269*BW245+BX269*BX245+BY269*BY245+BZ269*BZ245+CA269*CA245+CB269*CB245+CC269*CC245+CD269*CD245+CE269*CE245+CF269*CF245+CG269*CG245+CH269*CH245+CI269*CI245+CJ269*CJ245+CK269*CK245+CL269*CL245+CM269*CM245+CN269*CN245+CO269*CO245+CP269*CP245+CQ269*CQ245+CR269*CR245+CS269*CS245</f>
        <v>0</v>
      </c>
      <c r="CZ245" s="2504">
        <f>E270*E245+F270*F245+G270*G245+H270*H245+I270*I245+J270*J245+K270*K245+L270*L245+M270*M245+N270*N245+O270*O245+P270*P245+Q270*Q245+R270*R245+S270*S245+T270*T245+U270*U245+V270*V245+W270*W245+X270*X245+Y270*Y245+Z270*Z245+AA270*AA245+AB270*AB245+AC270*AC245+AD270*AD245+AE270*AE245+AF270*AF245+AG270*AG245+AH270*AH245+AI270*AI245+AJ270*AJ245+AK270*AK245+AL270*AL245+AM270*AM245+AN270*AN245+AO270*AO245+AP270*AP245+AQ270*AQ245+AR270*AR245+AS270*AS245+AT270*AT245+AU270*AU245+AV270*AV245+AW270*AW245+AX270*AX245+AY270*AY245+AZ270*AZ245+BA270*BA245+BB270*BB245+BC270*BC245+BD270*BD245+BE270*BE245+BF270*BF245+BG270*BG245+BH270*BH245+BI270*BI245+BJ270*BJ245+BK270*BK245+BL270*BL245+BM270*BM245+BN270*BN245+BO270*BO245+BP270*BP245+BQ270*BQ245+BR270*BR245+BS270*BS245+BT270*BT245+BU270*BU245+BV270*BV245+BW270*BW245+BX270*BX245+BY270*BY245+BZ270*BZ245+CA270*CA245+CB270*CB245+CC270*CC245+CD270*CD245+CE270*CE245+CF270*CF245+CG270*CG245+CH270*CH245+CI270*CI245+CJ270*CJ245+CK270*CK245+CL270*CL245+CM270*CM245+CN270*CN245+CO270*CO245+CP270*CP245+CQ270*CQ245+CR270*CR245+CS270*CS245</f>
        <v>0</v>
      </c>
      <c r="DA245" s="2504">
        <f>E271*E245+F271*F245+G271*G245+H271*H245+I271*I245+J271*J245+K271*K245+L271*L245+M271*M245+N271*N245+O271*O245+P271*P245+Q271*Q245+R271*R245+S271*S245+T271*T245+U271*U245+V271*V245+W271*W245+X271*X245+Y271*Y245+Z271*Z245+AA271*AA245+AB271*AB245+AC271*AC245+AD271*AD245+AE271*AE245+AF271*AF245+AG271*AG245+AH271*AH245+AI271*AI245+AJ271*AJ245+AK271*AK245+AL271*AL245+AM271*AM245+AN271*AN245+AO271*AO245+AP271*AP245+AQ271*AQ245+AR271*AR245+AS271*AS245+AT271*AT245+AU271*AU245+AV271*AV245+AW271*AW245+AX271*AX245+AY271*AY245+AZ271*AZ245+BA271*BA245+BB271*BB245+BC271*BC245+BD271*BD245+BE271*BE245+BF271*BF245+BG271*BG245+BH271*BH245+BI271*BI245+BJ271*BJ245+BK271*BK245+BL271*BL245+BM271*BM245+BN271*BN245+BO271*BO245+BP271*BP245+BQ271*BQ245+BR271*BR245+BS271*BS245+BT271*BT245+BU271*BU245+BV271*BV245+BW271*BW245+BX271*BX245+BY271*BY245+BZ271*BZ245+CA271*CA245+CB271*CB245+CC271*CC245+CD271*CD245+CE271*CE245+CF271*CF245+CG271*CG245+CH271*CH245+CI271*CI245+CJ271*CJ245+CK271*CK245+CL271*CL245+CM271*CM245+CN271*CN245+CO271*CO245+CP271*CP245+CQ271*CQ245+CR271*CR245+CS271*CS245</f>
        <v>0</v>
      </c>
      <c r="DB245" s="2504">
        <f>E272*E245+F272*F245+G272*G245+H272*H245+I272*I245+J272*J245+K272*K245+L272*L245+M272*M245+N272*N245+O272*O245+P272*P245+Q272*Q245+R272*R245+S272*S245+T272*T245+U272*U245+V272*V245+W272*W245+X272*X245+Y272*Y245+Z272*Z245+AA272*AA245+AB272*AB245+AC272*AC245+AD272*AD245+AE272*AE245+AF272*AF245+AG272*AG245+AH272*AH245+AI272*AI245+AJ272*AJ245+AK272*AK245+AL272*AL245+AM272*AM245+AN272*AN245+AO272*AO245+AP272*AP245+AQ272*AQ245+AR272*AR245+AS272*AS245+AT272*AT245+AU272*AU245+AV272*AV245+AW272*AW245+AX272*AX245+AY272*AY245+AZ272*AZ245+BA272*BA245+BB272*BB245+BC272*BC245+BD272*BD245+BE272*BE245+BF272*BF245+BG272*BG245+BH272*BH245+BI272*BI245+BJ272*BJ245+BK272*BK245+BL272*BL245+BM272*BM245+BN272*BN245+BO272*BO245+BP272*BP245+BQ272*BQ245+BR272*BR245+BS272*BS245+BT272*BT245+BU272*BU245+BV272*BV245+BW272*BW245+BX272*BX245+BY272*BY245+BZ272*BZ245+CA272*CA245+CB272*CB245+CC272*CC245+CD272*CD245+CE272*CE245+CF272*CF245+CG272*CG245+CH272*CH245+CI272*CI245+CJ272*CJ245+CK272*CK245+CL272*CL245+CM272*CM245+CN272*CN245+CO272*CO245+CP272*CP245+CQ272*CQ245+CR272*CR245+CS272*CS245</f>
        <v>0</v>
      </c>
      <c r="DC245" s="2504">
        <f>E273*E245+F273*F245+G273*G245+H273*H245+I273*I245+J273*J245+K273*K245+L273*L245+M273*M245+N273*N245+O273*O245+P273*P245+Q273*Q245+R273*R245+S273*S245+T273*T245+U273*U245+V273*V245+W273*W245+X273*X245+Y273*Y245+Z273*Z245+AA273*AA245+AB273*AB245+AC273*AC245+AD273*AD245+AE273*AE245+AF273*AF245+AG273*AG245+AH273*AH245+AI273*AI245+AJ273*AJ245+AK273*AK245+AL273*AL245+AM273*AM245+AN273*AN245+AO273*AO245+AP273*AP245+AQ273*AQ245+AR273*AR245+AS273*AS245+AT273*AT245+AU273*AU245+AV273*AV245+AW273*AW245+AX273*AX245+AY273*AY245+AZ273*AZ245+BA273*BA245+BB273*BB245+BC273*BC245+BD273*BD245+BE273*BE245+BF273*BF245+BG273*BG245+BH273*BH245+BI273*BI245+BJ273*BJ245+BK273*BK245+BL273*BL245+BM273*BM245+BN273*BN245+BO273*BO245+BP273*BP245+BQ273*BQ245+BR273*BR245+BS273*BS245+BT273*BT245+BU273*BU245+BV273*BV245+BW273*BW245+BX273*BX245+BY273*BY245+BZ273*BZ245+CA273*CA245+CB273*CB245+CC273*CC245+CD273*CD245+CE273*CE245+CF273*CF245+CG273*CG245+CH273*CH245+CI273*CI245+CJ273*CJ245+CK273*CK245+CL273*CL245+CM273*CM245+CN273*CN245+CO273*CO245+CP273*CP245+CQ273*CQ245+CR273*CR245+CS273*CS245</f>
        <v>0</v>
      </c>
      <c r="DD245" s="2504">
        <f>E274*E245+F274*F245+G274*G245+H274*H245+I274*I245+J274*J245+K274*K245+L274*L245+M274*M245+N274*N245+O274*O245+P274*P245+Q274*Q245+R274*R245+S274*S245+T274*T245+U274*U245+V274*V245+W274*W245+X274*X245+Y274*Y245+Z274*Z245+AA274*AA245+AB274*AB245+AC274*AC245+AD274*AD245+AE274*AE245+AF274*AF245+AG274*AG245+AH274*AH245+AI274*AI245+AJ274*AJ245+AK274*AK245+AL274*AL245+AM274*AM245+AN274*AN245+AO274*AO245+AP274*AP245+AQ274*AQ245+AR274*AR245+AS274*AS245+AT274*AT245+AU274*AU245+AV274*AV245+AW274*AW245+AX274*AX245+AY274*AY245+AZ274*AZ245+BA274*BA245+BB274*BB245+BC274*BC245+BD274*BD245+BE274*BE245+BF274*BF245+BG274*BG245+BH274*BH245+BI274*BI245+BJ274*BJ245+BK274*BK245+BL274*BL245+BM274*BM245+BN274*BN245+BO274*BO245+BP274*BP245+BQ274*BQ245+BR274*BR245+BS274*BS245+BT274*BT245+BU274*BU245+BV274*BV245+BW274*BW245+BX274*BX245+BY274*BY245+BZ274*BZ245+CA274*CA245+CB274*CB245+CC274*CC245+CD274*CD245+CE274*CE245+CF274*CF245+CG274*CG245+CH274*CH245+CI274*CI245+CJ274*CJ245+CK274*CK245+CL274*CL245+CM274*CM245+CN274*CN245+CO274*CO245+CP274*CP245+CQ274*CQ245+CR274*CR245+CS274*CS245</f>
        <v>0</v>
      </c>
      <c r="DE245" s="2504">
        <f>E275*E245+F275*F245+G275*G245+H275*H245+I275*I245+J275*J245+K275*K245+L275*L245+M275*M245+N275*N245+O275*O245+P275*P245+Q275*Q245+R275*R245+S275*S245+T275*T245+U275*U245+V275*V245+W275*W245+X275*X245+Y275*Y245+Z275*Z245+AA275*AA245+AB275*AB245+AC275*AC245+AD275*AD245+AE275*AE245+AF275*AF245+AG275*AG245+AH275*AH245+AI275*AI245+AJ275*AJ245+AK275*AK245+AL275*AL245+AM275*AM245+AN275*AN245+AO275*AO245+AP275*AP245+AQ275*AQ245+AR275*AR245+AS275*AS245+AT275*AT245+AU275*AU245+AV275*AV245+AW275*AW245+AX275*AX245+AY275*AY245+AZ275*AZ245+BA275*BA245+BB275*BB245+BC275*BC245+BD275*BD245+BE275*BE245+BF275*BF245+BG275*BG245+BH275*BH245+BI275*BI245+BJ275*BJ245+BK275*BK245+BL275*BL245+BM275*BM245+BN275*BN245+BO275*BO245+BP275*BP245+BQ275*BQ245+BR275*BR245+BS275*BS245+BT275*BT245+BU275*BU245+BV275*BV245+BW275*BW245+BX275*BX245+BY275*BY245+BZ275*BZ245+CA275*CA245+CB275*CB245+CC275*CC245+CD275*CD245+CE275*CE245+CF275*CF245+CG275*CG245+CH275*CH245+CI275*CI245+CJ275*CJ245+CK275*CK245+CL275*CL245+CM275*CM245+CN275*CN245+CO275*CO245+CP275*CP245+CQ275*CQ245+CR275*CR245+CS275*CS245</f>
        <v>0</v>
      </c>
      <c r="DF245" s="2504">
        <f>E276*E245+F276*F245+G276*G245+H276*H245+I276*I245+J276*J245+K276*K245+L276*L245+M276*M245+N276*N245+O276*O245+P276*P245+Q276*Q245+R276*R245+S276*S245+T276*T245+U276*U245+V276*V245+W276*W245+X276*X245+Y276*Y245+Z276*Z245+AA276*AA245+AB276*AB245+AC276*AC245+AD276*AD245+AE276*AE245+AF276*AF245+AG276*AG245+AH276*AH245+AI276*AI245+AJ276*AJ245+AK276*AK245+AL276*AL245+AM276*AM245+AN276*AN245+AO276*AO245+AP276*AP245+AQ276*AQ245+AR276*AR245+AS276*AS245+AT276*AT245+AU276*AU245+AV276*AV245+AW276*AW245+AX276*AX245+AY276*AY245+AZ276*AZ245+BA276*BA245+BB276*BB245+BC276*BC245+BD276*BD245+BE276*BE245+BF276*BF245+BG276*BG245+BH276*BH245+BI276*BI245+BJ276*BJ245+BK276*BK245+BL276*BL245+BM276*BM245+BN276*BN245+BO276*BO245+BP276*BP245+BQ276*BQ245+BR276*BR245+BS276*BS245+BT276*BT245+BU276*BU245+BV276*BV245+BW276*BW245+BX276*BX245+BY276*BY245+BZ276*BZ245+CA276*CA245+CB276*CB245+CC276*CC245+CD276*CD245+CE276*CE245+CF276*CF245+CG276*CG245+CH276*CH245+CI276*CI245+CJ276*CJ245+CK276*CK245+CL276*CL245+CM276*CM245+CN276*CN245+CO276*CO245+CP276*CP245+CQ276*CQ245+CR276*CR245+CS276*CS245</f>
        <v>0</v>
      </c>
    </row>
    <row r="246" spans="2:110" x14ac:dyDescent="0.25">
      <c r="B246" s="1534">
        <v>104</v>
      </c>
      <c r="C246" s="1472" t="s">
        <v>3847</v>
      </c>
      <c r="D246" s="1410" t="s">
        <v>4219</v>
      </c>
      <c r="E246" s="1472">
        <f>0</f>
        <v>0</v>
      </c>
      <c r="F246" s="1472">
        <f>0</f>
        <v>0</v>
      </c>
      <c r="G246" s="1472">
        <f>0</f>
        <v>0</v>
      </c>
      <c r="H246" s="1472">
        <f>0</f>
        <v>0</v>
      </c>
      <c r="I246" s="1472">
        <f>0</f>
        <v>0</v>
      </c>
      <c r="J246" s="1472">
        <f>0</f>
        <v>0</v>
      </c>
      <c r="K246" s="1472">
        <f>0</f>
        <v>0</v>
      </c>
      <c r="L246" s="1472">
        <f>0</f>
        <v>0</v>
      </c>
      <c r="M246" s="1472">
        <f>0</f>
        <v>0</v>
      </c>
      <c r="N246" s="1472">
        <f>0</f>
        <v>0</v>
      </c>
      <c r="O246" s="1472">
        <f>0</f>
        <v>0</v>
      </c>
      <c r="P246" s="1472">
        <f>0</f>
        <v>0</v>
      </c>
      <c r="Q246" s="1472">
        <f>0</f>
        <v>0</v>
      </c>
      <c r="R246" s="1472">
        <f>0</f>
        <v>0</v>
      </c>
      <c r="S246" s="1472">
        <f>0</f>
        <v>0</v>
      </c>
      <c r="T246" s="1472">
        <f>0</f>
        <v>0</v>
      </c>
      <c r="U246" s="1472">
        <f>0</f>
        <v>0</v>
      </c>
      <c r="V246" s="1472">
        <f>0</f>
        <v>0</v>
      </c>
      <c r="W246" s="1472">
        <f>0</f>
        <v>0</v>
      </c>
      <c r="X246" s="1472">
        <f>0</f>
        <v>0</v>
      </c>
      <c r="Y246" s="1472">
        <f>0</f>
        <v>0</v>
      </c>
      <c r="Z246" s="1472">
        <f>0</f>
        <v>0</v>
      </c>
      <c r="AA246" s="1472">
        <f>0</f>
        <v>0</v>
      </c>
      <c r="AB246" s="1472">
        <f>0</f>
        <v>0</v>
      </c>
      <c r="AC246" s="1472">
        <f>0</f>
        <v>0</v>
      </c>
      <c r="AD246" s="1472">
        <f>0</f>
        <v>0</v>
      </c>
      <c r="AE246" s="1472">
        <f>0</f>
        <v>0</v>
      </c>
      <c r="AF246" s="1472">
        <f>0</f>
        <v>0</v>
      </c>
      <c r="AG246" s="1472">
        <f>0</f>
        <v>0</v>
      </c>
      <c r="AH246" s="1472">
        <f>0</f>
        <v>0</v>
      </c>
      <c r="AI246" s="1472">
        <f>0</f>
        <v>0</v>
      </c>
      <c r="AJ246" s="1472">
        <f>0</f>
        <v>0</v>
      </c>
      <c r="AK246" s="1472">
        <f>0</f>
        <v>0</v>
      </c>
      <c r="AL246" s="1472">
        <f>0</f>
        <v>0</v>
      </c>
      <c r="AM246" s="1472">
        <f>0</f>
        <v>0</v>
      </c>
      <c r="AN246" s="1472">
        <f>0</f>
        <v>0</v>
      </c>
      <c r="AO246" s="1472">
        <f>0</f>
        <v>0</v>
      </c>
      <c r="AP246" s="1472">
        <f>0</f>
        <v>0</v>
      </c>
      <c r="AQ246" s="1472">
        <f>0</f>
        <v>0</v>
      </c>
      <c r="AR246" s="1472">
        <f>0</f>
        <v>0</v>
      </c>
      <c r="AS246" s="1472">
        <f>0</f>
        <v>0</v>
      </c>
      <c r="AT246" s="1472">
        <f>0</f>
        <v>0</v>
      </c>
      <c r="AU246" s="1472">
        <f>0</f>
        <v>0</v>
      </c>
      <c r="AV246" s="1472">
        <f>0</f>
        <v>0</v>
      </c>
      <c r="AW246" s="1472">
        <f>0</f>
        <v>0</v>
      </c>
      <c r="AX246" s="1472">
        <f>0</f>
        <v>0</v>
      </c>
      <c r="AY246" s="1472">
        <f>0</f>
        <v>0</v>
      </c>
      <c r="AZ246" s="1472">
        <f>0</f>
        <v>0</v>
      </c>
      <c r="BA246" s="1472">
        <f>0</f>
        <v>0</v>
      </c>
      <c r="BB246" s="1472">
        <f>0</f>
        <v>0</v>
      </c>
      <c r="BC246" s="1472">
        <f>0</f>
        <v>0</v>
      </c>
      <c r="BD246" s="1472">
        <f>0</f>
        <v>0</v>
      </c>
      <c r="BE246" s="1472">
        <f>0</f>
        <v>0</v>
      </c>
      <c r="BF246" s="1472">
        <f>0</f>
        <v>0</v>
      </c>
      <c r="BG246" s="1472">
        <f>0</f>
        <v>0</v>
      </c>
      <c r="BH246" s="1472">
        <f>0</f>
        <v>0</v>
      </c>
      <c r="BI246" s="1472">
        <f>0</f>
        <v>0</v>
      </c>
      <c r="BJ246" s="1472">
        <f>0</f>
        <v>0</v>
      </c>
      <c r="BK246" s="1472">
        <f>0</f>
        <v>0</v>
      </c>
      <c r="BL246" s="1472">
        <f>0</f>
        <v>0</v>
      </c>
      <c r="BM246" s="1472">
        <f>0</f>
        <v>0</v>
      </c>
      <c r="BN246" s="1472">
        <f>0</f>
        <v>0</v>
      </c>
      <c r="BO246" s="1472">
        <f>0</f>
        <v>0</v>
      </c>
      <c r="BP246" s="1472">
        <f>0</f>
        <v>0</v>
      </c>
      <c r="BQ246" s="1472">
        <f>0</f>
        <v>0</v>
      </c>
      <c r="BR246" s="1472">
        <f>0</f>
        <v>0</v>
      </c>
      <c r="BS246" s="1472">
        <f>0</f>
        <v>0</v>
      </c>
      <c r="BT246" s="1472">
        <f>0</f>
        <v>0</v>
      </c>
      <c r="BU246" s="1591">
        <f>0</f>
        <v>0</v>
      </c>
      <c r="BV246" s="1472">
        <f>0</f>
        <v>0</v>
      </c>
      <c r="BW246" s="2373">
        <f>0</f>
        <v>0</v>
      </c>
      <c r="BX246" s="2373">
        <f>0</f>
        <v>0</v>
      </c>
      <c r="BY246" s="2373">
        <f>0</f>
        <v>0</v>
      </c>
      <c r="BZ246" s="2373">
        <f>0</f>
        <v>0</v>
      </c>
      <c r="CA246" s="1472">
        <f>0</f>
        <v>0</v>
      </c>
      <c r="CB246" s="1472">
        <f>1</f>
        <v>1</v>
      </c>
      <c r="CC246" s="1472">
        <f>0</f>
        <v>0</v>
      </c>
      <c r="CD246" s="1472">
        <f>0</f>
        <v>0</v>
      </c>
      <c r="CE246" s="1472">
        <f>0</f>
        <v>0</v>
      </c>
      <c r="CF246" s="1472">
        <f>0</f>
        <v>0</v>
      </c>
      <c r="CG246" s="1472">
        <f>0</f>
        <v>0</v>
      </c>
      <c r="CH246" s="1472">
        <f>0</f>
        <v>0</v>
      </c>
      <c r="CI246" s="1472">
        <f>0</f>
        <v>0</v>
      </c>
      <c r="CJ246" s="1472">
        <f>0</f>
        <v>0</v>
      </c>
      <c r="CK246" s="1472">
        <f>0</f>
        <v>0</v>
      </c>
      <c r="CL246" s="1472">
        <f>0</f>
        <v>0</v>
      </c>
      <c r="CM246" s="1472">
        <f>0</f>
        <v>0</v>
      </c>
      <c r="CN246" s="1472">
        <f>0</f>
        <v>0</v>
      </c>
      <c r="CO246" s="1472">
        <f>0</f>
        <v>0</v>
      </c>
      <c r="CP246" s="1472">
        <f>0</f>
        <v>0</v>
      </c>
      <c r="CQ246" s="1472">
        <f>0</f>
        <v>0</v>
      </c>
      <c r="CR246" s="1472">
        <f>0</f>
        <v>0</v>
      </c>
      <c r="CS246" s="1472">
        <f>0</f>
        <v>0</v>
      </c>
      <c r="CT246" s="2478">
        <f>q_ALPHA_O2*X_VSS*d_ampALPHA*(S_ALPHA_sat-S_ALPHA)</f>
        <v>1.3343658666002751</v>
      </c>
      <c r="CV246" s="2502">
        <f>E266*E246+F266*F246+G266*G246+H266*H246+I266*I246+J266*J246+K266*K246+L266*L246+M266*M246+N266*N246+O266*O246+P266*P246+Q266*Q246+R266*R246+S266*S246+T266*T246+U266*U246+V266*V246+W266*W246+X266*X246+Y266*Y246+Z266*Z246+AA266*AA246+AB266*AB246+AC266*AC246+AD266*AD246+AE266*AE246+AF266*AF246+AG266*AG246+AH266*AH246+AI266*AI246+AJ266*AJ246+AK266*AK246+AL266*AL246+AM266*AM246+AN266*AN246+AO266*AO246+AP266*AP246+AQ266*AQ246+AR266*AR246+AS266*AS246+AT266*AT246+AU266*AU246+AV266*AV246+AW266*AW246+AX266*AX246+AY266*AY246+AZ266*AZ246+BA266*BA246+BB266*BB246+BC266*BC246+BD266*BD246+BE266*BE246+BF266*BF246+BG266*BG246+BH266*BH246+BI266*BI246+BJ266*BJ246+BK266*BK246+BL266*BL246+BM266*BM246+BN266*BN246+BO266*BO246+BP266*BP246+BQ266*BQ246+BR266*BR246+BS266*BS246+BT266*BT246+BU266*BU246+BV266*BV246+BW266*BW246+BX266*BX246+BY266*BY246+BZ266*BZ246+CA266*CA246+CB266*CB246+CC266*CC246+CD266*CD246+CE266*CE246+CF266*CF246+CG266*CG246+CH266*CH246+CI266*CI246+CJ266*CJ246+CK266*CK246+CL266*CL246+CM266*CM246+CN266*CN246+CO266*CO246+CP266*CP246+CQ266*CQ246+CR266*CR246+CS266*CS246</f>
        <v>0</v>
      </c>
      <c r="CW246" s="2502">
        <f>E267*E246+F267*F246+G267*G246+H267*H246+I267*I246+J267*J246+K267*K246+L267*L246+M267*M246+N267*N246+O267*O246+P267*P246+Q267*Q246+R267*R246+S267*S246+T267*T246+U267*U246+V267*V246+W267*W246+X267*X246+Y267*Y246+Z267*Z246+AA267*AA246+AB267*AB246+AC267*AC246+AD267*AD246+AE267*AE246+AF267*AF246+AG267*AG246+AH267*AH246+AI267*AI246+AJ267*AJ246+AK267*AK246+AL267*AL246+AM267*AM246+AN267*AN246+AO267*AO246+AP267*AP246+AQ267*AQ246+AR267*AR246+AS267*AS246+AT267*AT246+AU267*AU246+AV267*AV246+AW267*AW246+AX267*AX246+AY267*AY246+AZ267*AZ246+BA267*BA246+BB267*BB246+BC267*BC246+BD267*BD246+BE267*BE246+BF267*BF246+BG267*BG246+BH267*BH246+BI267*BI246+BJ267*BJ246+BK267*BK246+BL267*BL246+BM267*BM246+BN267*BN246+BO267*BO246+BP267*BP246+BQ267*BQ246+BR267*BR246+BS267*BS246+BT267*BT246+BU267*BU246+BV267*BV246+BW267*BW246+BX267*BX246+BY267*BY246+BZ267*BZ246+CA267*CA246+CB267*CB246+CC267*CC246+CD267*CD246+CE267*CE246+CF267*CF246+CG267*CG246+CH267*CH246+CI267*CI246+CJ267*CJ246+CK267*CK246+CL267*CL246+CM267*CM246+CN267*CN246+CO267*CO246+CP267*CP246+CQ267*CQ246+CR267*CR246+CS267*CS246</f>
        <v>0</v>
      </c>
      <c r="CX246" s="2503">
        <f>E268*E246+F268*F246+G268*G246+H268*H246+I268*I246+J268*J246+K268*K246+L268*L246+M268*M246+N268*N246+O268*O246+P268*P246+Q268*Q246+R268*R246+S268*S246+T268*T246+U268*U246+V268*V246+W268*W246+X268*X246+Y268*Y246+Z268*Z246+AA268*AA246+AB268*AB246+AC268*AC246+AD268*AD246+AE268*AE246+AF268*AF246+AG268*AG246+AH268*AH246+AI268*AI246+AJ268*AJ246+AK268*AK246+AL268*AL246+AM268*AM246+AN268*AN246+AO268*AO246+AP268*AP246+AQ268*AQ246+AR268*AR246+AS268*AS246+AT268*AT246+AU268*AU246+AV268*AV246+AW268*AW246+AX268*AX246+AY268*AY246+AZ268*AZ246+BA268*BA246+BB268*BB246+BC268*BC246+BD268*BD246+BE268*BE246+BF268*BF246+BG268*BG246+BH268*BH246+BI268*BI246+BJ268*BJ246+BK268*BK246+BL268*BL246+BM268*BM246+BN268*BN246+BO268*BO246+BP268*BP246+BQ268*BQ246+BR268*BR246+BS268*BS246+BT268*BT246+BU268*BU246+BV268*BV246+BW268*BW246+BX268*BX246+BY268*BY246+BZ268*BZ246+CA268*CA246+CB268*CB246+CC268*CC246+CD268*CD246+CE268*CE246+CF268*CF246+CG268*CG246+CH268*CH246+CI268*CI246+CJ268*CJ246+CK268*CK246+CL268*CL246+CM268*CM246+CN268*CN246+CO268*CO246+CP268*CP246+CQ268*CQ246+CR268*CR246+CS268*CS246</f>
        <v>0</v>
      </c>
      <c r="CY246" s="2504">
        <f>E269*E246+F269*F246+G269*G246+H269*H246+I269*I246+J269*J246+K269*K246+L269*L246+M269*M246+N269*N246+O269*O246+P269*P246+Q269*Q246+R269*R246+S269*S246+T269*T246+U269*U246+V269*V246+W269*W246+X269*X246+Y269*Y246+Z269*Z246+AA269*AA246+AB269*AB246+AC269*AC246+AD269*AD246+AE269*AE246+AF269*AF246+AG269*AG246+AH269*AH246+AI269*AI246+AJ269*AJ246+AK269*AK246+AL269*AL246+AM269*AM246+AN269*AN246+AO269*AO246+AP269*AP246+AQ269*AQ246+AR269*AR246+AS269*AS246+AT269*AT246+AU269*AU246+AV269*AV246+AW269*AW246+AX269*AX246+AY269*AY246+AZ269*AZ246+BA269*BA246+BB269*BB246+BC269*BC246+BD269*BD246+BE269*BE246+BF269*BF246+BG269*BG246+BH269*BH246+BI269*BI246+BJ269*BJ246+BK269*BK246+BL269*BL246+BM269*BM246+BN269*BN246+BO269*BO246+BP269*BP246+BQ269*BQ246+BR269*BR246+BS269*BS246+BT269*BT246+BU269*BU246+BV269*BV246+BW269*BW246+BX269*BX246+BY269*BY246+BZ269*BZ246+CA269*CA246+CB269*CB246+CC269*CC246+CD269*CD246+CE269*CE246+CF269*CF246+CG269*CG246+CH269*CH246+CI269*CI246+CJ269*CJ246+CK269*CK246+CL269*CL246+CM269*CM246+CN269*CN246+CO269*CO246+CP269*CP246+CQ269*CQ246+CR269*CR246+CS269*CS246</f>
        <v>0</v>
      </c>
      <c r="CZ246" s="2504">
        <f>E270*E246+F270*F246+G270*G246+H270*H246+I270*I246+J270*J246+K270*K246+L270*L246+M270*M246+N270*N246+O270*O246+P270*P246+Q270*Q246+R270*R246+S270*S246+T270*T246+U270*U246+V270*V246+W270*W246+X270*X246+Y270*Y246+Z270*Z246+AA270*AA246+AB270*AB246+AC270*AC246+AD270*AD246+AE270*AE246+AF270*AF246+AG270*AG246+AH270*AH246+AI270*AI246+AJ270*AJ246+AK270*AK246+AL270*AL246+AM270*AM246+AN270*AN246+AO270*AO246+AP270*AP246+AQ270*AQ246+AR270*AR246+AS270*AS246+AT270*AT246+AU270*AU246+AV270*AV246+AW270*AW246+AX270*AX246+AY270*AY246+AZ270*AZ246+BA270*BA246+BB270*BB246+BC270*BC246+BD270*BD246+BE270*BE246+BF270*BF246+BG270*BG246+BH270*BH246+BI270*BI246+BJ270*BJ246+BK270*BK246+BL270*BL246+BM270*BM246+BN270*BN246+BO270*BO246+BP270*BP246+BQ270*BQ246+BR270*BR246+BS270*BS246+BT270*BT246+BU270*BU246+BV270*BV246+BW270*BW246+BX270*BX246+BY270*BY246+BZ270*BZ246+CA270*CA246+CB270*CB246+CC270*CC246+CD270*CD246+CE270*CE246+CF270*CF246+CG270*CG246+CH270*CH246+CI270*CI246+CJ270*CJ246+CK270*CK246+CL270*CL246+CM270*CM246+CN270*CN246+CO270*CO246+CP270*CP246+CQ270*CQ246+CR270*CR246+CS270*CS246</f>
        <v>0</v>
      </c>
      <c r="DA246" s="2504">
        <f>E271*E246+F271*F246+G271*G246+H271*H246+I271*I246+J271*J246+K271*K246+L271*L246+M271*M246+N271*N246+O271*O246+P271*P246+Q271*Q246+R271*R246+S271*S246+T271*T246+U271*U246+V271*V246+W271*W246+X271*X246+Y271*Y246+Z271*Z246+AA271*AA246+AB271*AB246+AC271*AC246+AD271*AD246+AE271*AE246+AF271*AF246+AG271*AG246+AH271*AH246+AI271*AI246+AJ271*AJ246+AK271*AK246+AL271*AL246+AM271*AM246+AN271*AN246+AO271*AO246+AP271*AP246+AQ271*AQ246+AR271*AR246+AS271*AS246+AT271*AT246+AU271*AU246+AV271*AV246+AW271*AW246+AX271*AX246+AY271*AY246+AZ271*AZ246+BA271*BA246+BB271*BB246+BC271*BC246+BD271*BD246+BE271*BE246+BF271*BF246+BG271*BG246+BH271*BH246+BI271*BI246+BJ271*BJ246+BK271*BK246+BL271*BL246+BM271*BM246+BN271*BN246+BO271*BO246+BP271*BP246+BQ271*BQ246+BR271*BR246+BS271*BS246+BT271*BT246+BU271*BU246+BV271*BV246+BW271*BW246+BX271*BX246+BY271*BY246+BZ271*BZ246+CA271*CA246+CB271*CB246+CC271*CC246+CD271*CD246+CE271*CE246+CF271*CF246+CG271*CG246+CH271*CH246+CI271*CI246+CJ271*CJ246+CK271*CK246+CL271*CL246+CM271*CM246+CN271*CN246+CO271*CO246+CP271*CP246+CQ271*CQ246+CR271*CR246+CS271*CS246</f>
        <v>0</v>
      </c>
      <c r="DB246" s="2504">
        <f>E272*E246+F272*F246+G272*G246+H272*H246+I272*I246+J272*J246+K272*K246+L272*L246+M272*M246+N272*N246+O272*O246+P272*P246+Q272*Q246+R272*R246+S272*S246+T272*T246+U272*U246+V272*V246+W272*W246+X272*X246+Y272*Y246+Z272*Z246+AA272*AA246+AB272*AB246+AC272*AC246+AD272*AD246+AE272*AE246+AF272*AF246+AG272*AG246+AH272*AH246+AI272*AI246+AJ272*AJ246+AK272*AK246+AL272*AL246+AM272*AM246+AN272*AN246+AO272*AO246+AP272*AP246+AQ272*AQ246+AR272*AR246+AS272*AS246+AT272*AT246+AU272*AU246+AV272*AV246+AW272*AW246+AX272*AX246+AY272*AY246+AZ272*AZ246+BA272*BA246+BB272*BB246+BC272*BC246+BD272*BD246+BE272*BE246+BF272*BF246+BG272*BG246+BH272*BH246+BI272*BI246+BJ272*BJ246+BK272*BK246+BL272*BL246+BM272*BM246+BN272*BN246+BO272*BO246+BP272*BP246+BQ272*BQ246+BR272*BR246+BS272*BS246+BT272*BT246+BU272*BU246+BV272*BV246+BW272*BW246+BX272*BX246+BY272*BY246+BZ272*BZ246+CA272*CA246+CB272*CB246+CC272*CC246+CD272*CD246+CE272*CE246+CF272*CF246+CG272*CG246+CH272*CH246+CI272*CI246+CJ272*CJ246+CK272*CK246+CL272*CL246+CM272*CM246+CN272*CN246+CO272*CO246+CP272*CP246+CQ272*CQ246+CR272*CR246+CS272*CS246</f>
        <v>0</v>
      </c>
      <c r="DC246" s="2504">
        <f>E273*E246+F273*F246+G273*G246+H273*H246+I273*I246+J273*J246+K273*K246+L273*L246+M273*M246+N273*N246+O273*O246+P273*P246+Q273*Q246+R273*R246+S273*S246+T273*T246+U273*U246+V273*V246+W273*W246+X273*X246+Y273*Y246+Z273*Z246+AA273*AA246+AB273*AB246+AC273*AC246+AD273*AD246+AE273*AE246+AF273*AF246+AG273*AG246+AH273*AH246+AI273*AI246+AJ273*AJ246+AK273*AK246+AL273*AL246+AM273*AM246+AN273*AN246+AO273*AO246+AP273*AP246+AQ273*AQ246+AR273*AR246+AS273*AS246+AT273*AT246+AU273*AU246+AV273*AV246+AW273*AW246+AX273*AX246+AY273*AY246+AZ273*AZ246+BA273*BA246+BB273*BB246+BC273*BC246+BD273*BD246+BE273*BE246+BF273*BF246+BG273*BG246+BH273*BH246+BI273*BI246+BJ273*BJ246+BK273*BK246+BL273*BL246+BM273*BM246+BN273*BN246+BO273*BO246+BP273*BP246+BQ273*BQ246+BR273*BR246+BS273*BS246+BT273*BT246+BU273*BU246+BV273*BV246+BW273*BW246+BX273*BX246+BY273*BY246+BZ273*BZ246+CA273*CA246+CB273*CB246+CC273*CC246+CD273*CD246+CE273*CE246+CF273*CF246+CG273*CG246+CH273*CH246+CI273*CI246+CJ273*CJ246+CK273*CK246+CL273*CL246+CM273*CM246+CN273*CN246+CO273*CO246+CP273*CP246+CQ273*CQ246+CR273*CR246+CS273*CS246</f>
        <v>0</v>
      </c>
      <c r="DD246" s="2504">
        <f>E274*E246+F274*F246+G274*G246+H274*H246+I274*I246+J274*J246+K274*K246+L274*L246+M274*M246+N274*N246+O274*O246+P274*P246+Q274*Q246+R274*R246+S274*S246+T274*T246+U274*U246+V274*V246+W274*W246+X274*X246+Y274*Y246+Z274*Z246+AA274*AA246+AB274*AB246+AC274*AC246+AD274*AD246+AE274*AE246+AF274*AF246+AG274*AG246+AH274*AH246+AI274*AI246+AJ274*AJ246+AK274*AK246+AL274*AL246+AM274*AM246+AN274*AN246+AO274*AO246+AP274*AP246+AQ274*AQ246+AR274*AR246+AS274*AS246+AT274*AT246+AU274*AU246+AV274*AV246+AW274*AW246+AX274*AX246+AY274*AY246+AZ274*AZ246+BA274*BA246+BB274*BB246+BC274*BC246+BD274*BD246+BE274*BE246+BF274*BF246+BG274*BG246+BH274*BH246+BI274*BI246+BJ274*BJ246+BK274*BK246+BL274*BL246+BM274*BM246+BN274*BN246+BO274*BO246+BP274*BP246+BQ274*BQ246+BR274*BR246+BS274*BS246+BT274*BT246+BU274*BU246+BV274*BV246+BW274*BW246+BX274*BX246+BY274*BY246+BZ274*BZ246+CA274*CA246+CB274*CB246+CC274*CC246+CD274*CD246+CE274*CE246+CF274*CF246+CG274*CG246+CH274*CH246+CI274*CI246+CJ274*CJ246+CK274*CK246+CL274*CL246+CM274*CM246+CN274*CN246+CO274*CO246+CP274*CP246+CQ274*CQ246+CR274*CR246+CS274*CS246</f>
        <v>0</v>
      </c>
      <c r="DE246" s="2504">
        <f>E275*E246+F275*F246+G275*G246+H275*H246+I275*I246+J275*J246+K275*K246+L275*L246+M275*M246+N275*N246+O275*O246+P275*P246+Q275*Q246+R275*R246+S275*S246+T275*T246+U275*U246+V275*V246+W275*W246+X275*X246+Y275*Y246+Z275*Z246+AA275*AA246+AB275*AB246+AC275*AC246+AD275*AD246+AE275*AE246+AF275*AF246+AG275*AG246+AH275*AH246+AI275*AI246+AJ275*AJ246+AK275*AK246+AL275*AL246+AM275*AM246+AN275*AN246+AO275*AO246+AP275*AP246+AQ275*AQ246+AR275*AR246+AS275*AS246+AT275*AT246+AU275*AU246+AV275*AV246+AW275*AW246+AX275*AX246+AY275*AY246+AZ275*AZ246+BA275*BA246+BB275*BB246+BC275*BC246+BD275*BD246+BE275*BE246+BF275*BF246+BG275*BG246+BH275*BH246+BI275*BI246+BJ275*BJ246+BK275*BK246+BL275*BL246+BM275*BM246+BN275*BN246+BO275*BO246+BP275*BP246+BQ275*BQ246+BR275*BR246+BS275*BS246+BT275*BT246+BU275*BU246+BV275*BV246+BW275*BW246+BX275*BX246+BY275*BY246+BZ275*BZ246+CA275*CA246+CB275*CB246+CC275*CC246+CD275*CD246+CE275*CE246+CF275*CF246+CG275*CG246+CH275*CH246+CI275*CI246+CJ275*CJ246+CK275*CK246+CL275*CL246+CM275*CM246+CN275*CN246+CO275*CO246+CP275*CP246+CQ275*CQ246+CR275*CR246+CS275*CS246</f>
        <v>0</v>
      </c>
      <c r="DF246" s="2504">
        <f>E276*E246+F276*F246+G276*G246+H276*H246+I276*I246+J276*J246+K276*K246+L276*L246+M276*M246+N276*N246+O276*O246+P276*P246+Q276*Q246+R276*R246+S276*S246+T276*T246+U276*U246+V276*V246+W276*W246+X276*X246+Y276*Y246+Z276*Z246+AA276*AA246+AB276*AB246+AC276*AC246+AD276*AD246+AE276*AE246+AF276*AF246+AG276*AG246+AH276*AH246+AI276*AI246+AJ276*AJ246+AK276*AK246+AL276*AL246+AM276*AM246+AN276*AN246+AO276*AO246+AP276*AP246+AQ276*AQ246+AR276*AR246+AS276*AS246+AT276*AT246+AU276*AU246+AV276*AV246+AW276*AW246+AX276*AX246+AY276*AY246+AZ276*AZ246+BA276*BA246+BB276*BB246+BC276*BC246+BD276*BD246+BE276*BE246+BF276*BF246+BG276*BG246+BH276*BH246+BI276*BI246+BJ276*BJ246+BK276*BK246+BL276*BL246+BM276*BM246+BN276*BN246+BO276*BO246+BP276*BP246+BQ276*BQ246+BR276*BR246+BS276*BS246+BT276*BT246+BU276*BU246+BV276*BV246+BW276*BW246+BX276*BX246+BY276*BY246+BZ276*BZ246+CA276*CA246+CB276*CB246+CC276*CC246+CD276*CD246+CE276*CE246+CF276*CF246+CG276*CG246+CH276*CH246+CI276*CI246+CJ276*CJ246+CK276*CK246+CL276*CL246+CM276*CM246+CN276*CN246+CO276*CO246+CP276*CP246+CQ276*CQ246+CR276*CR246+CS276*CS246</f>
        <v>0</v>
      </c>
    </row>
    <row r="247" spans="2:110" x14ac:dyDescent="0.25">
      <c r="B247" s="1535">
        <v>105</v>
      </c>
      <c r="C247" s="575" t="s">
        <v>3848</v>
      </c>
      <c r="D247" s="576" t="s">
        <v>3088</v>
      </c>
      <c r="E247" s="511">
        <f>0</f>
        <v>0</v>
      </c>
      <c r="F247" s="511">
        <f>0</f>
        <v>0</v>
      </c>
      <c r="G247" s="511">
        <f>0</f>
        <v>0</v>
      </c>
      <c r="H247" s="511">
        <f>0</f>
        <v>0</v>
      </c>
      <c r="I247" s="511">
        <f>0</f>
        <v>0</v>
      </c>
      <c r="J247" s="511">
        <f>0</f>
        <v>0</v>
      </c>
      <c r="K247" s="511">
        <f>0</f>
        <v>0</v>
      </c>
      <c r="L247" s="511">
        <f>0</f>
        <v>0</v>
      </c>
      <c r="M247" s="511">
        <f>0</f>
        <v>0</v>
      </c>
      <c r="N247" s="511">
        <f>0</f>
        <v>0</v>
      </c>
      <c r="O247" s="511">
        <f>0</f>
        <v>0</v>
      </c>
      <c r="P247" s="511">
        <f>0</f>
        <v>0</v>
      </c>
      <c r="Q247" s="511">
        <f>0</f>
        <v>0</v>
      </c>
      <c r="R247" s="577">
        <f>0</f>
        <v>0</v>
      </c>
      <c r="S247" s="511">
        <f>0</f>
        <v>0</v>
      </c>
      <c r="T247" s="511">
        <f>0</f>
        <v>0</v>
      </c>
      <c r="U247" s="511">
        <f>0</f>
        <v>0</v>
      </c>
      <c r="V247" s="511">
        <f>0</f>
        <v>0</v>
      </c>
      <c r="W247" s="511">
        <f>0</f>
        <v>0</v>
      </c>
      <c r="X247" s="511">
        <f>0</f>
        <v>0</v>
      </c>
      <c r="Y247" s="511">
        <f>0</f>
        <v>0</v>
      </c>
      <c r="Z247" s="511">
        <f>0</f>
        <v>0</v>
      </c>
      <c r="AA247" s="511">
        <f>0</f>
        <v>0</v>
      </c>
      <c r="AB247" s="511">
        <f>0</f>
        <v>0</v>
      </c>
      <c r="AC247" s="511">
        <f>0</f>
        <v>0</v>
      </c>
      <c r="AD247" s="511">
        <f>0</f>
        <v>0</v>
      </c>
      <c r="AE247" s="511">
        <f>0</f>
        <v>0</v>
      </c>
      <c r="AF247" s="511">
        <f>0</f>
        <v>0</v>
      </c>
      <c r="AG247" s="511">
        <f>0</f>
        <v>0</v>
      </c>
      <c r="AH247" s="511">
        <f>0</f>
        <v>0</v>
      </c>
      <c r="AI247" s="511">
        <f>0</f>
        <v>0</v>
      </c>
      <c r="AJ247" s="511">
        <f>0</f>
        <v>0</v>
      </c>
      <c r="AK247" s="511">
        <f>0</f>
        <v>0</v>
      </c>
      <c r="AL247" s="511">
        <f>0</f>
        <v>0</v>
      </c>
      <c r="AM247" s="511">
        <f>0</f>
        <v>0</v>
      </c>
      <c r="AN247" s="511">
        <f>0</f>
        <v>0</v>
      </c>
      <c r="AO247" s="511">
        <f>0</f>
        <v>0</v>
      </c>
      <c r="AP247" s="511">
        <f>0</f>
        <v>0</v>
      </c>
      <c r="AQ247" s="511">
        <f>0</f>
        <v>0</v>
      </c>
      <c r="AR247" s="511">
        <f>0</f>
        <v>0</v>
      </c>
      <c r="AS247" s="511">
        <f>0</f>
        <v>0</v>
      </c>
      <c r="AT247" s="511">
        <f>0</f>
        <v>0</v>
      </c>
      <c r="AU247" s="511">
        <f>0</f>
        <v>0</v>
      </c>
      <c r="AV247" s="511">
        <f>1</f>
        <v>1</v>
      </c>
      <c r="AW247" s="511">
        <f>0</f>
        <v>0</v>
      </c>
      <c r="AX247" s="511">
        <f>0</f>
        <v>0</v>
      </c>
      <c r="AY247" s="511">
        <f>0</f>
        <v>0</v>
      </c>
      <c r="AZ247" s="511">
        <f>0</f>
        <v>0</v>
      </c>
      <c r="BA247" s="511">
        <f>0</f>
        <v>0</v>
      </c>
      <c r="BB247" s="511">
        <f>0</f>
        <v>0</v>
      </c>
      <c r="BC247" s="577">
        <f>0</f>
        <v>0</v>
      </c>
      <c r="BD247" s="577">
        <f>0</f>
        <v>0</v>
      </c>
      <c r="BE247" s="577">
        <f>0</f>
        <v>0</v>
      </c>
      <c r="BF247" s="577">
        <f>0</f>
        <v>0</v>
      </c>
      <c r="BG247" s="577">
        <f>0</f>
        <v>0</v>
      </c>
      <c r="BH247" s="577">
        <f>0</f>
        <v>0</v>
      </c>
      <c r="BI247" s="577">
        <f>0</f>
        <v>0</v>
      </c>
      <c r="BJ247" s="577">
        <f>0</f>
        <v>0</v>
      </c>
      <c r="BK247" s="577">
        <f>0</f>
        <v>0</v>
      </c>
      <c r="BL247" s="577">
        <f>0</f>
        <v>0</v>
      </c>
      <c r="BM247" s="577">
        <f>0</f>
        <v>0</v>
      </c>
      <c r="BN247" s="577">
        <f>0</f>
        <v>0</v>
      </c>
      <c r="BO247" s="577">
        <f>0</f>
        <v>0</v>
      </c>
      <c r="BP247" s="577">
        <f>0</f>
        <v>0</v>
      </c>
      <c r="BQ247" s="577">
        <f>0</f>
        <v>0</v>
      </c>
      <c r="BR247" s="577">
        <f>0</f>
        <v>0</v>
      </c>
      <c r="BS247" s="577">
        <f>0</f>
        <v>0</v>
      </c>
      <c r="BT247" s="577">
        <f>0</f>
        <v>0</v>
      </c>
      <c r="BU247" s="577">
        <f>0</f>
        <v>0</v>
      </c>
      <c r="BV247" s="577">
        <f>0</f>
        <v>0</v>
      </c>
      <c r="BW247" s="2374">
        <f>0</f>
        <v>0</v>
      </c>
      <c r="BX247" s="2374">
        <f>0</f>
        <v>0</v>
      </c>
      <c r="BY247" s="2374">
        <f>0</f>
        <v>0</v>
      </c>
      <c r="BZ247" s="2374">
        <f>0</f>
        <v>0</v>
      </c>
      <c r="CA247" s="577">
        <f>0</f>
        <v>0</v>
      </c>
      <c r="CB247" s="577">
        <f>0</f>
        <v>0</v>
      </c>
      <c r="CC247" s="577">
        <f>0</f>
        <v>0</v>
      </c>
      <c r="CD247" s="511">
        <f>-1</f>
        <v>-1</v>
      </c>
      <c r="CE247" s="511">
        <f>0</f>
        <v>0</v>
      </c>
      <c r="CF247" s="511">
        <f>0</f>
        <v>0</v>
      </c>
      <c r="CG247" s="511">
        <f>0</f>
        <v>0</v>
      </c>
      <c r="CH247" s="511">
        <f>0</f>
        <v>0</v>
      </c>
      <c r="CI247" s="511">
        <f>0</f>
        <v>0</v>
      </c>
      <c r="CJ247" s="511">
        <f>0</f>
        <v>0</v>
      </c>
      <c r="CK247" s="511">
        <f>0</f>
        <v>0</v>
      </c>
      <c r="CL247" s="577">
        <f>0</f>
        <v>0</v>
      </c>
      <c r="CM247" s="577">
        <f>0</f>
        <v>0</v>
      </c>
      <c r="CN247" s="577">
        <f>0</f>
        <v>0</v>
      </c>
      <c r="CO247" s="577">
        <f>0</f>
        <v>0</v>
      </c>
      <c r="CP247" s="577">
        <f>0</f>
        <v>0</v>
      </c>
      <c r="CQ247" s="511">
        <f>0</f>
        <v>0</v>
      </c>
      <c r="CR247" s="511">
        <f>0</f>
        <v>0</v>
      </c>
      <c r="CS247" s="577">
        <f>0</f>
        <v>0</v>
      </c>
      <c r="CT247" s="2497">
        <f>k_transfer_GCO2_bub</f>
        <v>2861.6873452767227</v>
      </c>
      <c r="CV247" s="2502">
        <f>E266*E247+F266*F247+G266*G247+H266*H247+I266*I247+J266*J247+K266*K247+L266*L247+M266*M247+N266*N247+O266*O247+P266*P247+Q266*Q247+R266*R247+S266*S247+T266*T247+U266*U247+V266*V247+W266*W247+X266*X247+Y266*Y247+Z266*Z247+AA266*AA247+AB266*AB247+AC266*AC247+AD266*AD247+AE266*AE247+AF266*AF247+AG266*AG247+AH266*AH247+AI266*AI247+AJ266*AJ247+AK266*AK247+AL266*AL247+AM266*AM247+AN266*AN247+AO266*AO247+AP266*AP247+AQ266*AQ247+AR266*AR247+AS266*AS247+AT266*AT247+AU266*AU247+AV266*AV247+AW266*AW247+AX266*AX247+AY266*AY247+AZ266*AZ247+BA266*BA247+BB266*BB247+BC266*BC247+BD266*BD247+BE266*BE247+BF266*BF247+BG266*BG247+BH266*BH247+BI266*BI247+BJ266*BJ247+BK266*BK247+BL266*BL247+BM266*BM247+BN266*BN247+BO266*BO247+BP266*BP247+BQ266*BQ247+BR266*BR247+BS266*BS247+BT266*BT247+BU266*BU247+BV266*BV247+BW266*BW247+BX266*BX247+BY266*BY247+BZ266*BZ247+CA266*CA247+CB266*CB247+CC266*CC247+CD266*CD247+CE266*CE247+CF266*CF247+CG266*CG247+CH266*CH247+CI266*CI247+CJ266*CJ247+CK266*CK247+CL266*CL247+CM266*CM247+CN266*CN247+CO266*CO247+CP266*CP247+CQ266*CQ247+CR266*CR247+CS266*CS247</f>
        <v>0</v>
      </c>
      <c r="CW247" s="2502">
        <f>E267*E247+F267*F247+G267*G247+H267*H247+I267*I247+J267*J247+K267*K247+L267*L247+M267*M247+N267*N247+O267*O247+P267*P247+Q267*Q247+R267*R247+S267*S247+T267*T247+U267*U247+V267*V247+W267*W247+X267*X247+Y267*Y247+Z267*Z247+AA267*AA247+AB267*AB247+AC267*AC247+AD267*AD247+AE267*AE247+AF267*AF247+AG267*AG247+AH267*AH247+AI267*AI247+AJ267*AJ247+AK267*AK247+AL267*AL247+AM267*AM247+AN267*AN247+AO267*AO247+AP267*AP247+AQ267*AQ247+AR267*AR247+AS267*AS247+AT267*AT247+AU267*AU247+AV267*AV247+AW267*AW247+AX267*AX247+AY267*AY247+AZ267*AZ247+BA267*BA247+BB267*BB247+BC267*BC247+BD267*BD247+BE267*BE247+BF267*BF247+BG267*BG247+BH267*BH247+BI267*BI247+BJ267*BJ247+BK267*BK247+BL267*BL247+BM267*BM247+BN267*BN247+BO267*BO247+BP267*BP247+BQ267*BQ247+BR267*BR247+BS267*BS247+BT267*BT247+BU267*BU247+BV267*BV247+BW267*BW247+BX267*BX247+BY267*BY247+BZ267*BZ247+CA267*CA247+CB267*CB247+CC267*CC247+CD267*CD247+CE267*CE247+CF267*CF247+CG267*CG247+CH267*CH247+CI267*CI247+CJ267*CJ247+CK267*CK247+CL267*CL247+CM267*CM247+CN267*CN247+CO267*CO247+CP267*CP247+CQ267*CQ247+CR267*CR247+CS267*CS247</f>
        <v>0</v>
      </c>
      <c r="CX247" s="2503">
        <f>E268*E247+F268*F247+G268*G247+H268*H247+I268*I247+J268*J247+K268*K247+L268*L247+M268*M247+N268*N247+O268*O247+P268*P247+Q268*Q247+R268*R247+S268*S247+T268*T247+U268*U247+V268*V247+W268*W247+X268*X247+Y268*Y247+Z268*Z247+AA268*AA247+AB268*AB247+AC268*AC247+AD268*AD247+AE268*AE247+AF268*AF247+AG268*AG247+AH268*AH247+AI268*AI247+AJ268*AJ247+AK268*AK247+AL268*AL247+AM268*AM247+AN268*AN247+AO268*AO247+AP268*AP247+AQ268*AQ247+AR268*AR247+AS268*AS247+AT268*AT247+AU268*AU247+AV268*AV247+AW268*AW247+AX268*AX247+AY268*AY247+AZ268*AZ247+BA268*BA247+BB268*BB247+BC268*BC247+BD268*BD247+BE268*BE247+BF268*BF247+BG268*BG247+BH268*BH247+BI268*BI247+BJ268*BJ247+BK268*BK247+BL268*BL247+BM268*BM247+BN268*BN247+BO268*BO247+BP268*BP247+BQ268*BQ247+BR268*BR247+BS268*BS247+BT268*BT247+BU268*BU247+BV268*BV247+BW268*BW247+BX268*BX247+BY268*BY247+BZ268*BZ247+CA268*CA247+CB268*CB247+CC268*CC247+CD268*CD247+CE268*CE247+CF268*CF247+CG268*CG247+CH268*CH247+CI268*CI247+CJ268*CJ247+CK268*CK247+CL268*CL247+CM268*CM247+CN268*CN247+CO268*CO247+CP268*CP247+CQ268*CQ247+CR268*CR247+CS268*CS247</f>
        <v>0</v>
      </c>
      <c r="CY247" s="2504">
        <f>E269*E247+F269*F247+G269*G247+H269*H247+I269*I247+J269*J247+K269*K247+L269*L247+M269*M247+N269*N247+O269*O247+P269*P247+Q269*Q247+R269*R247+S269*S247+T269*T247+U269*U247+V269*V247+W269*W247+X269*X247+Y269*Y247+Z269*Z247+AA269*AA247+AB269*AB247+AC269*AC247+AD269*AD247+AE269*AE247+AF269*AF247+AG269*AG247+AH269*AH247+AI269*AI247+AJ269*AJ247+AK269*AK247+AL269*AL247+AM269*AM247+AN269*AN247+AO269*AO247+AP269*AP247+AQ269*AQ247+AR269*AR247+AS269*AS247+AT269*AT247+AU269*AU247+AV269*AV247+AW269*AW247+AX269*AX247+AY269*AY247+AZ269*AZ247+BA269*BA247+BB269*BB247+BC269*BC247+BD269*BD247+BE269*BE247+BF269*BF247+BG269*BG247+BH269*BH247+BI269*BI247+BJ269*BJ247+BK269*BK247+BL269*BL247+BM269*BM247+BN269*BN247+BO269*BO247+BP269*BP247+BQ269*BQ247+BR269*BR247+BS269*BS247+BT269*BT247+BU269*BU247+BV269*BV247+BW269*BW247+BX269*BX247+BY269*BY247+BZ269*BZ247+CA269*CA247+CB269*CB247+CC269*CC247+CD269*CD247+CE269*CE247+CF269*CF247+CG269*CG247+CH269*CH247+CI269*CI247+CJ269*CJ247+CK269*CK247+CL269*CL247+CM269*CM247+CN269*CN247+CO269*CO247+CP269*CP247+CQ269*CQ247+CR269*CR247+CS269*CS247</f>
        <v>0</v>
      </c>
      <c r="CZ247" s="2504">
        <f>E270*E247+F270*F247+G270*G247+H270*H247+I270*I247+J270*J247+K270*K247+L270*L247+M270*M247+N270*N247+O270*O247+P270*P247+Q270*Q247+R270*R247+S270*S247+T270*T247+U270*U247+V270*V247+W270*W247+X270*X247+Y270*Y247+Z270*Z247+AA270*AA247+AB270*AB247+AC270*AC247+AD270*AD247+AE270*AE247+AF270*AF247+AG270*AG247+AH270*AH247+AI270*AI247+AJ270*AJ247+AK270*AK247+AL270*AL247+AM270*AM247+AN270*AN247+AO270*AO247+AP270*AP247+AQ270*AQ247+AR270*AR247+AS270*AS247+AT270*AT247+AU270*AU247+AV270*AV247+AW270*AW247+AX270*AX247+AY270*AY247+AZ270*AZ247+BA270*BA247+BB270*BB247+BC270*BC247+BD270*BD247+BE270*BE247+BF270*BF247+BG270*BG247+BH270*BH247+BI270*BI247+BJ270*BJ247+BK270*BK247+BL270*BL247+BM270*BM247+BN270*BN247+BO270*BO247+BP270*BP247+BQ270*BQ247+BR270*BR247+BS270*BS247+BT270*BT247+BU270*BU247+BV270*BV247+BW270*BW247+BX270*BX247+BY270*BY247+BZ270*BZ247+CA270*CA247+CB270*CB247+CC270*CC247+CD270*CD247+CE270*CE247+CF270*CF247+CG270*CG247+CH270*CH247+CI270*CI247+CJ270*CJ247+CK270*CK247+CL270*CL247+CM270*CM247+CN270*CN247+CO270*CO247+CP270*CP247+CQ270*CQ247+CR270*CR247+CS270*CS247</f>
        <v>0</v>
      </c>
      <c r="DA247" s="2504">
        <f>E271*E247+F271*F247+G271*G247+H271*H247+I271*I247+J271*J247+K271*K247+L271*L247+M271*M247+N271*N247+O271*O247+P271*P247+Q271*Q247+R271*R247+S271*S247+T271*T247+U271*U247+V271*V247+W271*W247+X271*X247+Y271*Y247+Z271*Z247+AA271*AA247+AB271*AB247+AC271*AC247+AD271*AD247+AE271*AE247+AF271*AF247+AG271*AG247+AH271*AH247+AI271*AI247+AJ271*AJ247+AK271*AK247+AL271*AL247+AM271*AM247+AN271*AN247+AO271*AO247+AP271*AP247+AQ271*AQ247+AR271*AR247+AS271*AS247+AT271*AT247+AU271*AU247+AV271*AV247+AW271*AW247+AX271*AX247+AY271*AY247+AZ271*AZ247+BA271*BA247+BB271*BB247+BC271*BC247+BD271*BD247+BE271*BE247+BF271*BF247+BG271*BG247+BH271*BH247+BI271*BI247+BJ271*BJ247+BK271*BK247+BL271*BL247+BM271*BM247+BN271*BN247+BO271*BO247+BP271*BP247+BQ271*BQ247+BR271*BR247+BS271*BS247+BT271*BT247+BU271*BU247+BV271*BV247+BW271*BW247+BX271*BX247+BY271*BY247+BZ271*BZ247+CA271*CA247+CB271*CB247+CC271*CC247+CD271*CD247+CE271*CE247+CF271*CF247+CG271*CG247+CH271*CH247+CI271*CI247+CJ271*CJ247+CK271*CK247+CL271*CL247+CM271*CM247+CN271*CN247+CO271*CO247+CP271*CP247+CQ271*CQ247+CR271*CR247+CS271*CS247</f>
        <v>0</v>
      </c>
      <c r="DB247" s="2504">
        <f>E272*E247+F272*F247+G272*G247+H272*H247+I272*I247+J272*J247+K272*K247+L272*L247+M272*M247+N272*N247+O272*O247+P272*P247+Q272*Q247+R272*R247+S272*S247+T272*T247+U272*U247+V272*V247+W272*W247+X272*X247+Y272*Y247+Z272*Z247+AA272*AA247+AB272*AB247+AC272*AC247+AD272*AD247+AE272*AE247+AF272*AF247+AG272*AG247+AH272*AH247+AI272*AI247+AJ272*AJ247+AK272*AK247+AL272*AL247+AM272*AM247+AN272*AN247+AO272*AO247+AP272*AP247+AQ272*AQ247+AR272*AR247+AS272*AS247+AT272*AT247+AU272*AU247+AV272*AV247+AW272*AW247+AX272*AX247+AY272*AY247+AZ272*AZ247+BA272*BA247+BB272*BB247+BC272*BC247+BD272*BD247+BE272*BE247+BF272*BF247+BG272*BG247+BH272*BH247+BI272*BI247+BJ272*BJ247+BK272*BK247+BL272*BL247+BM272*BM247+BN272*BN247+BO272*BO247+BP272*BP247+BQ272*BQ247+BR272*BR247+BS272*BS247+BT272*BT247+BU272*BU247+BV272*BV247+BW272*BW247+BX272*BX247+BY272*BY247+BZ272*BZ247+CA272*CA247+CB272*CB247+CC272*CC247+CD272*CD247+CE272*CE247+CF272*CF247+CG272*CG247+CH272*CH247+CI272*CI247+CJ272*CJ247+CK272*CK247+CL272*CL247+CM272*CM247+CN272*CN247+CO272*CO247+CP272*CP247+CQ272*CQ247+CR272*CR247+CS272*CS247</f>
        <v>0</v>
      </c>
      <c r="DC247" s="2504">
        <f>E273*E247+F273*F247+G273*G247+H273*H247+I273*I247+J273*J247+K273*K247+L273*L247+M273*M247+N273*N247+O273*O247+P273*P247+Q273*Q247+R273*R247+S273*S247+T273*T247+U273*U247+V273*V247+W273*W247+X273*X247+Y273*Y247+Z273*Z247+AA273*AA247+AB273*AB247+AC273*AC247+AD273*AD247+AE273*AE247+AF273*AF247+AG273*AG247+AH273*AH247+AI273*AI247+AJ273*AJ247+AK273*AK247+AL273*AL247+AM273*AM247+AN273*AN247+AO273*AO247+AP273*AP247+AQ273*AQ247+AR273*AR247+AS273*AS247+AT273*AT247+AU273*AU247+AV273*AV247+AW273*AW247+AX273*AX247+AY273*AY247+AZ273*AZ247+BA273*BA247+BB273*BB247+BC273*BC247+BD273*BD247+BE273*BE247+BF273*BF247+BG273*BG247+BH273*BH247+BI273*BI247+BJ273*BJ247+BK273*BK247+BL273*BL247+BM273*BM247+BN273*BN247+BO273*BO247+BP273*BP247+BQ273*BQ247+BR273*BR247+BS273*BS247+BT273*BT247+BU273*BU247+BV273*BV247+BW273*BW247+BX273*BX247+BY273*BY247+BZ273*BZ247+CA273*CA247+CB273*CB247+CC273*CC247+CD273*CD247+CE273*CE247+CF273*CF247+CG273*CG247+CH273*CH247+CI273*CI247+CJ273*CJ247+CK273*CK247+CL273*CL247+CM273*CM247+CN273*CN247+CO273*CO247+CP273*CP247+CQ273*CQ247+CR273*CR247+CS273*CS247</f>
        <v>0</v>
      </c>
      <c r="DD247" s="2504">
        <f>E274*E247+F274*F247+G274*G247+H274*H247+I274*I247+J274*J247+K274*K247+L274*L247+M274*M247+N274*N247+O274*O247+P274*P247+Q274*Q247+R274*R247+S274*S247+T274*T247+U274*U247+V274*V247+W274*W247+X274*X247+Y274*Y247+Z274*Z247+AA274*AA247+AB274*AB247+AC274*AC247+AD274*AD247+AE274*AE247+AF274*AF247+AG274*AG247+AH274*AH247+AI274*AI247+AJ274*AJ247+AK274*AK247+AL274*AL247+AM274*AM247+AN274*AN247+AO274*AO247+AP274*AP247+AQ274*AQ247+AR274*AR247+AS274*AS247+AT274*AT247+AU274*AU247+AV274*AV247+AW274*AW247+AX274*AX247+AY274*AY247+AZ274*AZ247+BA274*BA247+BB274*BB247+BC274*BC247+BD274*BD247+BE274*BE247+BF274*BF247+BG274*BG247+BH274*BH247+BI274*BI247+BJ274*BJ247+BK274*BK247+BL274*BL247+BM274*BM247+BN274*BN247+BO274*BO247+BP274*BP247+BQ274*BQ247+BR274*BR247+BS274*BS247+BT274*BT247+BU274*BU247+BV274*BV247+BW274*BW247+BX274*BX247+BY274*BY247+BZ274*BZ247+CA274*CA247+CB274*CB247+CC274*CC247+CD274*CD247+CE274*CE247+CF274*CF247+CG274*CG247+CH274*CH247+CI274*CI247+CJ274*CJ247+CK274*CK247+CL274*CL247+CM274*CM247+CN274*CN247+CO274*CO247+CP274*CP247+CQ274*CQ247+CR274*CR247+CS274*CS247</f>
        <v>0</v>
      </c>
      <c r="DE247" s="2504">
        <f>E275*E247+F275*F247+G275*G247+H275*H247+I275*I247+J275*J247+K275*K247+L275*L247+M275*M247+N275*N247+O275*O247+P275*P247+Q275*Q247+R275*R247+S275*S247+T275*T247+U275*U247+V275*V247+W275*W247+X275*X247+Y275*Y247+Z275*Z247+AA275*AA247+AB275*AB247+AC275*AC247+AD275*AD247+AE275*AE247+AF275*AF247+AG275*AG247+AH275*AH247+AI275*AI247+AJ275*AJ247+AK275*AK247+AL275*AL247+AM275*AM247+AN275*AN247+AO275*AO247+AP275*AP247+AQ275*AQ247+AR275*AR247+AS275*AS247+AT275*AT247+AU275*AU247+AV275*AV247+AW275*AW247+AX275*AX247+AY275*AY247+AZ275*AZ247+BA275*BA247+BB275*BB247+BC275*BC247+BD275*BD247+BE275*BE247+BF275*BF247+BG275*BG247+BH275*BH247+BI275*BI247+BJ275*BJ247+BK275*BK247+BL275*BL247+BM275*BM247+BN275*BN247+BO275*BO247+BP275*BP247+BQ275*BQ247+BR275*BR247+BS275*BS247+BT275*BT247+BU275*BU247+BV275*BV247+BW275*BW247+BX275*BX247+BY275*BY247+BZ275*BZ247+CA275*CA247+CB275*CB247+CC275*CC247+CD275*CD247+CE275*CE247+CF275*CF247+CG275*CG247+CH275*CH247+CI275*CI247+CJ275*CJ247+CK275*CK247+CL275*CL247+CM275*CM247+CN275*CN247+CO275*CO247+CP275*CP247+CQ275*CQ247+CR275*CR247+CS275*CS247</f>
        <v>0</v>
      </c>
      <c r="DF247" s="2504">
        <f>E276*E247+F276*F247+G276*G247+H276*H247+I276*I247+J276*J247+K276*K247+L276*L247+M276*M247+N276*N247+O276*O247+P276*P247+Q276*Q247+R276*R247+S276*S247+T276*T247+U276*U247+V276*V247+W276*W247+X276*X247+Y276*Y247+Z276*Z247+AA276*AA247+AB276*AB247+AC276*AC247+AD276*AD247+AE276*AE247+AF276*AF247+AG276*AG247+AH276*AH247+AI276*AI247+AJ276*AJ247+AK276*AK247+AL276*AL247+AM276*AM247+AN276*AN247+AO276*AO247+AP276*AP247+AQ276*AQ247+AR276*AR247+AS276*AS247+AT276*AT247+AU276*AU247+AV276*AV247+AW276*AW247+AX276*AX247+AY276*AY247+AZ276*AZ247+BA276*BA247+BB276*BB247+BC276*BC247+BD276*BD247+BE276*BE247+BF276*BF247+BG276*BG247+BH276*BH247+BI276*BI247+BJ276*BJ247+BK276*BK247+BL276*BL247+BM276*BM247+BN276*BN247+BO276*BO247+BP276*BP247+BQ276*BQ247+BR276*BR247+BS276*BS247+BT276*BT247+BU276*BU247+BV276*BV247+BW276*BW247+BX276*BX247+BY276*BY247+BZ276*BZ247+CA276*CA247+CB276*CB247+CC276*CC247+CD276*CD247+CE276*CE247+CF276*CF247+CG276*CG247+CH276*CH247+CI276*CI247+CJ276*CJ247+CK276*CK247+CL276*CL247+CM276*CM247+CN276*CN247+CO276*CO247+CP276*CP247+CQ276*CQ247+CR276*CR247+CS276*CS247</f>
        <v>0</v>
      </c>
    </row>
    <row r="248" spans="2:110" x14ac:dyDescent="0.25">
      <c r="B248" s="1535">
        <v>106</v>
      </c>
      <c r="C248" s="575" t="s">
        <v>3849</v>
      </c>
      <c r="D248" s="576" t="s">
        <v>3089</v>
      </c>
      <c r="E248" s="511">
        <f>0</f>
        <v>0</v>
      </c>
      <c r="F248" s="511">
        <f>0</f>
        <v>0</v>
      </c>
      <c r="G248" s="511">
        <f>0</f>
        <v>0</v>
      </c>
      <c r="H248" s="511">
        <f>0</f>
        <v>0</v>
      </c>
      <c r="I248" s="511">
        <f>0</f>
        <v>0</v>
      </c>
      <c r="J248" s="511">
        <f>0</f>
        <v>0</v>
      </c>
      <c r="K248" s="511">
        <f>0</f>
        <v>0</v>
      </c>
      <c r="L248" s="511">
        <f>0</f>
        <v>0</v>
      </c>
      <c r="M248" s="511">
        <f>0</f>
        <v>0</v>
      </c>
      <c r="N248" s="511">
        <f>0</f>
        <v>0</v>
      </c>
      <c r="O248" s="511">
        <f>0</f>
        <v>0</v>
      </c>
      <c r="P248" s="511">
        <f>0</f>
        <v>0</v>
      </c>
      <c r="Q248" s="511">
        <f>0</f>
        <v>0</v>
      </c>
      <c r="R248" s="577">
        <f>0</f>
        <v>0</v>
      </c>
      <c r="S248" s="511">
        <f>0</f>
        <v>0</v>
      </c>
      <c r="T248" s="511">
        <f>0</f>
        <v>0</v>
      </c>
      <c r="U248" s="511">
        <f>0</f>
        <v>0</v>
      </c>
      <c r="V248" s="511">
        <f>0</f>
        <v>0</v>
      </c>
      <c r="W248" s="511">
        <f>0</f>
        <v>0</v>
      </c>
      <c r="X248" s="511">
        <f>0</f>
        <v>0</v>
      </c>
      <c r="Y248" s="511">
        <f>0</f>
        <v>0</v>
      </c>
      <c r="Z248" s="511">
        <f>0</f>
        <v>0</v>
      </c>
      <c r="AA248" s="511">
        <f>0</f>
        <v>0</v>
      </c>
      <c r="AB248" s="511">
        <f>0</f>
        <v>0</v>
      </c>
      <c r="AC248" s="511">
        <f>0</f>
        <v>0</v>
      </c>
      <c r="AD248" s="511">
        <f>0</f>
        <v>0</v>
      </c>
      <c r="AE248" s="511">
        <f>0</f>
        <v>0</v>
      </c>
      <c r="AF248" s="511">
        <f>0</f>
        <v>0</v>
      </c>
      <c r="AG248" s="511">
        <f>0</f>
        <v>0</v>
      </c>
      <c r="AH248" s="511">
        <f>0</f>
        <v>0</v>
      </c>
      <c r="AI248" s="511">
        <f>0</f>
        <v>0</v>
      </c>
      <c r="AJ248" s="511">
        <f>0</f>
        <v>0</v>
      </c>
      <c r="AK248" s="511">
        <f>0</f>
        <v>0</v>
      </c>
      <c r="AL248" s="511">
        <f>0</f>
        <v>0</v>
      </c>
      <c r="AM248" s="511">
        <f>0</f>
        <v>0</v>
      </c>
      <c r="AN248" s="511">
        <f>0</f>
        <v>0</v>
      </c>
      <c r="AO248" s="511">
        <f>0</f>
        <v>0</v>
      </c>
      <c r="AP248" s="511">
        <f>0</f>
        <v>0</v>
      </c>
      <c r="AQ248" s="511">
        <f>0</f>
        <v>0</v>
      </c>
      <c r="AR248" s="511">
        <f>0</f>
        <v>0</v>
      </c>
      <c r="AS248" s="511">
        <f>0</f>
        <v>0</v>
      </c>
      <c r="AT248" s="511">
        <f>1</f>
        <v>1</v>
      </c>
      <c r="AU248" s="511">
        <f>0</f>
        <v>0</v>
      </c>
      <c r="AV248" s="511">
        <f>0</f>
        <v>0</v>
      </c>
      <c r="AW248" s="511">
        <f>0</f>
        <v>0</v>
      </c>
      <c r="AX248" s="511">
        <f>0</f>
        <v>0</v>
      </c>
      <c r="AY248" s="511">
        <f>0</f>
        <v>0</v>
      </c>
      <c r="AZ248" s="511">
        <f>0</f>
        <v>0</v>
      </c>
      <c r="BA248" s="511">
        <f>0</f>
        <v>0</v>
      </c>
      <c r="BB248" s="511">
        <f>0</f>
        <v>0</v>
      </c>
      <c r="BC248" s="577">
        <f>0</f>
        <v>0</v>
      </c>
      <c r="BD248" s="577">
        <f>0</f>
        <v>0</v>
      </c>
      <c r="BE248" s="577">
        <f>0</f>
        <v>0</v>
      </c>
      <c r="BF248" s="577">
        <f>0</f>
        <v>0</v>
      </c>
      <c r="BG248" s="577">
        <f>0</f>
        <v>0</v>
      </c>
      <c r="BH248" s="577">
        <f>0</f>
        <v>0</v>
      </c>
      <c r="BI248" s="577">
        <f>0</f>
        <v>0</v>
      </c>
      <c r="BJ248" s="577">
        <f>0</f>
        <v>0</v>
      </c>
      <c r="BK248" s="577">
        <f>0</f>
        <v>0</v>
      </c>
      <c r="BL248" s="577">
        <f>0</f>
        <v>0</v>
      </c>
      <c r="BM248" s="577">
        <f>0</f>
        <v>0</v>
      </c>
      <c r="BN248" s="577">
        <f>0</f>
        <v>0</v>
      </c>
      <c r="BO248" s="577">
        <f>0</f>
        <v>0</v>
      </c>
      <c r="BP248" s="577">
        <f>0</f>
        <v>0</v>
      </c>
      <c r="BQ248" s="577">
        <f>0</f>
        <v>0</v>
      </c>
      <c r="BR248" s="577">
        <f>0</f>
        <v>0</v>
      </c>
      <c r="BS248" s="577">
        <f>0</f>
        <v>0</v>
      </c>
      <c r="BT248" s="577">
        <f>0</f>
        <v>0</v>
      </c>
      <c r="BU248" s="577">
        <f>0</f>
        <v>0</v>
      </c>
      <c r="BV248" s="577">
        <f>0</f>
        <v>0</v>
      </c>
      <c r="BW248" s="2374">
        <f>0</f>
        <v>0</v>
      </c>
      <c r="BX248" s="2374">
        <f>0</f>
        <v>0</v>
      </c>
      <c r="BY248" s="2374">
        <f>0</f>
        <v>0</v>
      </c>
      <c r="BZ248" s="2374">
        <f>0</f>
        <v>0</v>
      </c>
      <c r="CA248" s="577">
        <f>0</f>
        <v>0</v>
      </c>
      <c r="CB248" s="577">
        <f>0</f>
        <v>0</v>
      </c>
      <c r="CC248" s="577">
        <f>0</f>
        <v>0</v>
      </c>
      <c r="CD248" s="511">
        <f>0</f>
        <v>0</v>
      </c>
      <c r="CE248" s="511">
        <f>-1</f>
        <v>-1</v>
      </c>
      <c r="CF248" s="511">
        <f>0</f>
        <v>0</v>
      </c>
      <c r="CG248" s="511">
        <f>0</f>
        <v>0</v>
      </c>
      <c r="CH248" s="511">
        <f>0</f>
        <v>0</v>
      </c>
      <c r="CI248" s="511">
        <f>0</f>
        <v>0</v>
      </c>
      <c r="CJ248" s="511">
        <f>0</f>
        <v>0</v>
      </c>
      <c r="CK248" s="511">
        <f>0</f>
        <v>0</v>
      </c>
      <c r="CL248" s="577">
        <f>0</f>
        <v>0</v>
      </c>
      <c r="CM248" s="577">
        <f>0</f>
        <v>0</v>
      </c>
      <c r="CN248" s="577">
        <f>0</f>
        <v>0</v>
      </c>
      <c r="CO248" s="577">
        <f>0</f>
        <v>0</v>
      </c>
      <c r="CP248" s="577">
        <f>0</f>
        <v>0</v>
      </c>
      <c r="CQ248" s="511">
        <f>0</f>
        <v>0</v>
      </c>
      <c r="CR248" s="511">
        <f>0</f>
        <v>0</v>
      </c>
      <c r="CS248" s="577">
        <f>0</f>
        <v>0</v>
      </c>
      <c r="CT248" s="2497">
        <f>k_LaGCH4_bub*(S_GCH4_bub_sat-S_CH4)</f>
        <v>-0.84435000000000004</v>
      </c>
      <c r="CV248" s="2502">
        <f>E266*E248+F266*F248+G266*G248+H266*H248+I266*I248+J266*J248+K266*K248+L266*L248+M266*M248+N266*N248+O266*O248+P266*P248+Q266*Q248+R266*R248+S266*S248+T266*T248+U266*U248+V266*V248+W266*W248+X266*X248+Y266*Y248+Z266*Z248+AA266*AA248+AB266*AB248+AC266*AC248+AD266*AD248+AE266*AE248+AF266*AF248+AG266*AG248+AH266*AH248+AI266*AI248+AJ266*AJ248+AK266*AK248+AL266*AL248+AM266*AM248+AN266*AN248+AO266*AO248+AP266*AP248+AQ266*AQ248+AR266*AR248+AS266*AS248+AT266*AT248+AU266*AU248+AV266*AV248+AW266*AW248+AX266*AX248+AY266*AY248+AZ266*AZ248+BA266*BA248+BB266*BB248+BC266*BC248+BD266*BD248+BE266*BE248+BF266*BF248+BG266*BG248+BH266*BH248+BI266*BI248+BJ266*BJ248+BK266*BK248+BL266*BL248+BM266*BM248+BN266*BN248+BO266*BO248+BP266*BP248+BQ266*BQ248+BR266*BR248+BS266*BS248+BT266*BT248+BU266*BU248+BV266*BV248+BW266*BW248+BX266*BX248+BY266*BY248+BZ266*BZ248+CA266*CA248+CB266*CB248+CC266*CC248+CD266*CD248+CE266*CE248+CF266*CF248+CG266*CG248+CH266*CH248+CI266*CI248+CJ266*CJ248+CK266*CK248+CL266*CL248+CM266*CM248+CN266*CN248+CO266*CO248+CP266*CP248+CQ266*CQ248+CR266*CR248+CS266*CS248</f>
        <v>0</v>
      </c>
      <c r="CW248" s="2502">
        <f>E267*E248+F267*F248+G267*G248+H267*H248+I267*I248+J267*J248+K267*K248+L267*L248+M267*M248+N267*N248+O267*O248+P267*P248+Q267*Q248+R267*R248+S267*S248+T267*T248+U267*U248+V267*V248+W267*W248+X267*X248+Y267*Y248+Z267*Z248+AA267*AA248+AB267*AB248+AC267*AC248+AD267*AD248+AE267*AE248+AF267*AF248+AG267*AG248+AH267*AH248+AI267*AI248+AJ267*AJ248+AK267*AK248+AL267*AL248+AM267*AM248+AN267*AN248+AO267*AO248+AP267*AP248+AQ267*AQ248+AR267*AR248+AS267*AS248+AT267*AT248+AU267*AU248+AV267*AV248+AW267*AW248+AX267*AX248+AY267*AY248+AZ267*AZ248+BA267*BA248+BB267*BB248+BC267*BC248+BD267*BD248+BE267*BE248+BF267*BF248+BG267*BG248+BH267*BH248+BI267*BI248+BJ267*BJ248+BK267*BK248+BL267*BL248+BM267*BM248+BN267*BN248+BO267*BO248+BP267*BP248+BQ267*BQ248+BR267*BR248+BS267*BS248+BT267*BT248+BU267*BU248+BV267*BV248+BW267*BW248+BX267*BX248+BY267*BY248+BZ267*BZ248+CA267*CA248+CB267*CB248+CC267*CC248+CD267*CD248+CE267*CE248+CF267*CF248+CG267*CG248+CH267*CH248+CI267*CI248+CJ267*CJ248+CK267*CK248+CL267*CL248+CM267*CM248+CN267*CN248+CO267*CO248+CP267*CP248+CQ267*CQ248+CR267*CR248+CS267*CS248</f>
        <v>0</v>
      </c>
      <c r="CX248" s="2503">
        <f>E268*E248+F268*F248+G268*G248+H268*H248+I268*I248+J268*J248+K268*K248+L268*L248+M268*M248+N268*N248+O268*O248+P268*P248+Q268*Q248+R268*R248+S268*S248+T268*T248+U268*U248+V268*V248+W268*W248+X268*X248+Y268*Y248+Z268*Z248+AA268*AA248+AB268*AB248+AC268*AC248+AD268*AD248+AE268*AE248+AF268*AF248+AG268*AG248+AH268*AH248+AI268*AI248+AJ268*AJ248+AK268*AK248+AL268*AL248+AM268*AM248+AN268*AN248+AO268*AO248+AP268*AP248+AQ268*AQ248+AR268*AR248+AS268*AS248+AT268*AT248+AU268*AU248+AV268*AV248+AW268*AW248+AX268*AX248+AY268*AY248+AZ268*AZ248+BA268*BA248+BB268*BB248+BC268*BC248+BD268*BD248+BE268*BE248+BF268*BF248+BG268*BG248+BH268*BH248+BI268*BI248+BJ268*BJ248+BK268*BK248+BL268*BL248+BM268*BM248+BN268*BN248+BO268*BO248+BP268*BP248+BQ268*BQ248+BR268*BR248+BS268*BS248+BT268*BT248+BU268*BU248+BV268*BV248+BW268*BW248+BX268*BX248+BY268*BY248+BZ268*BZ248+CA268*CA248+CB268*CB248+CC268*CC248+CD268*CD248+CE268*CE248+CF268*CF248+CG268*CG248+CH268*CH248+CI268*CI248+CJ268*CJ248+CK268*CK248+CL268*CL248+CM268*CM248+CN268*CN248+CO268*CO248+CP268*CP248+CQ268*CQ248+CR268*CR248+CS268*CS248</f>
        <v>0</v>
      </c>
      <c r="CY248" s="2504">
        <f>E269*E248+F269*F248+G269*G248+H269*H248+I269*I248+J269*J248+K269*K248+L269*L248+M269*M248+N269*N248+O269*O248+P269*P248+Q269*Q248+R269*R248+S269*S248+T269*T248+U269*U248+V269*V248+W269*W248+X269*X248+Y269*Y248+Z269*Z248+AA269*AA248+AB269*AB248+AC269*AC248+AD269*AD248+AE269*AE248+AF269*AF248+AG269*AG248+AH269*AH248+AI269*AI248+AJ269*AJ248+AK269*AK248+AL269*AL248+AM269*AM248+AN269*AN248+AO269*AO248+AP269*AP248+AQ269*AQ248+AR269*AR248+AS269*AS248+AT269*AT248+AU269*AU248+AV269*AV248+AW269*AW248+AX269*AX248+AY269*AY248+AZ269*AZ248+BA269*BA248+BB269*BB248+BC269*BC248+BD269*BD248+BE269*BE248+BF269*BF248+BG269*BG248+BH269*BH248+BI269*BI248+BJ269*BJ248+BK269*BK248+BL269*BL248+BM269*BM248+BN269*BN248+BO269*BO248+BP269*BP248+BQ269*BQ248+BR269*BR248+BS269*BS248+BT269*BT248+BU269*BU248+BV269*BV248+BW269*BW248+BX269*BX248+BY269*BY248+BZ269*BZ248+CA269*CA248+CB269*CB248+CC269*CC248+CD269*CD248+CE269*CE248+CF269*CF248+CG269*CG248+CH269*CH248+CI269*CI248+CJ269*CJ248+CK269*CK248+CL269*CL248+CM269*CM248+CN269*CN248+CO269*CO248+CP269*CP248+CQ269*CQ248+CR269*CR248+CS269*CS248</f>
        <v>0</v>
      </c>
      <c r="CZ248" s="2504">
        <f>E270*E248+F270*F248+G270*G248+H270*H248+I270*I248+J270*J248+K270*K248+L270*L248+M270*M248+N270*N248+O270*O248+P270*P248+Q270*Q248+R270*R248+S270*S248+T270*T248+U270*U248+V270*V248+W270*W248+X270*X248+Y270*Y248+Z270*Z248+AA270*AA248+AB270*AB248+AC270*AC248+AD270*AD248+AE270*AE248+AF270*AF248+AG270*AG248+AH270*AH248+AI270*AI248+AJ270*AJ248+AK270*AK248+AL270*AL248+AM270*AM248+AN270*AN248+AO270*AO248+AP270*AP248+AQ270*AQ248+AR270*AR248+AS270*AS248+AT270*AT248+AU270*AU248+AV270*AV248+AW270*AW248+AX270*AX248+AY270*AY248+AZ270*AZ248+BA270*BA248+BB270*BB248+BC270*BC248+BD270*BD248+BE270*BE248+BF270*BF248+BG270*BG248+BH270*BH248+BI270*BI248+BJ270*BJ248+BK270*BK248+BL270*BL248+BM270*BM248+BN270*BN248+BO270*BO248+BP270*BP248+BQ270*BQ248+BR270*BR248+BS270*BS248+BT270*BT248+BU270*BU248+BV270*BV248+BW270*BW248+BX270*BX248+BY270*BY248+BZ270*BZ248+CA270*CA248+CB270*CB248+CC270*CC248+CD270*CD248+CE270*CE248+CF270*CF248+CG270*CG248+CH270*CH248+CI270*CI248+CJ270*CJ248+CK270*CK248+CL270*CL248+CM270*CM248+CN270*CN248+CO270*CO248+CP270*CP248+CQ270*CQ248+CR270*CR248+CS270*CS248</f>
        <v>0</v>
      </c>
      <c r="DA248" s="2504">
        <f>E271*E248+F271*F248+G271*G248+H271*H248+I271*I248+J271*J248+K271*K248+L271*L248+M271*M248+N271*N248+O271*O248+P271*P248+Q271*Q248+R271*R248+S271*S248+T271*T248+U271*U248+V271*V248+W271*W248+X271*X248+Y271*Y248+Z271*Z248+AA271*AA248+AB271*AB248+AC271*AC248+AD271*AD248+AE271*AE248+AF271*AF248+AG271*AG248+AH271*AH248+AI271*AI248+AJ271*AJ248+AK271*AK248+AL271*AL248+AM271*AM248+AN271*AN248+AO271*AO248+AP271*AP248+AQ271*AQ248+AR271*AR248+AS271*AS248+AT271*AT248+AU271*AU248+AV271*AV248+AW271*AW248+AX271*AX248+AY271*AY248+AZ271*AZ248+BA271*BA248+BB271*BB248+BC271*BC248+BD271*BD248+BE271*BE248+BF271*BF248+BG271*BG248+BH271*BH248+BI271*BI248+BJ271*BJ248+BK271*BK248+BL271*BL248+BM271*BM248+BN271*BN248+BO271*BO248+BP271*BP248+BQ271*BQ248+BR271*BR248+BS271*BS248+BT271*BT248+BU271*BU248+BV271*BV248+BW271*BW248+BX271*BX248+BY271*BY248+BZ271*BZ248+CA271*CA248+CB271*CB248+CC271*CC248+CD271*CD248+CE271*CE248+CF271*CF248+CG271*CG248+CH271*CH248+CI271*CI248+CJ271*CJ248+CK271*CK248+CL271*CL248+CM271*CM248+CN271*CN248+CO271*CO248+CP271*CP248+CQ271*CQ248+CR271*CR248+CS271*CS248</f>
        <v>0</v>
      </c>
      <c r="DB248" s="2504">
        <f>E272*E248+F272*F248+G272*G248+H272*H248+I272*I248+J272*J248+K272*K248+L272*L248+M272*M248+N272*N248+O272*O248+P272*P248+Q272*Q248+R272*R248+S272*S248+T272*T248+U272*U248+V272*V248+W272*W248+X272*X248+Y272*Y248+Z272*Z248+AA272*AA248+AB272*AB248+AC272*AC248+AD272*AD248+AE272*AE248+AF272*AF248+AG272*AG248+AH272*AH248+AI272*AI248+AJ272*AJ248+AK272*AK248+AL272*AL248+AM272*AM248+AN272*AN248+AO272*AO248+AP272*AP248+AQ272*AQ248+AR272*AR248+AS272*AS248+AT272*AT248+AU272*AU248+AV272*AV248+AW272*AW248+AX272*AX248+AY272*AY248+AZ272*AZ248+BA272*BA248+BB272*BB248+BC272*BC248+BD272*BD248+BE272*BE248+BF272*BF248+BG272*BG248+BH272*BH248+BI272*BI248+BJ272*BJ248+BK272*BK248+BL272*BL248+BM272*BM248+BN272*BN248+BO272*BO248+BP272*BP248+BQ272*BQ248+BR272*BR248+BS272*BS248+BT272*BT248+BU272*BU248+BV272*BV248+BW272*BW248+BX272*BX248+BY272*BY248+BZ272*BZ248+CA272*CA248+CB272*CB248+CC272*CC248+CD272*CD248+CE272*CE248+CF272*CF248+CG272*CG248+CH272*CH248+CI272*CI248+CJ272*CJ248+CK272*CK248+CL272*CL248+CM272*CM248+CN272*CN248+CO272*CO248+CP272*CP248+CQ272*CQ248+CR272*CR248+CS272*CS248</f>
        <v>0</v>
      </c>
      <c r="DC248" s="2504">
        <f>E273*E248+F273*F248+G273*G248+H273*H248+I273*I248+J273*J248+K273*K248+L273*L248+M273*M248+N273*N248+O273*O248+P273*P248+Q273*Q248+R273*R248+S273*S248+T273*T248+U273*U248+V273*V248+W273*W248+X273*X248+Y273*Y248+Z273*Z248+AA273*AA248+AB273*AB248+AC273*AC248+AD273*AD248+AE273*AE248+AF273*AF248+AG273*AG248+AH273*AH248+AI273*AI248+AJ273*AJ248+AK273*AK248+AL273*AL248+AM273*AM248+AN273*AN248+AO273*AO248+AP273*AP248+AQ273*AQ248+AR273*AR248+AS273*AS248+AT273*AT248+AU273*AU248+AV273*AV248+AW273*AW248+AX273*AX248+AY273*AY248+AZ273*AZ248+BA273*BA248+BB273*BB248+BC273*BC248+BD273*BD248+BE273*BE248+BF273*BF248+BG273*BG248+BH273*BH248+BI273*BI248+BJ273*BJ248+BK273*BK248+BL273*BL248+BM273*BM248+BN273*BN248+BO273*BO248+BP273*BP248+BQ273*BQ248+BR273*BR248+BS273*BS248+BT273*BT248+BU273*BU248+BV273*BV248+BW273*BW248+BX273*BX248+BY273*BY248+BZ273*BZ248+CA273*CA248+CB273*CB248+CC273*CC248+CD273*CD248+CE273*CE248+CF273*CF248+CG273*CG248+CH273*CH248+CI273*CI248+CJ273*CJ248+CK273*CK248+CL273*CL248+CM273*CM248+CN273*CN248+CO273*CO248+CP273*CP248+CQ273*CQ248+CR273*CR248+CS273*CS248</f>
        <v>0</v>
      </c>
      <c r="DD248" s="2504">
        <f>E274*E248+F274*F248+G274*G248+H274*H248+I274*I248+J274*J248+K274*K248+L274*L248+M274*M248+N274*N248+O274*O248+P274*P248+Q274*Q248+R274*R248+S274*S248+T274*T248+U274*U248+V274*V248+W274*W248+X274*X248+Y274*Y248+Z274*Z248+AA274*AA248+AB274*AB248+AC274*AC248+AD274*AD248+AE274*AE248+AF274*AF248+AG274*AG248+AH274*AH248+AI274*AI248+AJ274*AJ248+AK274*AK248+AL274*AL248+AM274*AM248+AN274*AN248+AO274*AO248+AP274*AP248+AQ274*AQ248+AR274*AR248+AS274*AS248+AT274*AT248+AU274*AU248+AV274*AV248+AW274*AW248+AX274*AX248+AY274*AY248+AZ274*AZ248+BA274*BA248+BB274*BB248+BC274*BC248+BD274*BD248+BE274*BE248+BF274*BF248+BG274*BG248+BH274*BH248+BI274*BI248+BJ274*BJ248+BK274*BK248+BL274*BL248+BM274*BM248+BN274*BN248+BO274*BO248+BP274*BP248+BQ274*BQ248+BR274*BR248+BS274*BS248+BT274*BT248+BU274*BU248+BV274*BV248+BW274*BW248+BX274*BX248+BY274*BY248+BZ274*BZ248+CA274*CA248+CB274*CB248+CC274*CC248+CD274*CD248+CE274*CE248+CF274*CF248+CG274*CG248+CH274*CH248+CI274*CI248+CJ274*CJ248+CK274*CK248+CL274*CL248+CM274*CM248+CN274*CN248+CO274*CO248+CP274*CP248+CQ274*CQ248+CR274*CR248+CS274*CS248</f>
        <v>0</v>
      </c>
      <c r="DE248" s="2504">
        <f>E275*E248+F275*F248+G275*G248+H275*H248+I275*I248+J275*J248+K275*K248+L275*L248+M275*M248+N275*N248+O275*O248+P275*P248+Q275*Q248+R275*R248+S275*S248+T275*T248+U275*U248+V275*V248+W275*W248+X275*X248+Y275*Y248+Z275*Z248+AA275*AA248+AB275*AB248+AC275*AC248+AD275*AD248+AE275*AE248+AF275*AF248+AG275*AG248+AH275*AH248+AI275*AI248+AJ275*AJ248+AK275*AK248+AL275*AL248+AM275*AM248+AN275*AN248+AO275*AO248+AP275*AP248+AQ275*AQ248+AR275*AR248+AS275*AS248+AT275*AT248+AU275*AU248+AV275*AV248+AW275*AW248+AX275*AX248+AY275*AY248+AZ275*AZ248+BA275*BA248+BB275*BB248+BC275*BC248+BD275*BD248+BE275*BE248+BF275*BF248+BG275*BG248+BH275*BH248+BI275*BI248+BJ275*BJ248+BK275*BK248+BL275*BL248+BM275*BM248+BN275*BN248+BO275*BO248+BP275*BP248+BQ275*BQ248+BR275*BR248+BS275*BS248+BT275*BT248+BU275*BU248+BV275*BV248+BW275*BW248+BX275*BX248+BY275*BY248+BZ275*BZ248+CA275*CA248+CB275*CB248+CC275*CC248+CD275*CD248+CE275*CE248+CF275*CF248+CG275*CG248+CH275*CH248+CI275*CI248+CJ275*CJ248+CK275*CK248+CL275*CL248+CM275*CM248+CN275*CN248+CO275*CO248+CP275*CP248+CQ275*CQ248+CR275*CR248+CS275*CS248</f>
        <v>0</v>
      </c>
      <c r="DF248" s="2504">
        <f>E276*E248+F276*F248+G276*G248+H276*H248+I276*I248+J276*J248+K276*K248+L276*L248+M276*M248+N276*N248+O276*O248+P276*P248+Q276*Q248+R276*R248+S276*S248+T276*T248+U276*U248+V276*V248+W276*W248+X276*X248+Y276*Y248+Z276*Z248+AA276*AA248+AB276*AB248+AC276*AC248+AD276*AD248+AE276*AE248+AF276*AF248+AG276*AG248+AH276*AH248+AI276*AI248+AJ276*AJ248+AK276*AK248+AL276*AL248+AM276*AM248+AN276*AN248+AO276*AO248+AP276*AP248+AQ276*AQ248+AR276*AR248+AS276*AS248+AT276*AT248+AU276*AU248+AV276*AV248+AW276*AW248+AX276*AX248+AY276*AY248+AZ276*AZ248+BA276*BA248+BB276*BB248+BC276*BC248+BD276*BD248+BE276*BE248+BF276*BF248+BG276*BG248+BH276*BH248+BI276*BI248+BJ276*BJ248+BK276*BK248+BL276*BL248+BM276*BM248+BN276*BN248+BO276*BO248+BP276*BP248+BQ276*BQ248+BR276*BR248+BS276*BS248+BT276*BT248+BU276*BU248+BV276*BV248+BW276*BW248+BX276*BX248+BY276*BY248+BZ276*BZ248+CA276*CA248+CB276*CB248+CC276*CC248+CD276*CD248+CE276*CE248+CF276*CF248+CG276*CG248+CH276*CH248+CI276*CI248+CJ276*CJ248+CK276*CK248+CL276*CL248+CM276*CM248+CN276*CN248+CO276*CO248+CP276*CP248+CQ276*CQ248+CR276*CR248+CS276*CS248</f>
        <v>0</v>
      </c>
    </row>
    <row r="249" spans="2:110" x14ac:dyDescent="0.25">
      <c r="B249" s="1535">
        <v>107</v>
      </c>
      <c r="C249" s="575" t="s">
        <v>4579</v>
      </c>
      <c r="D249" s="576" t="s">
        <v>3090</v>
      </c>
      <c r="E249" s="511">
        <f>0</f>
        <v>0</v>
      </c>
      <c r="F249" s="511">
        <f>0</f>
        <v>0</v>
      </c>
      <c r="G249" s="511">
        <f>0</f>
        <v>0</v>
      </c>
      <c r="H249" s="511">
        <f>0</f>
        <v>0</v>
      </c>
      <c r="I249" s="511">
        <f>0</f>
        <v>0</v>
      </c>
      <c r="J249" s="511">
        <f>0</f>
        <v>0</v>
      </c>
      <c r="K249" s="511">
        <f>0</f>
        <v>0</v>
      </c>
      <c r="L249" s="511">
        <f>0</f>
        <v>0</v>
      </c>
      <c r="M249" s="511">
        <f>0</f>
        <v>0</v>
      </c>
      <c r="N249" s="511">
        <f>0</f>
        <v>0</v>
      </c>
      <c r="O249" s="511">
        <f>0</f>
        <v>0</v>
      </c>
      <c r="P249" s="511">
        <f>0</f>
        <v>0</v>
      </c>
      <c r="Q249" s="511">
        <f>0</f>
        <v>0</v>
      </c>
      <c r="R249" s="577">
        <f>0</f>
        <v>0</v>
      </c>
      <c r="S249" s="511">
        <f>0</f>
        <v>0</v>
      </c>
      <c r="T249" s="511">
        <f>0</f>
        <v>0</v>
      </c>
      <c r="U249" s="511">
        <f>0</f>
        <v>0</v>
      </c>
      <c r="V249" s="511">
        <f>0</f>
        <v>0</v>
      </c>
      <c r="W249" s="511">
        <f>0</f>
        <v>0</v>
      </c>
      <c r="X249" s="511">
        <f>0</f>
        <v>0</v>
      </c>
      <c r="Y249" s="511">
        <f>0</f>
        <v>0</v>
      </c>
      <c r="Z249" s="511">
        <f>0</f>
        <v>0</v>
      </c>
      <c r="AA249" s="511">
        <f>0</f>
        <v>0</v>
      </c>
      <c r="AB249" s="511">
        <f>0</f>
        <v>0</v>
      </c>
      <c r="AC249" s="511">
        <f>0</f>
        <v>0</v>
      </c>
      <c r="AD249" s="511">
        <f>0</f>
        <v>0</v>
      </c>
      <c r="AE249" s="511">
        <f>0</f>
        <v>0</v>
      </c>
      <c r="AF249" s="511">
        <f>0</f>
        <v>0</v>
      </c>
      <c r="AG249" s="511">
        <f>0</f>
        <v>0</v>
      </c>
      <c r="AH249" s="511">
        <f>0</f>
        <v>0</v>
      </c>
      <c r="AI249" s="511">
        <f>0</f>
        <v>0</v>
      </c>
      <c r="AJ249" s="511">
        <f>0</f>
        <v>0</v>
      </c>
      <c r="AK249" s="511">
        <f>0</f>
        <v>0</v>
      </c>
      <c r="AL249" s="511">
        <f>0</f>
        <v>0</v>
      </c>
      <c r="AM249" s="511">
        <f>0</f>
        <v>0</v>
      </c>
      <c r="AN249" s="511">
        <f>0</f>
        <v>0</v>
      </c>
      <c r="AO249" s="511">
        <f>0</f>
        <v>0</v>
      </c>
      <c r="AP249" s="511">
        <f>0</f>
        <v>0</v>
      </c>
      <c r="AQ249" s="511">
        <f>0</f>
        <v>0</v>
      </c>
      <c r="AR249" s="511">
        <f>0</f>
        <v>0</v>
      </c>
      <c r="AS249" s="511">
        <f>0</f>
        <v>0</v>
      </c>
      <c r="AT249" s="511">
        <f>0</f>
        <v>0</v>
      </c>
      <c r="AU249" s="511">
        <f>1</f>
        <v>1</v>
      </c>
      <c r="AV249" s="511">
        <f>0</f>
        <v>0</v>
      </c>
      <c r="AW249" s="511">
        <f>0</f>
        <v>0</v>
      </c>
      <c r="AX249" s="511">
        <f>0</f>
        <v>0</v>
      </c>
      <c r="AY249" s="511">
        <f>0</f>
        <v>0</v>
      </c>
      <c r="AZ249" s="511">
        <f>0</f>
        <v>0</v>
      </c>
      <c r="BA249" s="511">
        <f>0</f>
        <v>0</v>
      </c>
      <c r="BB249" s="511">
        <f>0</f>
        <v>0</v>
      </c>
      <c r="BC249" s="577">
        <f>0</f>
        <v>0</v>
      </c>
      <c r="BD249" s="577">
        <f>0</f>
        <v>0</v>
      </c>
      <c r="BE249" s="577">
        <f>0</f>
        <v>0</v>
      </c>
      <c r="BF249" s="577">
        <f>0</f>
        <v>0</v>
      </c>
      <c r="BG249" s="577">
        <f>0</f>
        <v>0</v>
      </c>
      <c r="BH249" s="577">
        <f>0</f>
        <v>0</v>
      </c>
      <c r="BI249" s="577">
        <f>0</f>
        <v>0</v>
      </c>
      <c r="BJ249" s="577">
        <f>0</f>
        <v>0</v>
      </c>
      <c r="BK249" s="577">
        <f>0</f>
        <v>0</v>
      </c>
      <c r="BL249" s="577">
        <f>0</f>
        <v>0</v>
      </c>
      <c r="BM249" s="577">
        <f>0</f>
        <v>0</v>
      </c>
      <c r="BN249" s="577">
        <f>0</f>
        <v>0</v>
      </c>
      <c r="BO249" s="577">
        <f>0</f>
        <v>0</v>
      </c>
      <c r="BP249" s="577">
        <f>0</f>
        <v>0</v>
      </c>
      <c r="BQ249" s="577">
        <f>0</f>
        <v>0</v>
      </c>
      <c r="BR249" s="577">
        <f>0</f>
        <v>0</v>
      </c>
      <c r="BS249" s="577">
        <f>0</f>
        <v>0</v>
      </c>
      <c r="BT249" s="577">
        <f>0</f>
        <v>0</v>
      </c>
      <c r="BU249" s="577">
        <f>0</f>
        <v>0</v>
      </c>
      <c r="BV249" s="577">
        <f>0</f>
        <v>0</v>
      </c>
      <c r="BW249" s="2374">
        <f>0</f>
        <v>0</v>
      </c>
      <c r="BX249" s="2374">
        <f>0</f>
        <v>0</v>
      </c>
      <c r="BY249" s="2374">
        <f>0</f>
        <v>0</v>
      </c>
      <c r="BZ249" s="2374">
        <f>0</f>
        <v>0</v>
      </c>
      <c r="CA249" s="577">
        <f>0</f>
        <v>0</v>
      </c>
      <c r="CB249" s="577">
        <f>0</f>
        <v>0</v>
      </c>
      <c r="CC249" s="577">
        <f>0</f>
        <v>0</v>
      </c>
      <c r="CD249" s="511">
        <f>0</f>
        <v>0</v>
      </c>
      <c r="CE249" s="511">
        <f>0</f>
        <v>0</v>
      </c>
      <c r="CF249" s="511">
        <f>-1</f>
        <v>-1</v>
      </c>
      <c r="CG249" s="511">
        <f>0</f>
        <v>0</v>
      </c>
      <c r="CH249" s="511">
        <f>0</f>
        <v>0</v>
      </c>
      <c r="CI249" s="511">
        <f>0</f>
        <v>0</v>
      </c>
      <c r="CJ249" s="511">
        <f>0</f>
        <v>0</v>
      </c>
      <c r="CK249" s="511">
        <f>0</f>
        <v>0</v>
      </c>
      <c r="CL249" s="577">
        <f>0</f>
        <v>0</v>
      </c>
      <c r="CM249" s="577">
        <f>0</f>
        <v>0</v>
      </c>
      <c r="CN249" s="577">
        <f>0</f>
        <v>0</v>
      </c>
      <c r="CO249" s="577">
        <f>0</f>
        <v>0</v>
      </c>
      <c r="CP249" s="577">
        <f>0</f>
        <v>0</v>
      </c>
      <c r="CQ249" s="511">
        <f>0</f>
        <v>0</v>
      </c>
      <c r="CR249" s="511">
        <f>0</f>
        <v>0</v>
      </c>
      <c r="CS249" s="577">
        <f>0</f>
        <v>0</v>
      </c>
      <c r="CT249" s="2497">
        <f>k_LaGH2_bub*(S_GH2_bub_sat-S_H2)</f>
        <v>-1.4673500000000002</v>
      </c>
      <c r="CV249" s="2502">
        <f>E266*E249+F266*F249+G266*G249+H266*H249+I266*I249+J266*J249+K266*K249+L266*L249+M266*M249+N266*N249+O266*O249+P266*P249+Q266*Q249+R266*R249+S266*S249+T266*T249+U266*U249+V266*V249+W266*W249+X266*X249+Y266*Y249+Z266*Z249+AA266*AA249+AB266*AB249+AC266*AC249+AD266*AD249+AE266*AE249+AF266*AF249+AG266*AG249+AH266*AH249+AI266*AI249+AJ266*AJ249+AK266*AK249+AL266*AL249+AM266*AM249+AN266*AN249+AO266*AO249+AP266*AP249+AQ266*AQ249+AR266*AR249+AS266*AS249+AT266*AT249+AU266*AU249+AV266*AV249+AW266*AW249+AX266*AX249+AY266*AY249+AZ266*AZ249+BA266*BA249+BB266*BB249+BC266*BC249+BD266*BD249+BE266*BE249+BF266*BF249+BG266*BG249+BH266*BH249+BI266*BI249+BJ266*BJ249+BK266*BK249+BL266*BL249+BM266*BM249+BN266*BN249+BO266*BO249+BP266*BP249+BQ266*BQ249+BR266*BR249+BS266*BS249+BT266*BT249+BU266*BU249+BV266*BV249+BW266*BW249+BX266*BX249+BY266*BY249+BZ266*BZ249+CA266*CA249+CB266*CB249+CC266*CC249+CD266*CD249+CE266*CE249+CF266*CF249+CG266*CG249+CH266*CH249+CI266*CI249+CJ266*CJ249+CK266*CK249+CL266*CL249+CM266*CM249+CN266*CN249+CO266*CO249+CP266*CP249+CQ266*CQ249+CR266*CR249+CS266*CS249</f>
        <v>0</v>
      </c>
      <c r="CW249" s="2502">
        <f>E267*E249+F267*F249+G267*G249+H267*H249+I267*I249+J267*J249+K267*K249+L267*L249+M267*M249+N267*N249+O267*O249+P267*P249+Q267*Q249+R267*R249+S267*S249+T267*T249+U267*U249+V267*V249+W267*W249+X267*X249+Y267*Y249+Z267*Z249+AA267*AA249+AB267*AB249+AC267*AC249+AD267*AD249+AE267*AE249+AF267*AF249+AG267*AG249+AH267*AH249+AI267*AI249+AJ267*AJ249+AK267*AK249+AL267*AL249+AM267*AM249+AN267*AN249+AO267*AO249+AP267*AP249+AQ267*AQ249+AR267*AR249+AS267*AS249+AT267*AT249+AU267*AU249+AV267*AV249+AW267*AW249+AX267*AX249+AY267*AY249+AZ267*AZ249+BA267*BA249+BB267*BB249+BC267*BC249+BD267*BD249+BE267*BE249+BF267*BF249+BG267*BG249+BH267*BH249+BI267*BI249+BJ267*BJ249+BK267*BK249+BL267*BL249+BM267*BM249+BN267*BN249+BO267*BO249+BP267*BP249+BQ267*BQ249+BR267*BR249+BS267*BS249+BT267*BT249+BU267*BU249+BV267*BV249+BW267*BW249+BX267*BX249+BY267*BY249+BZ267*BZ249+CA267*CA249+CB267*CB249+CC267*CC249+CD267*CD249+CE267*CE249+CF267*CF249+CG267*CG249+CH267*CH249+CI267*CI249+CJ267*CJ249+CK267*CK249+CL267*CL249+CM267*CM249+CN267*CN249+CO267*CO249+CP267*CP249+CQ267*CQ249+CR267*CR249+CS267*CS249</f>
        <v>0</v>
      </c>
      <c r="CX249" s="2503">
        <f>E268*E249+F268*F249+G268*G249+H268*H249+I268*I249+J268*J249+K268*K249+L268*L249+M268*M249+N268*N249+O268*O249+P268*P249+Q268*Q249+R268*R249+S268*S249+T268*T249+U268*U249+V268*V249+W268*W249+X268*X249+Y268*Y249+Z268*Z249+AA268*AA249+AB268*AB249+AC268*AC249+AD268*AD249+AE268*AE249+AF268*AF249+AG268*AG249+AH268*AH249+AI268*AI249+AJ268*AJ249+AK268*AK249+AL268*AL249+AM268*AM249+AN268*AN249+AO268*AO249+AP268*AP249+AQ268*AQ249+AR268*AR249+AS268*AS249+AT268*AT249+AU268*AU249+AV268*AV249+AW268*AW249+AX268*AX249+AY268*AY249+AZ268*AZ249+BA268*BA249+BB268*BB249+BC268*BC249+BD268*BD249+BE268*BE249+BF268*BF249+BG268*BG249+BH268*BH249+BI268*BI249+BJ268*BJ249+BK268*BK249+BL268*BL249+BM268*BM249+BN268*BN249+BO268*BO249+BP268*BP249+BQ268*BQ249+BR268*BR249+BS268*BS249+BT268*BT249+BU268*BU249+BV268*BV249+BW268*BW249+BX268*BX249+BY268*BY249+BZ268*BZ249+CA268*CA249+CB268*CB249+CC268*CC249+CD268*CD249+CE268*CE249+CF268*CF249+CG268*CG249+CH268*CH249+CI268*CI249+CJ268*CJ249+CK268*CK249+CL268*CL249+CM268*CM249+CN268*CN249+CO268*CO249+CP268*CP249+CQ268*CQ249+CR268*CR249+CS268*CS249</f>
        <v>0</v>
      </c>
      <c r="CY249" s="2504">
        <f>E269*E249+F269*F249+G269*G249+H269*H249+I269*I249+J269*J249+K269*K249+L269*L249+M269*M249+N269*N249+O269*O249+P269*P249+Q269*Q249+R269*R249+S269*S249+T269*T249+U269*U249+V269*V249+W269*W249+X269*X249+Y269*Y249+Z269*Z249+AA269*AA249+AB269*AB249+AC269*AC249+AD269*AD249+AE269*AE249+AF269*AF249+AG269*AG249+AH269*AH249+AI269*AI249+AJ269*AJ249+AK269*AK249+AL269*AL249+AM269*AM249+AN269*AN249+AO269*AO249+AP269*AP249+AQ269*AQ249+AR269*AR249+AS269*AS249+AT269*AT249+AU269*AU249+AV269*AV249+AW269*AW249+AX269*AX249+AY269*AY249+AZ269*AZ249+BA269*BA249+BB269*BB249+BC269*BC249+BD269*BD249+BE269*BE249+BF269*BF249+BG269*BG249+BH269*BH249+BI269*BI249+BJ269*BJ249+BK269*BK249+BL269*BL249+BM269*BM249+BN269*BN249+BO269*BO249+BP269*BP249+BQ269*BQ249+BR269*BR249+BS269*BS249+BT269*BT249+BU269*BU249+BV269*BV249+BW269*BW249+BX269*BX249+BY269*BY249+BZ269*BZ249+CA269*CA249+CB269*CB249+CC269*CC249+CD269*CD249+CE269*CE249+CF269*CF249+CG269*CG249+CH269*CH249+CI269*CI249+CJ269*CJ249+CK269*CK249+CL269*CL249+CM269*CM249+CN269*CN249+CO269*CO249+CP269*CP249+CQ269*CQ249+CR269*CR249+CS269*CS249</f>
        <v>0</v>
      </c>
      <c r="CZ249" s="2504">
        <f>E270*E249+F270*F249+G270*G249+H270*H249+I270*I249+J270*J249+K270*K249+L270*L249+M270*M249+N270*N249+O270*O249+P270*P249+Q270*Q249+R270*R249+S270*S249+T270*T249+U270*U249+V270*V249+W270*W249+X270*X249+Y270*Y249+Z270*Z249+AA270*AA249+AB270*AB249+AC270*AC249+AD270*AD249+AE270*AE249+AF270*AF249+AG270*AG249+AH270*AH249+AI270*AI249+AJ270*AJ249+AK270*AK249+AL270*AL249+AM270*AM249+AN270*AN249+AO270*AO249+AP270*AP249+AQ270*AQ249+AR270*AR249+AS270*AS249+AT270*AT249+AU270*AU249+AV270*AV249+AW270*AW249+AX270*AX249+AY270*AY249+AZ270*AZ249+BA270*BA249+BB270*BB249+BC270*BC249+BD270*BD249+BE270*BE249+BF270*BF249+BG270*BG249+BH270*BH249+BI270*BI249+BJ270*BJ249+BK270*BK249+BL270*BL249+BM270*BM249+BN270*BN249+BO270*BO249+BP270*BP249+BQ270*BQ249+BR270*BR249+BS270*BS249+BT270*BT249+BU270*BU249+BV270*BV249+BW270*BW249+BX270*BX249+BY270*BY249+BZ270*BZ249+CA270*CA249+CB270*CB249+CC270*CC249+CD270*CD249+CE270*CE249+CF270*CF249+CG270*CG249+CH270*CH249+CI270*CI249+CJ270*CJ249+CK270*CK249+CL270*CL249+CM270*CM249+CN270*CN249+CO270*CO249+CP270*CP249+CQ270*CQ249+CR270*CR249+CS270*CS249</f>
        <v>0</v>
      </c>
      <c r="DA249" s="2504">
        <f>E271*E249+F271*F249+G271*G249+H271*H249+I271*I249+J271*J249+K271*K249+L271*L249+M271*M249+N271*N249+O271*O249+P271*P249+Q271*Q249+R271*R249+S271*S249+T271*T249+U271*U249+V271*V249+W271*W249+X271*X249+Y271*Y249+Z271*Z249+AA271*AA249+AB271*AB249+AC271*AC249+AD271*AD249+AE271*AE249+AF271*AF249+AG271*AG249+AH271*AH249+AI271*AI249+AJ271*AJ249+AK271*AK249+AL271*AL249+AM271*AM249+AN271*AN249+AO271*AO249+AP271*AP249+AQ271*AQ249+AR271*AR249+AS271*AS249+AT271*AT249+AU271*AU249+AV271*AV249+AW271*AW249+AX271*AX249+AY271*AY249+AZ271*AZ249+BA271*BA249+BB271*BB249+BC271*BC249+BD271*BD249+BE271*BE249+BF271*BF249+BG271*BG249+BH271*BH249+BI271*BI249+BJ271*BJ249+BK271*BK249+BL271*BL249+BM271*BM249+BN271*BN249+BO271*BO249+BP271*BP249+BQ271*BQ249+BR271*BR249+BS271*BS249+BT271*BT249+BU271*BU249+BV271*BV249+BW271*BW249+BX271*BX249+BY271*BY249+BZ271*BZ249+CA271*CA249+CB271*CB249+CC271*CC249+CD271*CD249+CE271*CE249+CF271*CF249+CG271*CG249+CH271*CH249+CI271*CI249+CJ271*CJ249+CK271*CK249+CL271*CL249+CM271*CM249+CN271*CN249+CO271*CO249+CP271*CP249+CQ271*CQ249+CR271*CR249+CS271*CS249</f>
        <v>0</v>
      </c>
      <c r="DB249" s="2504">
        <f>E272*E249+F272*F249+G272*G249+H272*H249+I272*I249+J272*J249+K272*K249+L272*L249+M272*M249+N272*N249+O272*O249+P272*P249+Q272*Q249+R272*R249+S272*S249+T272*T249+U272*U249+V272*V249+W272*W249+X272*X249+Y272*Y249+Z272*Z249+AA272*AA249+AB272*AB249+AC272*AC249+AD272*AD249+AE272*AE249+AF272*AF249+AG272*AG249+AH272*AH249+AI272*AI249+AJ272*AJ249+AK272*AK249+AL272*AL249+AM272*AM249+AN272*AN249+AO272*AO249+AP272*AP249+AQ272*AQ249+AR272*AR249+AS272*AS249+AT272*AT249+AU272*AU249+AV272*AV249+AW272*AW249+AX272*AX249+AY272*AY249+AZ272*AZ249+BA272*BA249+BB272*BB249+BC272*BC249+BD272*BD249+BE272*BE249+BF272*BF249+BG272*BG249+BH272*BH249+BI272*BI249+BJ272*BJ249+BK272*BK249+BL272*BL249+BM272*BM249+BN272*BN249+BO272*BO249+BP272*BP249+BQ272*BQ249+BR272*BR249+BS272*BS249+BT272*BT249+BU272*BU249+BV272*BV249+BW272*BW249+BX272*BX249+BY272*BY249+BZ272*BZ249+CA272*CA249+CB272*CB249+CC272*CC249+CD272*CD249+CE272*CE249+CF272*CF249+CG272*CG249+CH272*CH249+CI272*CI249+CJ272*CJ249+CK272*CK249+CL272*CL249+CM272*CM249+CN272*CN249+CO272*CO249+CP272*CP249+CQ272*CQ249+CR272*CR249+CS272*CS249</f>
        <v>0</v>
      </c>
      <c r="DC249" s="2504">
        <f>E273*E249+F273*F249+G273*G249+H273*H249+I273*I249+J273*J249+K273*K249+L273*L249+M273*M249+N273*N249+O273*O249+P273*P249+Q273*Q249+R273*R249+S273*S249+T273*T249+U273*U249+V273*V249+W273*W249+X273*X249+Y273*Y249+Z273*Z249+AA273*AA249+AB273*AB249+AC273*AC249+AD273*AD249+AE273*AE249+AF273*AF249+AG273*AG249+AH273*AH249+AI273*AI249+AJ273*AJ249+AK273*AK249+AL273*AL249+AM273*AM249+AN273*AN249+AO273*AO249+AP273*AP249+AQ273*AQ249+AR273*AR249+AS273*AS249+AT273*AT249+AU273*AU249+AV273*AV249+AW273*AW249+AX273*AX249+AY273*AY249+AZ273*AZ249+BA273*BA249+BB273*BB249+BC273*BC249+BD273*BD249+BE273*BE249+BF273*BF249+BG273*BG249+BH273*BH249+BI273*BI249+BJ273*BJ249+BK273*BK249+BL273*BL249+BM273*BM249+BN273*BN249+BO273*BO249+BP273*BP249+BQ273*BQ249+BR273*BR249+BS273*BS249+BT273*BT249+BU273*BU249+BV273*BV249+BW273*BW249+BX273*BX249+BY273*BY249+BZ273*BZ249+CA273*CA249+CB273*CB249+CC273*CC249+CD273*CD249+CE273*CE249+CF273*CF249+CG273*CG249+CH273*CH249+CI273*CI249+CJ273*CJ249+CK273*CK249+CL273*CL249+CM273*CM249+CN273*CN249+CO273*CO249+CP273*CP249+CQ273*CQ249+CR273*CR249+CS273*CS249</f>
        <v>0</v>
      </c>
      <c r="DD249" s="2504">
        <f>E274*E249+F274*F249+G274*G249+H274*H249+I274*I249+J274*J249+K274*K249+L274*L249+M274*M249+N274*N249+O274*O249+P274*P249+Q274*Q249+R274*R249+S274*S249+T274*T249+U274*U249+V274*V249+W274*W249+X274*X249+Y274*Y249+Z274*Z249+AA274*AA249+AB274*AB249+AC274*AC249+AD274*AD249+AE274*AE249+AF274*AF249+AG274*AG249+AH274*AH249+AI274*AI249+AJ274*AJ249+AK274*AK249+AL274*AL249+AM274*AM249+AN274*AN249+AO274*AO249+AP274*AP249+AQ274*AQ249+AR274*AR249+AS274*AS249+AT274*AT249+AU274*AU249+AV274*AV249+AW274*AW249+AX274*AX249+AY274*AY249+AZ274*AZ249+BA274*BA249+BB274*BB249+BC274*BC249+BD274*BD249+BE274*BE249+BF274*BF249+BG274*BG249+BH274*BH249+BI274*BI249+BJ274*BJ249+BK274*BK249+BL274*BL249+BM274*BM249+BN274*BN249+BO274*BO249+BP274*BP249+BQ274*BQ249+BR274*BR249+BS274*BS249+BT274*BT249+BU274*BU249+BV274*BV249+BW274*BW249+BX274*BX249+BY274*BY249+BZ274*BZ249+CA274*CA249+CB274*CB249+CC274*CC249+CD274*CD249+CE274*CE249+CF274*CF249+CG274*CG249+CH274*CH249+CI274*CI249+CJ274*CJ249+CK274*CK249+CL274*CL249+CM274*CM249+CN274*CN249+CO274*CO249+CP274*CP249+CQ274*CQ249+CR274*CR249+CS274*CS249</f>
        <v>0</v>
      </c>
      <c r="DE249" s="2504">
        <f>E275*E249+F275*F249+G275*G249+H275*H249+I275*I249+J275*J249+K275*K249+L275*L249+M275*M249+N275*N249+O275*O249+P275*P249+Q275*Q249+R275*R249+S275*S249+T275*T249+U275*U249+V275*V249+W275*W249+X275*X249+Y275*Y249+Z275*Z249+AA275*AA249+AB275*AB249+AC275*AC249+AD275*AD249+AE275*AE249+AF275*AF249+AG275*AG249+AH275*AH249+AI275*AI249+AJ275*AJ249+AK275*AK249+AL275*AL249+AM275*AM249+AN275*AN249+AO275*AO249+AP275*AP249+AQ275*AQ249+AR275*AR249+AS275*AS249+AT275*AT249+AU275*AU249+AV275*AV249+AW275*AW249+AX275*AX249+AY275*AY249+AZ275*AZ249+BA275*BA249+BB275*BB249+BC275*BC249+BD275*BD249+BE275*BE249+BF275*BF249+BG275*BG249+BH275*BH249+BI275*BI249+BJ275*BJ249+BK275*BK249+BL275*BL249+BM275*BM249+BN275*BN249+BO275*BO249+BP275*BP249+BQ275*BQ249+BR275*BR249+BS275*BS249+BT275*BT249+BU275*BU249+BV275*BV249+BW275*BW249+BX275*BX249+BY275*BY249+BZ275*BZ249+CA275*CA249+CB275*CB249+CC275*CC249+CD275*CD249+CE275*CE249+CF275*CF249+CG275*CG249+CH275*CH249+CI275*CI249+CJ275*CJ249+CK275*CK249+CL275*CL249+CM275*CM249+CN275*CN249+CO275*CO249+CP275*CP249+CQ275*CQ249+CR275*CR249+CS275*CS249</f>
        <v>0</v>
      </c>
      <c r="DF249" s="2504">
        <f>E276*E249+F276*F249+G276*G249+H276*H249+I276*I249+J276*J249+K276*K249+L276*L249+M276*M249+N276*N249+O276*O249+P276*P249+Q276*Q249+R276*R249+S276*S249+T276*T249+U276*U249+V276*V249+W276*W249+X276*X249+Y276*Y249+Z276*Z249+AA276*AA249+AB276*AB249+AC276*AC249+AD276*AD249+AE276*AE249+AF276*AF249+AG276*AG249+AH276*AH249+AI276*AI249+AJ276*AJ249+AK276*AK249+AL276*AL249+AM276*AM249+AN276*AN249+AO276*AO249+AP276*AP249+AQ276*AQ249+AR276*AR249+AS276*AS249+AT276*AT249+AU276*AU249+AV276*AV249+AW276*AW249+AX276*AX249+AY276*AY249+AZ276*AZ249+BA276*BA249+BB276*BB249+BC276*BC249+BD276*BD249+BE276*BE249+BF276*BF249+BG276*BG249+BH276*BH249+BI276*BI249+BJ276*BJ249+BK276*BK249+BL276*BL249+BM276*BM249+BN276*BN249+BO276*BO249+BP276*BP249+BQ276*BQ249+BR276*BR249+BS276*BS249+BT276*BT249+BU276*BU249+BV276*BV249+BW276*BW249+BX276*BX249+BY276*BY249+BZ276*BZ249+CA276*CA249+CB276*CB249+CC276*CC249+CD276*CD249+CE276*CE249+CF276*CF249+CG276*CG249+CH276*CH249+CI276*CI249+CJ276*CJ249+CK276*CK249+CL276*CL249+CM276*CM249+CN276*CN249+CO276*CO249+CP276*CP249+CQ276*CQ249+CR276*CR249+CS276*CS249</f>
        <v>0</v>
      </c>
    </row>
    <row r="250" spans="2:110" x14ac:dyDescent="0.25">
      <c r="B250" s="1535">
        <v>108</v>
      </c>
      <c r="C250" s="575" t="s">
        <v>4580</v>
      </c>
      <c r="D250" s="576" t="s">
        <v>3091</v>
      </c>
      <c r="E250" s="511">
        <f>0</f>
        <v>0</v>
      </c>
      <c r="F250" s="511">
        <f>0</f>
        <v>0</v>
      </c>
      <c r="G250" s="511">
        <f>0</f>
        <v>0</v>
      </c>
      <c r="H250" s="511">
        <f>0</f>
        <v>0</v>
      </c>
      <c r="I250" s="511">
        <f>0</f>
        <v>0</v>
      </c>
      <c r="J250" s="511">
        <f>0</f>
        <v>0</v>
      </c>
      <c r="K250" s="511">
        <f>0</f>
        <v>0</v>
      </c>
      <c r="L250" s="511">
        <f>0</f>
        <v>0</v>
      </c>
      <c r="M250" s="511">
        <f>0</f>
        <v>0</v>
      </c>
      <c r="N250" s="511">
        <f>0</f>
        <v>0</v>
      </c>
      <c r="O250" s="511">
        <f>0</f>
        <v>0</v>
      </c>
      <c r="P250" s="511">
        <f>0</f>
        <v>0</v>
      </c>
      <c r="Q250" s="511">
        <f>0</f>
        <v>0</v>
      </c>
      <c r="R250" s="577">
        <f>0</f>
        <v>0</v>
      </c>
      <c r="S250" s="511">
        <f>0</f>
        <v>0</v>
      </c>
      <c r="T250" s="511">
        <f>0</f>
        <v>0</v>
      </c>
      <c r="U250" s="511">
        <f>0</f>
        <v>0</v>
      </c>
      <c r="V250" s="511">
        <f>0</f>
        <v>0</v>
      </c>
      <c r="W250" s="511">
        <f>0</f>
        <v>0</v>
      </c>
      <c r="X250" s="511">
        <f>0</f>
        <v>0</v>
      </c>
      <c r="Y250" s="511">
        <f>0</f>
        <v>0</v>
      </c>
      <c r="Z250" s="511">
        <f>0</f>
        <v>0</v>
      </c>
      <c r="AA250" s="511">
        <f>0</f>
        <v>0</v>
      </c>
      <c r="AB250" s="511">
        <f>0</f>
        <v>0</v>
      </c>
      <c r="AC250" s="511">
        <f>0</f>
        <v>0</v>
      </c>
      <c r="AD250" s="511">
        <f>0</f>
        <v>0</v>
      </c>
      <c r="AE250" s="511">
        <f>0</f>
        <v>0</v>
      </c>
      <c r="AF250" s="511">
        <f>0</f>
        <v>0</v>
      </c>
      <c r="AG250" s="511">
        <f>0</f>
        <v>0</v>
      </c>
      <c r="AH250" s="511">
        <f>0</f>
        <v>0</v>
      </c>
      <c r="AI250" s="511">
        <f>0</f>
        <v>0</v>
      </c>
      <c r="AJ250" s="511">
        <f>0</f>
        <v>0</v>
      </c>
      <c r="AK250" s="511">
        <f>0</f>
        <v>0</v>
      </c>
      <c r="AL250" s="511">
        <f>0</f>
        <v>0</v>
      </c>
      <c r="AM250" s="511">
        <f>0</f>
        <v>0</v>
      </c>
      <c r="AN250" s="511">
        <f>0</f>
        <v>0</v>
      </c>
      <c r="AO250" s="511">
        <f>0</f>
        <v>0</v>
      </c>
      <c r="AP250" s="511">
        <f>0</f>
        <v>0</v>
      </c>
      <c r="AQ250" s="511">
        <f>0</f>
        <v>0</v>
      </c>
      <c r="AR250" s="511">
        <f>0</f>
        <v>0</v>
      </c>
      <c r="AS250" s="511">
        <f>1</f>
        <v>1</v>
      </c>
      <c r="AT250" s="511">
        <f>0</f>
        <v>0</v>
      </c>
      <c r="AU250" s="511">
        <f>0</f>
        <v>0</v>
      </c>
      <c r="AV250" s="511">
        <f>0</f>
        <v>0</v>
      </c>
      <c r="AW250" s="511">
        <f>0</f>
        <v>0</v>
      </c>
      <c r="AX250" s="511">
        <f>0</f>
        <v>0</v>
      </c>
      <c r="AY250" s="511">
        <f>0</f>
        <v>0</v>
      </c>
      <c r="AZ250" s="511">
        <f>0</f>
        <v>0</v>
      </c>
      <c r="BA250" s="511">
        <f>0</f>
        <v>0</v>
      </c>
      <c r="BB250" s="511">
        <f>0</f>
        <v>0</v>
      </c>
      <c r="BC250" s="577">
        <f>0</f>
        <v>0</v>
      </c>
      <c r="BD250" s="577">
        <f>0</f>
        <v>0</v>
      </c>
      <c r="BE250" s="577">
        <f>0</f>
        <v>0</v>
      </c>
      <c r="BF250" s="577">
        <f>0</f>
        <v>0</v>
      </c>
      <c r="BG250" s="577">
        <f>0</f>
        <v>0</v>
      </c>
      <c r="BH250" s="577">
        <f>0</f>
        <v>0</v>
      </c>
      <c r="BI250" s="577">
        <f>0</f>
        <v>0</v>
      </c>
      <c r="BJ250" s="577">
        <f>0</f>
        <v>0</v>
      </c>
      <c r="BK250" s="577">
        <f>0</f>
        <v>0</v>
      </c>
      <c r="BL250" s="577">
        <f>0</f>
        <v>0</v>
      </c>
      <c r="BM250" s="577">
        <f>0</f>
        <v>0</v>
      </c>
      <c r="BN250" s="577">
        <f>0</f>
        <v>0</v>
      </c>
      <c r="BO250" s="577">
        <f>0</f>
        <v>0</v>
      </c>
      <c r="BP250" s="577">
        <f>0</f>
        <v>0</v>
      </c>
      <c r="BQ250" s="577">
        <f>0</f>
        <v>0</v>
      </c>
      <c r="BR250" s="577">
        <f>0</f>
        <v>0</v>
      </c>
      <c r="BS250" s="577">
        <f>0</f>
        <v>0</v>
      </c>
      <c r="BT250" s="577">
        <f>0</f>
        <v>0</v>
      </c>
      <c r="BU250" s="577">
        <f>0</f>
        <v>0</v>
      </c>
      <c r="BV250" s="577">
        <f>0</f>
        <v>0</v>
      </c>
      <c r="BW250" s="2374">
        <f>0</f>
        <v>0</v>
      </c>
      <c r="BX250" s="2374">
        <f>0</f>
        <v>0</v>
      </c>
      <c r="BY250" s="2374">
        <f>0</f>
        <v>0</v>
      </c>
      <c r="BZ250" s="2374">
        <f>0</f>
        <v>0</v>
      </c>
      <c r="CA250" s="577">
        <f>0</f>
        <v>0</v>
      </c>
      <c r="CB250" s="577">
        <f>0</f>
        <v>0</v>
      </c>
      <c r="CC250" s="577">
        <f>0</f>
        <v>0</v>
      </c>
      <c r="CD250" s="511">
        <f>0</f>
        <v>0</v>
      </c>
      <c r="CE250" s="511">
        <f>0</f>
        <v>0</v>
      </c>
      <c r="CF250" s="511">
        <f>0</f>
        <v>0</v>
      </c>
      <c r="CG250" s="511">
        <f>-1</f>
        <v>-1</v>
      </c>
      <c r="CH250" s="511">
        <f>0</f>
        <v>0</v>
      </c>
      <c r="CI250" s="511">
        <f>0</f>
        <v>0</v>
      </c>
      <c r="CJ250" s="511">
        <f>0</f>
        <v>0</v>
      </c>
      <c r="CK250" s="511">
        <f>0</f>
        <v>0</v>
      </c>
      <c r="CL250" s="577">
        <f>0</f>
        <v>0</v>
      </c>
      <c r="CM250" s="577">
        <f>0</f>
        <v>0</v>
      </c>
      <c r="CN250" s="577">
        <f>0</f>
        <v>0</v>
      </c>
      <c r="CO250" s="577">
        <f>0</f>
        <v>0</v>
      </c>
      <c r="CP250" s="577">
        <f>0</f>
        <v>0</v>
      </c>
      <c r="CQ250" s="511">
        <f>0</f>
        <v>0</v>
      </c>
      <c r="CR250" s="511">
        <f>0</f>
        <v>0</v>
      </c>
      <c r="CS250" s="577">
        <f>0</f>
        <v>0</v>
      </c>
      <c r="CT250" s="2497">
        <f>k_LaGO2_bub*(S_GO2_bub_sat-S_O2)</f>
        <v>800</v>
      </c>
      <c r="CV250" s="2502">
        <f>E266*E250+F266*F250+G266*G250+H266*H250+I266*I250+J266*J250+K266*K250+L266*L250+M266*M250+N266*N250+O266*O250+P266*P250+Q266*Q250+R266*R250+S266*S250+T266*T250+U266*U250+V266*V250+W266*W250+X266*X250+Y266*Y250+Z266*Z250+AA266*AA250+AB266*AB250+AC266*AC250+AD266*AD250+AE266*AE250+AF266*AF250+AG266*AG250+AH266*AH250+AI266*AI250+AJ266*AJ250+AK266*AK250+AL266*AL250+AM266*AM250+AN266*AN250+AO266*AO250+AP266*AP250+AQ266*AQ250+AR266*AR250+AS266*AS250+AT266*AT250+AU266*AU250+AV266*AV250+AW266*AW250+AX266*AX250+AY266*AY250+AZ266*AZ250+BA266*BA250+BB266*BB250+BC266*BC250+BD266*BD250+BE266*BE250+BF266*BF250+BG266*BG250+BH266*BH250+BI266*BI250+BJ266*BJ250+BK266*BK250+BL266*BL250+BM266*BM250+BN266*BN250+BO266*BO250+BP266*BP250+BQ266*BQ250+BR266*BR250+BS266*BS250+BT266*BT250+BU266*BU250+BV266*BV250+BW266*BW250+BX266*BX250+BY266*BY250+BZ266*BZ250+CA266*CA250+CB266*CB250+CC266*CC250+CD266*CD250+CE266*CE250+CF266*CF250+CG266*CG250+CH266*CH250+CI266*CI250+CJ266*CJ250+CK266*CK250+CL266*CL250+CM266*CM250+CN266*CN250+CO266*CO250+CP266*CP250+CQ266*CQ250+CR266*CR250+CS266*CS250</f>
        <v>0</v>
      </c>
      <c r="CW250" s="2502">
        <f>E267*E250+F267*F250+G267*G250+H267*H250+I267*I250+J267*J250+K267*K250+L267*L250+M267*M250+N267*N250+O267*O250+P267*P250+Q267*Q250+R267*R250+S267*S250+T267*T250+U267*U250+V267*V250+W267*W250+X267*X250+Y267*Y250+Z267*Z250+AA267*AA250+AB267*AB250+AC267*AC250+AD267*AD250+AE267*AE250+AF267*AF250+AG267*AG250+AH267*AH250+AI267*AI250+AJ267*AJ250+AK267*AK250+AL267*AL250+AM267*AM250+AN267*AN250+AO267*AO250+AP267*AP250+AQ267*AQ250+AR267*AR250+AS267*AS250+AT267*AT250+AU267*AU250+AV267*AV250+AW267*AW250+AX267*AX250+AY267*AY250+AZ267*AZ250+BA267*BA250+BB267*BB250+BC267*BC250+BD267*BD250+BE267*BE250+BF267*BF250+BG267*BG250+BH267*BH250+BI267*BI250+BJ267*BJ250+BK267*BK250+BL267*BL250+BM267*BM250+BN267*BN250+BO267*BO250+BP267*BP250+BQ267*BQ250+BR267*BR250+BS267*BS250+BT267*BT250+BU267*BU250+BV267*BV250+BW267*BW250+BX267*BX250+BY267*BY250+BZ267*BZ250+CA267*CA250+CB267*CB250+CC267*CC250+CD267*CD250+CE267*CE250+CF267*CF250+CG267*CG250+CH267*CH250+CI267*CI250+CJ267*CJ250+CK267*CK250+CL267*CL250+CM267*CM250+CN267*CN250+CO267*CO250+CP267*CP250+CQ267*CQ250+CR267*CR250+CS267*CS250</f>
        <v>0</v>
      </c>
      <c r="CX250" s="2503">
        <f>E268*E250+F268*F250+G268*G250+H268*H250+I268*I250+J268*J250+K268*K250+L268*L250+M268*M250+N268*N250+O268*O250+P268*P250+Q268*Q250+R268*R250+S268*S250+T268*T250+U268*U250+V268*V250+W268*W250+X268*X250+Y268*Y250+Z268*Z250+AA268*AA250+AB268*AB250+AC268*AC250+AD268*AD250+AE268*AE250+AF268*AF250+AG268*AG250+AH268*AH250+AI268*AI250+AJ268*AJ250+AK268*AK250+AL268*AL250+AM268*AM250+AN268*AN250+AO268*AO250+AP268*AP250+AQ268*AQ250+AR268*AR250+AS268*AS250+AT268*AT250+AU268*AU250+AV268*AV250+AW268*AW250+AX268*AX250+AY268*AY250+AZ268*AZ250+BA268*BA250+BB268*BB250+BC268*BC250+BD268*BD250+BE268*BE250+BF268*BF250+BG268*BG250+BH268*BH250+BI268*BI250+BJ268*BJ250+BK268*BK250+BL268*BL250+BM268*BM250+BN268*BN250+BO268*BO250+BP268*BP250+BQ268*BQ250+BR268*BR250+BS268*BS250+BT268*BT250+BU268*BU250+BV268*BV250+BW268*BW250+BX268*BX250+BY268*BY250+BZ268*BZ250+CA268*CA250+CB268*CB250+CC268*CC250+CD268*CD250+CE268*CE250+CF268*CF250+CG268*CG250+CH268*CH250+CI268*CI250+CJ268*CJ250+CK268*CK250+CL268*CL250+CM268*CM250+CN268*CN250+CO268*CO250+CP268*CP250+CQ268*CQ250+CR268*CR250+CS268*CS250</f>
        <v>0</v>
      </c>
      <c r="CY250" s="2504">
        <f>E269*E250+F269*F250+G269*G250+H269*H250+I269*I250+J269*J250+K269*K250+L269*L250+M269*M250+N269*N250+O269*O250+P269*P250+Q269*Q250+R269*R250+S269*S250+T269*T250+U269*U250+V269*V250+W269*W250+X269*X250+Y269*Y250+Z269*Z250+AA269*AA250+AB269*AB250+AC269*AC250+AD269*AD250+AE269*AE250+AF269*AF250+AG269*AG250+AH269*AH250+AI269*AI250+AJ269*AJ250+AK269*AK250+AL269*AL250+AM269*AM250+AN269*AN250+AO269*AO250+AP269*AP250+AQ269*AQ250+AR269*AR250+AS269*AS250+AT269*AT250+AU269*AU250+AV269*AV250+AW269*AW250+AX269*AX250+AY269*AY250+AZ269*AZ250+BA269*BA250+BB269*BB250+BC269*BC250+BD269*BD250+BE269*BE250+BF269*BF250+BG269*BG250+BH269*BH250+BI269*BI250+BJ269*BJ250+BK269*BK250+BL269*BL250+BM269*BM250+BN269*BN250+BO269*BO250+BP269*BP250+BQ269*BQ250+BR269*BR250+BS269*BS250+BT269*BT250+BU269*BU250+BV269*BV250+BW269*BW250+BX269*BX250+BY269*BY250+BZ269*BZ250+CA269*CA250+CB269*CB250+CC269*CC250+CD269*CD250+CE269*CE250+CF269*CF250+CG269*CG250+CH269*CH250+CI269*CI250+CJ269*CJ250+CK269*CK250+CL269*CL250+CM269*CM250+CN269*CN250+CO269*CO250+CP269*CP250+CQ269*CQ250+CR269*CR250+CS269*CS250</f>
        <v>0</v>
      </c>
      <c r="CZ250" s="2504">
        <f>E270*E250+F270*F250+G270*G250+H270*H250+I270*I250+J270*J250+K270*K250+L270*L250+M270*M250+N270*N250+O270*O250+P270*P250+Q270*Q250+R270*R250+S270*S250+T270*T250+U270*U250+V270*V250+W270*W250+X270*X250+Y270*Y250+Z270*Z250+AA270*AA250+AB270*AB250+AC270*AC250+AD270*AD250+AE270*AE250+AF270*AF250+AG270*AG250+AH270*AH250+AI270*AI250+AJ270*AJ250+AK270*AK250+AL270*AL250+AM270*AM250+AN270*AN250+AO270*AO250+AP270*AP250+AQ270*AQ250+AR270*AR250+AS270*AS250+AT270*AT250+AU270*AU250+AV270*AV250+AW270*AW250+AX270*AX250+AY270*AY250+AZ270*AZ250+BA270*BA250+BB270*BB250+BC270*BC250+BD270*BD250+BE270*BE250+BF270*BF250+BG270*BG250+BH270*BH250+BI270*BI250+BJ270*BJ250+BK270*BK250+BL270*BL250+BM270*BM250+BN270*BN250+BO270*BO250+BP270*BP250+BQ270*BQ250+BR270*BR250+BS270*BS250+BT270*BT250+BU270*BU250+BV270*BV250+BW270*BW250+BX270*BX250+BY270*BY250+BZ270*BZ250+CA270*CA250+CB270*CB250+CC270*CC250+CD270*CD250+CE270*CE250+CF270*CF250+CG270*CG250+CH270*CH250+CI270*CI250+CJ270*CJ250+CK270*CK250+CL270*CL250+CM270*CM250+CN270*CN250+CO270*CO250+CP270*CP250+CQ270*CQ250+CR270*CR250+CS270*CS250</f>
        <v>0</v>
      </c>
      <c r="DA250" s="2504">
        <f>E271*E250+F271*F250+G271*G250+H271*H250+I271*I250+J271*J250+K271*K250+L271*L250+M271*M250+N271*N250+O271*O250+P271*P250+Q271*Q250+R271*R250+S271*S250+T271*T250+U271*U250+V271*V250+W271*W250+X271*X250+Y271*Y250+Z271*Z250+AA271*AA250+AB271*AB250+AC271*AC250+AD271*AD250+AE271*AE250+AF271*AF250+AG271*AG250+AH271*AH250+AI271*AI250+AJ271*AJ250+AK271*AK250+AL271*AL250+AM271*AM250+AN271*AN250+AO271*AO250+AP271*AP250+AQ271*AQ250+AR271*AR250+AS271*AS250+AT271*AT250+AU271*AU250+AV271*AV250+AW271*AW250+AX271*AX250+AY271*AY250+AZ271*AZ250+BA271*BA250+BB271*BB250+BC271*BC250+BD271*BD250+BE271*BE250+BF271*BF250+BG271*BG250+BH271*BH250+BI271*BI250+BJ271*BJ250+BK271*BK250+BL271*BL250+BM271*BM250+BN271*BN250+BO271*BO250+BP271*BP250+BQ271*BQ250+BR271*BR250+BS271*BS250+BT271*BT250+BU271*BU250+BV271*BV250+BW271*BW250+BX271*BX250+BY271*BY250+BZ271*BZ250+CA271*CA250+CB271*CB250+CC271*CC250+CD271*CD250+CE271*CE250+CF271*CF250+CG271*CG250+CH271*CH250+CI271*CI250+CJ271*CJ250+CK271*CK250+CL271*CL250+CM271*CM250+CN271*CN250+CO271*CO250+CP271*CP250+CQ271*CQ250+CR271*CR250+CS271*CS250</f>
        <v>0</v>
      </c>
      <c r="DB250" s="2504">
        <f>E272*E250+F272*F250+G272*G250+H272*H250+I272*I250+J272*J250+K272*K250+L272*L250+M272*M250+N272*N250+O272*O250+P272*P250+Q272*Q250+R272*R250+S272*S250+T272*T250+U272*U250+V272*V250+W272*W250+X272*X250+Y272*Y250+Z272*Z250+AA272*AA250+AB272*AB250+AC272*AC250+AD272*AD250+AE272*AE250+AF272*AF250+AG272*AG250+AH272*AH250+AI272*AI250+AJ272*AJ250+AK272*AK250+AL272*AL250+AM272*AM250+AN272*AN250+AO272*AO250+AP272*AP250+AQ272*AQ250+AR272*AR250+AS272*AS250+AT272*AT250+AU272*AU250+AV272*AV250+AW272*AW250+AX272*AX250+AY272*AY250+AZ272*AZ250+BA272*BA250+BB272*BB250+BC272*BC250+BD272*BD250+BE272*BE250+BF272*BF250+BG272*BG250+BH272*BH250+BI272*BI250+BJ272*BJ250+BK272*BK250+BL272*BL250+BM272*BM250+BN272*BN250+BO272*BO250+BP272*BP250+BQ272*BQ250+BR272*BR250+BS272*BS250+BT272*BT250+BU272*BU250+BV272*BV250+BW272*BW250+BX272*BX250+BY272*BY250+BZ272*BZ250+CA272*CA250+CB272*CB250+CC272*CC250+CD272*CD250+CE272*CE250+CF272*CF250+CG272*CG250+CH272*CH250+CI272*CI250+CJ272*CJ250+CK272*CK250+CL272*CL250+CM272*CM250+CN272*CN250+CO272*CO250+CP272*CP250+CQ272*CQ250+CR272*CR250+CS272*CS250</f>
        <v>0</v>
      </c>
      <c r="DC250" s="2504">
        <f>E273*E250+F273*F250+G273*G250+H273*H250+I273*I250+J273*J250+K273*K250+L273*L250+M273*M250+N273*N250+O273*O250+P273*P250+Q273*Q250+R273*R250+S273*S250+T273*T250+U273*U250+V273*V250+W273*W250+X273*X250+Y273*Y250+Z273*Z250+AA273*AA250+AB273*AB250+AC273*AC250+AD273*AD250+AE273*AE250+AF273*AF250+AG273*AG250+AH273*AH250+AI273*AI250+AJ273*AJ250+AK273*AK250+AL273*AL250+AM273*AM250+AN273*AN250+AO273*AO250+AP273*AP250+AQ273*AQ250+AR273*AR250+AS273*AS250+AT273*AT250+AU273*AU250+AV273*AV250+AW273*AW250+AX273*AX250+AY273*AY250+AZ273*AZ250+BA273*BA250+BB273*BB250+BC273*BC250+BD273*BD250+BE273*BE250+BF273*BF250+BG273*BG250+BH273*BH250+BI273*BI250+BJ273*BJ250+BK273*BK250+BL273*BL250+BM273*BM250+BN273*BN250+BO273*BO250+BP273*BP250+BQ273*BQ250+BR273*BR250+BS273*BS250+BT273*BT250+BU273*BU250+BV273*BV250+BW273*BW250+BX273*BX250+BY273*BY250+BZ273*BZ250+CA273*CA250+CB273*CB250+CC273*CC250+CD273*CD250+CE273*CE250+CF273*CF250+CG273*CG250+CH273*CH250+CI273*CI250+CJ273*CJ250+CK273*CK250+CL273*CL250+CM273*CM250+CN273*CN250+CO273*CO250+CP273*CP250+CQ273*CQ250+CR273*CR250+CS273*CS250</f>
        <v>0</v>
      </c>
      <c r="DD250" s="2504">
        <f>E274*E250+F274*F250+G274*G250+H274*H250+I274*I250+J274*J250+K274*K250+L274*L250+M274*M250+N274*N250+O274*O250+P274*P250+Q274*Q250+R274*R250+S274*S250+T274*T250+U274*U250+V274*V250+W274*W250+X274*X250+Y274*Y250+Z274*Z250+AA274*AA250+AB274*AB250+AC274*AC250+AD274*AD250+AE274*AE250+AF274*AF250+AG274*AG250+AH274*AH250+AI274*AI250+AJ274*AJ250+AK274*AK250+AL274*AL250+AM274*AM250+AN274*AN250+AO274*AO250+AP274*AP250+AQ274*AQ250+AR274*AR250+AS274*AS250+AT274*AT250+AU274*AU250+AV274*AV250+AW274*AW250+AX274*AX250+AY274*AY250+AZ274*AZ250+BA274*BA250+BB274*BB250+BC274*BC250+BD274*BD250+BE274*BE250+BF274*BF250+BG274*BG250+BH274*BH250+BI274*BI250+BJ274*BJ250+BK274*BK250+BL274*BL250+BM274*BM250+BN274*BN250+BO274*BO250+BP274*BP250+BQ274*BQ250+BR274*BR250+BS274*BS250+BT274*BT250+BU274*BU250+BV274*BV250+BW274*BW250+BX274*BX250+BY274*BY250+BZ274*BZ250+CA274*CA250+CB274*CB250+CC274*CC250+CD274*CD250+CE274*CE250+CF274*CF250+CG274*CG250+CH274*CH250+CI274*CI250+CJ274*CJ250+CK274*CK250+CL274*CL250+CM274*CM250+CN274*CN250+CO274*CO250+CP274*CP250+CQ274*CQ250+CR274*CR250+CS274*CS250</f>
        <v>0</v>
      </c>
      <c r="DE250" s="2504">
        <f>E275*E250+F275*F250+G275*G250+H275*H250+I275*I250+J275*J250+K275*K250+L275*L250+M275*M250+N275*N250+O275*O250+P275*P250+Q275*Q250+R275*R250+S275*S250+T275*T250+U275*U250+V275*V250+W275*W250+X275*X250+Y275*Y250+Z275*Z250+AA275*AA250+AB275*AB250+AC275*AC250+AD275*AD250+AE275*AE250+AF275*AF250+AG275*AG250+AH275*AH250+AI275*AI250+AJ275*AJ250+AK275*AK250+AL275*AL250+AM275*AM250+AN275*AN250+AO275*AO250+AP275*AP250+AQ275*AQ250+AR275*AR250+AS275*AS250+AT275*AT250+AU275*AU250+AV275*AV250+AW275*AW250+AX275*AX250+AY275*AY250+AZ275*AZ250+BA275*BA250+BB275*BB250+BC275*BC250+BD275*BD250+BE275*BE250+BF275*BF250+BG275*BG250+BH275*BH250+BI275*BI250+BJ275*BJ250+BK275*BK250+BL275*BL250+BM275*BM250+BN275*BN250+BO275*BO250+BP275*BP250+BQ275*BQ250+BR275*BR250+BS275*BS250+BT275*BT250+BU275*BU250+BV275*BV250+BW275*BW250+BX275*BX250+BY275*BY250+BZ275*BZ250+CA275*CA250+CB275*CB250+CC275*CC250+CD275*CD250+CE275*CE250+CF275*CF250+CG275*CG250+CH275*CH250+CI275*CI250+CJ275*CJ250+CK275*CK250+CL275*CL250+CM275*CM250+CN275*CN250+CO275*CO250+CP275*CP250+CQ275*CQ250+CR275*CR250+CS275*CS250</f>
        <v>0</v>
      </c>
      <c r="DF250" s="2504">
        <f>E276*E250+F276*F250+G276*G250+H276*H250+I276*I250+J276*J250+K276*K250+L276*L250+M276*M250+N276*N250+O276*O250+P276*P250+Q276*Q250+R276*R250+S276*S250+T276*T250+U276*U250+V276*V250+W276*W250+X276*X250+Y276*Y250+Z276*Z250+AA276*AA250+AB276*AB250+AC276*AC250+AD276*AD250+AE276*AE250+AF276*AF250+AG276*AG250+AH276*AH250+AI276*AI250+AJ276*AJ250+AK276*AK250+AL276*AL250+AM276*AM250+AN276*AN250+AO276*AO250+AP276*AP250+AQ276*AQ250+AR276*AR250+AS276*AS250+AT276*AT250+AU276*AU250+AV276*AV250+AW276*AW250+AX276*AX250+AY276*AY250+AZ276*AZ250+BA276*BA250+BB276*BB250+BC276*BC250+BD276*BD250+BE276*BE250+BF276*BF250+BG276*BG250+BH276*BH250+BI276*BI250+BJ276*BJ250+BK276*BK250+BL276*BL250+BM276*BM250+BN276*BN250+BO276*BO250+BP276*BP250+BQ276*BQ250+BR276*BR250+BS276*BS250+BT276*BT250+BU276*BU250+BV276*BV250+BW276*BW250+BX276*BX250+BY276*BY250+BZ276*BZ250+CA276*CA250+CB276*CB250+CC276*CC250+CD276*CD250+CE276*CE250+CF276*CF250+CG276*CG250+CH276*CH250+CI276*CI250+CJ276*CJ250+CK276*CK250+CL276*CL250+CM276*CM250+CN276*CN250+CO276*CO250+CP276*CP250+CQ276*CQ250+CR276*CR250+CS276*CS250</f>
        <v>0</v>
      </c>
    </row>
    <row r="251" spans="2:110" x14ac:dyDescent="0.25">
      <c r="B251" s="1535">
        <v>109</v>
      </c>
      <c r="C251" s="575" t="s">
        <v>4852</v>
      </c>
      <c r="D251" s="576" t="s">
        <v>3092</v>
      </c>
      <c r="E251" s="511">
        <f>0</f>
        <v>0</v>
      </c>
      <c r="F251" s="511">
        <f>0</f>
        <v>0</v>
      </c>
      <c r="G251" s="511">
        <f>0</f>
        <v>0</v>
      </c>
      <c r="H251" s="511">
        <f>0</f>
        <v>0</v>
      </c>
      <c r="I251" s="511">
        <f>0</f>
        <v>0</v>
      </c>
      <c r="J251" s="511">
        <f>0</f>
        <v>0</v>
      </c>
      <c r="K251" s="511">
        <f>0</f>
        <v>0</v>
      </c>
      <c r="L251" s="511">
        <f>0</f>
        <v>0</v>
      </c>
      <c r="M251" s="511">
        <f>0</f>
        <v>0</v>
      </c>
      <c r="N251" s="511">
        <f>0</f>
        <v>0</v>
      </c>
      <c r="O251" s="511">
        <f>0</f>
        <v>0</v>
      </c>
      <c r="P251" s="511">
        <f>0</f>
        <v>0</v>
      </c>
      <c r="Q251" s="511">
        <f>0</f>
        <v>0</v>
      </c>
      <c r="R251" s="577">
        <f>0</f>
        <v>0</v>
      </c>
      <c r="S251" s="511">
        <f>0</f>
        <v>0</v>
      </c>
      <c r="T251" s="511">
        <f>0</f>
        <v>0</v>
      </c>
      <c r="U251" s="511">
        <f>0</f>
        <v>0</v>
      </c>
      <c r="V251" s="511">
        <f>0</f>
        <v>0</v>
      </c>
      <c r="W251" s="511">
        <f>0</f>
        <v>0</v>
      </c>
      <c r="X251" s="511">
        <f>0</f>
        <v>0</v>
      </c>
      <c r="Y251" s="511">
        <f>0</f>
        <v>0</v>
      </c>
      <c r="Z251" s="511">
        <f>0</f>
        <v>0</v>
      </c>
      <c r="AA251" s="511">
        <f>1</f>
        <v>1</v>
      </c>
      <c r="AB251" s="511">
        <f>0</f>
        <v>0</v>
      </c>
      <c r="AC251" s="511">
        <f>0</f>
        <v>0</v>
      </c>
      <c r="AD251" s="511">
        <f>0</f>
        <v>0</v>
      </c>
      <c r="AE251" s="511">
        <f>0</f>
        <v>0</v>
      </c>
      <c r="AF251" s="511">
        <f>0</f>
        <v>0</v>
      </c>
      <c r="AG251" s="511">
        <f>0</f>
        <v>0</v>
      </c>
      <c r="AH251" s="511">
        <f>0</f>
        <v>0</v>
      </c>
      <c r="AI251" s="511">
        <f>0</f>
        <v>0</v>
      </c>
      <c r="AJ251" s="511">
        <f>0</f>
        <v>0</v>
      </c>
      <c r="AK251" s="511">
        <f>0</f>
        <v>0</v>
      </c>
      <c r="AL251" s="511">
        <f>0</f>
        <v>0</v>
      </c>
      <c r="AM251" s="511">
        <f>0</f>
        <v>0</v>
      </c>
      <c r="AN251" s="511">
        <f>0</f>
        <v>0</v>
      </c>
      <c r="AO251" s="511">
        <f>0</f>
        <v>0</v>
      </c>
      <c r="AP251" s="511">
        <f>0</f>
        <v>0</v>
      </c>
      <c r="AQ251" s="511">
        <f>0</f>
        <v>0</v>
      </c>
      <c r="AR251" s="511">
        <f>0</f>
        <v>0</v>
      </c>
      <c r="AS251" s="511">
        <f>0</f>
        <v>0</v>
      </c>
      <c r="AT251" s="511">
        <f>0</f>
        <v>0</v>
      </c>
      <c r="AU251" s="511">
        <f>0</f>
        <v>0</v>
      </c>
      <c r="AV251" s="511">
        <f>0</f>
        <v>0</v>
      </c>
      <c r="AW251" s="511">
        <f>0</f>
        <v>0</v>
      </c>
      <c r="AX251" s="511">
        <f>0</f>
        <v>0</v>
      </c>
      <c r="AY251" s="511">
        <f>0</f>
        <v>0</v>
      </c>
      <c r="AZ251" s="511">
        <f>0</f>
        <v>0</v>
      </c>
      <c r="BA251" s="511">
        <f>0</f>
        <v>0</v>
      </c>
      <c r="BB251" s="511">
        <f>0</f>
        <v>0</v>
      </c>
      <c r="BC251" s="577">
        <f>0</f>
        <v>0</v>
      </c>
      <c r="BD251" s="577">
        <f>0</f>
        <v>0</v>
      </c>
      <c r="BE251" s="577">
        <f>0</f>
        <v>0</v>
      </c>
      <c r="BF251" s="577">
        <f>0</f>
        <v>0</v>
      </c>
      <c r="BG251" s="577">
        <f>0</f>
        <v>0</v>
      </c>
      <c r="BH251" s="577">
        <f>0</f>
        <v>0</v>
      </c>
      <c r="BI251" s="577">
        <f>0</f>
        <v>0</v>
      </c>
      <c r="BJ251" s="577">
        <f>0</f>
        <v>0</v>
      </c>
      <c r="BK251" s="577">
        <f>0</f>
        <v>0</v>
      </c>
      <c r="BL251" s="577">
        <f>0</f>
        <v>0</v>
      </c>
      <c r="BM251" s="577">
        <f>0</f>
        <v>0</v>
      </c>
      <c r="BN251" s="577">
        <f>0</f>
        <v>0</v>
      </c>
      <c r="BO251" s="577">
        <f>0</f>
        <v>0</v>
      </c>
      <c r="BP251" s="577">
        <f>0</f>
        <v>0</v>
      </c>
      <c r="BQ251" s="577">
        <f>0</f>
        <v>0</v>
      </c>
      <c r="BR251" s="577">
        <f>0</f>
        <v>0</v>
      </c>
      <c r="BS251" s="577">
        <f>0</f>
        <v>0</v>
      </c>
      <c r="BT251" s="577">
        <f>0</f>
        <v>0</v>
      </c>
      <c r="BU251" s="577">
        <f>0</f>
        <v>0</v>
      </c>
      <c r="BV251" s="577">
        <f>0</f>
        <v>0</v>
      </c>
      <c r="BW251" s="2374">
        <f>0</f>
        <v>0</v>
      </c>
      <c r="BX251" s="2374">
        <f>0</f>
        <v>0</v>
      </c>
      <c r="BY251" s="2374">
        <f>0</f>
        <v>0</v>
      </c>
      <c r="BZ251" s="2374">
        <f>0</f>
        <v>0</v>
      </c>
      <c r="CA251" s="577">
        <f>0</f>
        <v>0</v>
      </c>
      <c r="CB251" s="577">
        <f>0</f>
        <v>0</v>
      </c>
      <c r="CC251" s="577">
        <f>0</f>
        <v>0</v>
      </c>
      <c r="CD251" s="511">
        <f>0</f>
        <v>0</v>
      </c>
      <c r="CE251" s="511">
        <f>0</f>
        <v>0</v>
      </c>
      <c r="CF251" s="511">
        <f>0</f>
        <v>0</v>
      </c>
      <c r="CG251" s="511">
        <f>0</f>
        <v>0</v>
      </c>
      <c r="CH251" s="511">
        <f>-1</f>
        <v>-1</v>
      </c>
      <c r="CI251" s="511">
        <f>0</f>
        <v>0</v>
      </c>
      <c r="CJ251" s="511">
        <f>0</f>
        <v>0</v>
      </c>
      <c r="CK251" s="511">
        <f>0</f>
        <v>0</v>
      </c>
      <c r="CL251" s="577">
        <f>0</f>
        <v>0</v>
      </c>
      <c r="CM251" s="577">
        <f>0</f>
        <v>0</v>
      </c>
      <c r="CN251" s="577">
        <f>0</f>
        <v>0</v>
      </c>
      <c r="CO251" s="577">
        <f>0</f>
        <v>0</v>
      </c>
      <c r="CP251" s="577">
        <f>0</f>
        <v>0</v>
      </c>
      <c r="CQ251" s="511">
        <f>0</f>
        <v>0</v>
      </c>
      <c r="CR251" s="511">
        <f>0</f>
        <v>0</v>
      </c>
      <c r="CS251" s="577">
        <f>0</f>
        <v>0</v>
      </c>
      <c r="CT251" s="2497">
        <f>k_transfer_GNH3_bub</f>
        <v>0</v>
      </c>
      <c r="CV251" s="2502">
        <f>E266*E251+F266*F251+G266*G251+H266*H251+I266*I251+J266*J251+K266*K251+L266*L251+M266*M251+N266*N251+O266*O251+P266*P251+Q266*Q251+R266*R251+S266*S251+T266*T251+U266*U251+V266*V251+W266*W251+X266*X251+Y266*Y251+Z266*Z251+AA266*AA251+AB266*AB251+AC266*AC251+AD266*AD251+AE266*AE251+AF266*AF251+AG266*AG251+AH266*AH251+AI266*AI251+AJ266*AJ251+AK266*AK251+AL266*AL251+AM266*AM251+AN266*AN251+AO266*AO251+AP266*AP251+AQ266*AQ251+AR266*AR251+AS266*AS251+AT266*AT251+AU266*AU251+AV266*AV251+AW266*AW251+AX266*AX251+AY266*AY251+AZ266*AZ251+BA266*BA251+BB266*BB251+BC266*BC251+BD266*BD251+BE266*BE251+BF266*BF251+BG266*BG251+BH266*BH251+BI266*BI251+BJ266*BJ251+BK266*BK251+BL266*BL251+BM266*BM251+BN266*BN251+BO266*BO251+BP266*BP251+BQ266*BQ251+BR266*BR251+BS266*BS251+BT266*BT251+BU266*BU251+BV266*BV251+BW266*BW251+BX266*BX251+BY266*BY251+BZ266*BZ251+CA266*CA251+CB266*CB251+CC266*CC251+CD266*CD251+CE266*CE251+CF266*CF251+CG266*CG251+CH266*CH251+CI266*CI251+CJ266*CJ251+CK266*CK251+CL266*CL251+CM266*CM251+CN266*CN251+CO266*CO251+CP266*CP251+CQ266*CQ251+CR266*CR251+CS266*CS251</f>
        <v>0</v>
      </c>
      <c r="CW251" s="2502">
        <f>E267*E251+F267*F251+G267*G251+H267*H251+I267*I251+J267*J251+K267*K251+L267*L251+M267*M251+N267*N251+O267*O251+P267*P251+Q267*Q251+R267*R251+S267*S251+T267*T251+U267*U251+V267*V251+W267*W251+X267*X251+Y267*Y251+Z267*Z251+AA267*AA251+AB267*AB251+AC267*AC251+AD267*AD251+AE267*AE251+AF267*AF251+AG267*AG251+AH267*AH251+AI267*AI251+AJ267*AJ251+AK267*AK251+AL267*AL251+AM267*AM251+AN267*AN251+AO267*AO251+AP267*AP251+AQ267*AQ251+AR267*AR251+AS267*AS251+AT267*AT251+AU267*AU251+AV267*AV251+AW267*AW251+AX267*AX251+AY267*AY251+AZ267*AZ251+BA267*BA251+BB267*BB251+BC267*BC251+BD267*BD251+BE267*BE251+BF267*BF251+BG267*BG251+BH267*BH251+BI267*BI251+BJ267*BJ251+BK267*BK251+BL267*BL251+BM267*BM251+BN267*BN251+BO267*BO251+BP267*BP251+BQ267*BQ251+BR267*BR251+BS267*BS251+BT267*BT251+BU267*BU251+BV267*BV251+BW267*BW251+BX267*BX251+BY267*BY251+BZ267*BZ251+CA267*CA251+CB267*CB251+CC267*CC251+CD267*CD251+CE267*CE251+CF267*CF251+CG267*CG251+CH267*CH251+CI267*CI251+CJ267*CJ251+CK267*CK251+CL267*CL251+CM267*CM251+CN267*CN251+CO267*CO251+CP267*CP251+CQ267*CQ251+CR267*CR251+CS267*CS251</f>
        <v>0</v>
      </c>
      <c r="CX251" s="2503">
        <f>E268*E251+F268*F251+G268*G251+H268*H251+I268*I251+J268*J251+K268*K251+L268*L251+M268*M251+N268*N251+O268*O251+P268*P251+Q268*Q251+R268*R251+S268*S251+T268*T251+U268*U251+V268*V251+W268*W251+X268*X251+Y268*Y251+Z268*Z251+AA268*AA251+AB268*AB251+AC268*AC251+AD268*AD251+AE268*AE251+AF268*AF251+AG268*AG251+AH268*AH251+AI268*AI251+AJ268*AJ251+AK268*AK251+AL268*AL251+AM268*AM251+AN268*AN251+AO268*AO251+AP268*AP251+AQ268*AQ251+AR268*AR251+AS268*AS251+AT268*AT251+AU268*AU251+AV268*AV251+AW268*AW251+AX268*AX251+AY268*AY251+AZ268*AZ251+BA268*BA251+BB268*BB251+BC268*BC251+BD268*BD251+BE268*BE251+BF268*BF251+BG268*BG251+BH268*BH251+BI268*BI251+BJ268*BJ251+BK268*BK251+BL268*BL251+BM268*BM251+BN268*BN251+BO268*BO251+BP268*BP251+BQ268*BQ251+BR268*BR251+BS268*BS251+BT268*BT251+BU268*BU251+BV268*BV251+BW268*BW251+BX268*BX251+BY268*BY251+BZ268*BZ251+CA268*CA251+CB268*CB251+CC268*CC251+CD268*CD251+CE268*CE251+CF268*CF251+CG268*CG251+CH268*CH251+CI268*CI251+CJ268*CJ251+CK268*CK251+CL268*CL251+CM268*CM251+CN268*CN251+CO268*CO251+CP268*CP251+CQ268*CQ251+CR268*CR251+CS268*CS251</f>
        <v>0</v>
      </c>
      <c r="CY251" s="2504">
        <f>E269*E251+F269*F251+G269*G251+H269*H251+I269*I251+J269*J251+K269*K251+L269*L251+M269*M251+N269*N251+O269*O251+P269*P251+Q269*Q251+R269*R251+S269*S251+T269*T251+U269*U251+V269*V251+W269*W251+X269*X251+Y269*Y251+Z269*Z251+AA269*AA251+AB269*AB251+AC269*AC251+AD269*AD251+AE269*AE251+AF269*AF251+AG269*AG251+AH269*AH251+AI269*AI251+AJ269*AJ251+AK269*AK251+AL269*AL251+AM269*AM251+AN269*AN251+AO269*AO251+AP269*AP251+AQ269*AQ251+AR269*AR251+AS269*AS251+AT269*AT251+AU269*AU251+AV269*AV251+AW269*AW251+AX269*AX251+AY269*AY251+AZ269*AZ251+BA269*BA251+BB269*BB251+BC269*BC251+BD269*BD251+BE269*BE251+BF269*BF251+BG269*BG251+BH269*BH251+BI269*BI251+BJ269*BJ251+BK269*BK251+BL269*BL251+BM269*BM251+BN269*BN251+BO269*BO251+BP269*BP251+BQ269*BQ251+BR269*BR251+BS269*BS251+BT269*BT251+BU269*BU251+BV269*BV251+BW269*BW251+BX269*BX251+BY269*BY251+BZ269*BZ251+CA269*CA251+CB269*CB251+CC269*CC251+CD269*CD251+CE269*CE251+CF269*CF251+CG269*CG251+CH269*CH251+CI269*CI251+CJ269*CJ251+CK269*CK251+CL269*CL251+CM269*CM251+CN269*CN251+CO269*CO251+CP269*CP251+CQ269*CQ251+CR269*CR251+CS269*CS251</f>
        <v>0</v>
      </c>
      <c r="CZ251" s="2504">
        <f>E270*E251+F270*F251+G270*G251+H270*H251+I270*I251+J270*J251+K270*K251+L270*L251+M270*M251+N270*N251+O270*O251+P270*P251+Q270*Q251+R270*R251+S270*S251+T270*T251+U270*U251+V270*V251+W270*W251+X270*X251+Y270*Y251+Z270*Z251+AA270*AA251+AB270*AB251+AC270*AC251+AD270*AD251+AE270*AE251+AF270*AF251+AG270*AG251+AH270*AH251+AI270*AI251+AJ270*AJ251+AK270*AK251+AL270*AL251+AM270*AM251+AN270*AN251+AO270*AO251+AP270*AP251+AQ270*AQ251+AR270*AR251+AS270*AS251+AT270*AT251+AU270*AU251+AV270*AV251+AW270*AW251+AX270*AX251+AY270*AY251+AZ270*AZ251+BA270*BA251+BB270*BB251+BC270*BC251+BD270*BD251+BE270*BE251+BF270*BF251+BG270*BG251+BH270*BH251+BI270*BI251+BJ270*BJ251+BK270*BK251+BL270*BL251+BM270*BM251+BN270*BN251+BO270*BO251+BP270*BP251+BQ270*BQ251+BR270*BR251+BS270*BS251+BT270*BT251+BU270*BU251+BV270*BV251+BW270*BW251+BX270*BX251+BY270*BY251+BZ270*BZ251+CA270*CA251+CB270*CB251+CC270*CC251+CD270*CD251+CE270*CE251+CF270*CF251+CG270*CG251+CH270*CH251+CI270*CI251+CJ270*CJ251+CK270*CK251+CL270*CL251+CM270*CM251+CN270*CN251+CO270*CO251+CP270*CP251+CQ270*CQ251+CR270*CR251+CS270*CS251</f>
        <v>0</v>
      </c>
      <c r="DA251" s="2504">
        <f>E271*E251+F271*F251+G271*G251+H271*H251+I271*I251+J271*J251+K271*K251+L271*L251+M271*M251+N271*N251+O271*O251+P271*P251+Q271*Q251+R271*R251+S271*S251+T271*T251+U271*U251+V271*V251+W271*W251+X271*X251+Y271*Y251+Z271*Z251+AA271*AA251+AB271*AB251+AC271*AC251+AD271*AD251+AE271*AE251+AF271*AF251+AG271*AG251+AH271*AH251+AI271*AI251+AJ271*AJ251+AK271*AK251+AL271*AL251+AM271*AM251+AN271*AN251+AO271*AO251+AP271*AP251+AQ271*AQ251+AR271*AR251+AS271*AS251+AT271*AT251+AU271*AU251+AV271*AV251+AW271*AW251+AX271*AX251+AY271*AY251+AZ271*AZ251+BA271*BA251+BB271*BB251+BC271*BC251+BD271*BD251+BE271*BE251+BF271*BF251+BG271*BG251+BH271*BH251+BI271*BI251+BJ271*BJ251+BK271*BK251+BL271*BL251+BM271*BM251+BN271*BN251+BO271*BO251+BP271*BP251+BQ271*BQ251+BR271*BR251+BS271*BS251+BT271*BT251+BU271*BU251+BV271*BV251+BW271*BW251+BX271*BX251+BY271*BY251+BZ271*BZ251+CA271*CA251+CB271*CB251+CC271*CC251+CD271*CD251+CE271*CE251+CF271*CF251+CG271*CG251+CH271*CH251+CI271*CI251+CJ271*CJ251+CK271*CK251+CL271*CL251+CM271*CM251+CN271*CN251+CO271*CO251+CP271*CP251+CQ271*CQ251+CR271*CR251+CS271*CS251</f>
        <v>0</v>
      </c>
      <c r="DB251" s="2504">
        <f>E272*E251+F272*F251+G272*G251+H272*H251+I272*I251+J272*J251+K272*K251+L272*L251+M272*M251+N272*N251+O272*O251+P272*P251+Q272*Q251+R272*R251+S272*S251+T272*T251+U272*U251+V272*V251+W272*W251+X272*X251+Y272*Y251+Z272*Z251+AA272*AA251+AB272*AB251+AC272*AC251+AD272*AD251+AE272*AE251+AF272*AF251+AG272*AG251+AH272*AH251+AI272*AI251+AJ272*AJ251+AK272*AK251+AL272*AL251+AM272*AM251+AN272*AN251+AO272*AO251+AP272*AP251+AQ272*AQ251+AR272*AR251+AS272*AS251+AT272*AT251+AU272*AU251+AV272*AV251+AW272*AW251+AX272*AX251+AY272*AY251+AZ272*AZ251+BA272*BA251+BB272*BB251+BC272*BC251+BD272*BD251+BE272*BE251+BF272*BF251+BG272*BG251+BH272*BH251+BI272*BI251+BJ272*BJ251+BK272*BK251+BL272*BL251+BM272*BM251+BN272*BN251+BO272*BO251+BP272*BP251+BQ272*BQ251+BR272*BR251+BS272*BS251+BT272*BT251+BU272*BU251+BV272*BV251+BW272*BW251+BX272*BX251+BY272*BY251+BZ272*BZ251+CA272*CA251+CB272*CB251+CC272*CC251+CD272*CD251+CE272*CE251+CF272*CF251+CG272*CG251+CH272*CH251+CI272*CI251+CJ272*CJ251+CK272*CK251+CL272*CL251+CM272*CM251+CN272*CN251+CO272*CO251+CP272*CP251+CQ272*CQ251+CR272*CR251+CS272*CS251</f>
        <v>0</v>
      </c>
      <c r="DC251" s="2504">
        <f>E273*E251+F273*F251+G273*G251+H273*H251+I273*I251+J273*J251+K273*K251+L273*L251+M273*M251+N273*N251+O273*O251+P273*P251+Q273*Q251+R273*R251+S273*S251+T273*T251+U273*U251+V273*V251+W273*W251+X273*X251+Y273*Y251+Z273*Z251+AA273*AA251+AB273*AB251+AC273*AC251+AD273*AD251+AE273*AE251+AF273*AF251+AG273*AG251+AH273*AH251+AI273*AI251+AJ273*AJ251+AK273*AK251+AL273*AL251+AM273*AM251+AN273*AN251+AO273*AO251+AP273*AP251+AQ273*AQ251+AR273*AR251+AS273*AS251+AT273*AT251+AU273*AU251+AV273*AV251+AW273*AW251+AX273*AX251+AY273*AY251+AZ273*AZ251+BA273*BA251+BB273*BB251+BC273*BC251+BD273*BD251+BE273*BE251+BF273*BF251+BG273*BG251+BH273*BH251+BI273*BI251+BJ273*BJ251+BK273*BK251+BL273*BL251+BM273*BM251+BN273*BN251+BO273*BO251+BP273*BP251+BQ273*BQ251+BR273*BR251+BS273*BS251+BT273*BT251+BU273*BU251+BV273*BV251+BW273*BW251+BX273*BX251+BY273*BY251+BZ273*BZ251+CA273*CA251+CB273*CB251+CC273*CC251+CD273*CD251+CE273*CE251+CF273*CF251+CG273*CG251+CH273*CH251+CI273*CI251+CJ273*CJ251+CK273*CK251+CL273*CL251+CM273*CM251+CN273*CN251+CO273*CO251+CP273*CP251+CQ273*CQ251+CR273*CR251+CS273*CS251</f>
        <v>0</v>
      </c>
      <c r="DD251" s="2504">
        <f>E274*E251+F274*F251+G274*G251+H274*H251+I274*I251+J274*J251+K274*K251+L274*L251+M274*M251+N274*N251+O274*O251+P274*P251+Q274*Q251+R274*R251+S274*S251+T274*T251+U274*U251+V274*V251+W274*W251+X274*X251+Y274*Y251+Z274*Z251+AA274*AA251+AB274*AB251+AC274*AC251+AD274*AD251+AE274*AE251+AF274*AF251+AG274*AG251+AH274*AH251+AI274*AI251+AJ274*AJ251+AK274*AK251+AL274*AL251+AM274*AM251+AN274*AN251+AO274*AO251+AP274*AP251+AQ274*AQ251+AR274*AR251+AS274*AS251+AT274*AT251+AU274*AU251+AV274*AV251+AW274*AW251+AX274*AX251+AY274*AY251+AZ274*AZ251+BA274*BA251+BB274*BB251+BC274*BC251+BD274*BD251+BE274*BE251+BF274*BF251+BG274*BG251+BH274*BH251+BI274*BI251+BJ274*BJ251+BK274*BK251+BL274*BL251+BM274*BM251+BN274*BN251+BO274*BO251+BP274*BP251+BQ274*BQ251+BR274*BR251+BS274*BS251+BT274*BT251+BU274*BU251+BV274*BV251+BW274*BW251+BX274*BX251+BY274*BY251+BZ274*BZ251+CA274*CA251+CB274*CB251+CC274*CC251+CD274*CD251+CE274*CE251+CF274*CF251+CG274*CG251+CH274*CH251+CI274*CI251+CJ274*CJ251+CK274*CK251+CL274*CL251+CM274*CM251+CN274*CN251+CO274*CO251+CP274*CP251+CQ274*CQ251+CR274*CR251+CS274*CS251</f>
        <v>0</v>
      </c>
      <c r="DE251" s="2504">
        <f>E275*E251+F275*F251+G275*G251+H275*H251+I275*I251+J275*J251+K275*K251+L275*L251+M275*M251+N275*N251+O275*O251+P275*P251+Q275*Q251+R275*R251+S275*S251+T275*T251+U275*U251+V275*V251+W275*W251+X275*X251+Y275*Y251+Z275*Z251+AA275*AA251+AB275*AB251+AC275*AC251+AD275*AD251+AE275*AE251+AF275*AF251+AG275*AG251+AH275*AH251+AI275*AI251+AJ275*AJ251+AK275*AK251+AL275*AL251+AM275*AM251+AN275*AN251+AO275*AO251+AP275*AP251+AQ275*AQ251+AR275*AR251+AS275*AS251+AT275*AT251+AU275*AU251+AV275*AV251+AW275*AW251+AX275*AX251+AY275*AY251+AZ275*AZ251+BA275*BA251+BB275*BB251+BC275*BC251+BD275*BD251+BE275*BE251+BF275*BF251+BG275*BG251+BH275*BH251+BI275*BI251+BJ275*BJ251+BK275*BK251+BL275*BL251+BM275*BM251+BN275*BN251+BO275*BO251+BP275*BP251+BQ275*BQ251+BR275*BR251+BS275*BS251+BT275*BT251+BU275*BU251+BV275*BV251+BW275*BW251+BX275*BX251+BY275*BY251+BZ275*BZ251+CA275*CA251+CB275*CB251+CC275*CC251+CD275*CD251+CE275*CE251+CF275*CF251+CG275*CG251+CH275*CH251+CI275*CI251+CJ275*CJ251+CK275*CK251+CL275*CL251+CM275*CM251+CN275*CN251+CO275*CO251+CP275*CP251+CQ275*CQ251+CR275*CR251+CS275*CS251</f>
        <v>0</v>
      </c>
      <c r="DF251" s="2504">
        <f>E276*E251+F276*F251+G276*G251+H276*H251+I276*I251+J276*J251+K276*K251+L276*L251+M276*M251+N276*N251+O276*O251+P276*P251+Q276*Q251+R276*R251+S276*S251+T276*T251+U276*U251+V276*V251+W276*W251+X276*X251+Y276*Y251+Z276*Z251+AA276*AA251+AB276*AB251+AC276*AC251+AD276*AD251+AE276*AE251+AF276*AF251+AG276*AG251+AH276*AH251+AI276*AI251+AJ276*AJ251+AK276*AK251+AL276*AL251+AM276*AM251+AN276*AN251+AO276*AO251+AP276*AP251+AQ276*AQ251+AR276*AR251+AS276*AS251+AT276*AT251+AU276*AU251+AV276*AV251+AW276*AW251+AX276*AX251+AY276*AY251+AZ276*AZ251+BA276*BA251+BB276*BB251+BC276*BC251+BD276*BD251+BE276*BE251+BF276*BF251+BG276*BG251+BH276*BH251+BI276*BI251+BJ276*BJ251+BK276*BK251+BL276*BL251+BM276*BM251+BN276*BN251+BO276*BO251+BP276*BP251+BQ276*BQ251+BR276*BR251+BS276*BS251+BT276*BT251+BU276*BU251+BV276*BV251+BW276*BW251+BX276*BX251+BY276*BY251+BZ276*BZ251+CA276*CA251+CB276*CB251+CC276*CC251+CD276*CD251+CE276*CE251+CF276*CF251+CG276*CG251+CH276*CH251+CI276*CI251+CJ276*CJ251+CK276*CK251+CL276*CL251+CM276*CM251+CN276*CN251+CO276*CO251+CP276*CP251+CQ276*CQ251+CR276*CR251+CS276*CS251</f>
        <v>0</v>
      </c>
    </row>
    <row r="252" spans="2:110" x14ac:dyDescent="0.25">
      <c r="B252" s="1535">
        <v>110</v>
      </c>
      <c r="C252" s="575" t="s">
        <v>4895</v>
      </c>
      <c r="D252" s="576" t="s">
        <v>3608</v>
      </c>
      <c r="E252" s="1597">
        <f>0</f>
        <v>0</v>
      </c>
      <c r="F252" s="1597">
        <f>0</f>
        <v>0</v>
      </c>
      <c r="G252" s="1597">
        <f>0</f>
        <v>0</v>
      </c>
      <c r="H252" s="1597">
        <f>0</f>
        <v>0</v>
      </c>
      <c r="I252" s="1597">
        <f>0</f>
        <v>0</v>
      </c>
      <c r="J252" s="1597">
        <f>0</f>
        <v>0</v>
      </c>
      <c r="K252" s="1597">
        <f>0</f>
        <v>0</v>
      </c>
      <c r="L252" s="1597">
        <f>0</f>
        <v>0</v>
      </c>
      <c r="M252" s="1597">
        <f>0</f>
        <v>0</v>
      </c>
      <c r="N252" s="1597">
        <f>0</f>
        <v>0</v>
      </c>
      <c r="O252" s="1597">
        <f>0</f>
        <v>0</v>
      </c>
      <c r="P252" s="1597">
        <f>0</f>
        <v>0</v>
      </c>
      <c r="Q252" s="1597">
        <f>0</f>
        <v>0</v>
      </c>
      <c r="R252" s="1473">
        <f>0</f>
        <v>0</v>
      </c>
      <c r="S252" s="1597">
        <f>0</f>
        <v>0</v>
      </c>
      <c r="T252" s="1597">
        <f>0</f>
        <v>0</v>
      </c>
      <c r="U252" s="1597">
        <f>0</f>
        <v>0</v>
      </c>
      <c r="V252" s="1597">
        <f>0</f>
        <v>0</v>
      </c>
      <c r="W252" s="1597">
        <f>0</f>
        <v>0</v>
      </c>
      <c r="X252" s="1597">
        <f>0</f>
        <v>0</v>
      </c>
      <c r="Y252" s="1597">
        <f>0</f>
        <v>0</v>
      </c>
      <c r="Z252" s="1597">
        <f>0</f>
        <v>0</v>
      </c>
      <c r="AA252" s="1597">
        <f>0</f>
        <v>0</v>
      </c>
      <c r="AB252" s="1597">
        <f>0</f>
        <v>0</v>
      </c>
      <c r="AC252" s="1597">
        <f>0</f>
        <v>0</v>
      </c>
      <c r="AD252" s="1597">
        <f>0</f>
        <v>0</v>
      </c>
      <c r="AE252" s="1597">
        <f>S_NO_AOB/S_NO</f>
        <v>0.33333333333333337</v>
      </c>
      <c r="AF252" s="1597">
        <f>S_NO_OHO/S_NO</f>
        <v>0.66666666666666674</v>
      </c>
      <c r="AG252" s="1597">
        <f>0</f>
        <v>0</v>
      </c>
      <c r="AH252" s="1597">
        <f>0</f>
        <v>0</v>
      </c>
      <c r="AI252" s="1597">
        <f>0</f>
        <v>0</v>
      </c>
      <c r="AJ252" s="1597">
        <f>0</f>
        <v>0</v>
      </c>
      <c r="AK252" s="1597">
        <f>0</f>
        <v>0</v>
      </c>
      <c r="AL252" s="1597">
        <f>0</f>
        <v>0</v>
      </c>
      <c r="AM252" s="1597">
        <f>0</f>
        <v>0</v>
      </c>
      <c r="AN252" s="1597">
        <f>0</f>
        <v>0</v>
      </c>
      <c r="AO252" s="1597">
        <f>0</f>
        <v>0</v>
      </c>
      <c r="AP252" s="1597">
        <f>0</f>
        <v>0</v>
      </c>
      <c r="AQ252" s="1597">
        <f>0</f>
        <v>0</v>
      </c>
      <c r="AR252" s="1597">
        <f>0</f>
        <v>0</v>
      </c>
      <c r="AS252" s="1597">
        <f>0</f>
        <v>0</v>
      </c>
      <c r="AT252" s="1597">
        <f>0</f>
        <v>0</v>
      </c>
      <c r="AU252" s="1597">
        <f>0</f>
        <v>0</v>
      </c>
      <c r="AV252" s="1597">
        <f>0</f>
        <v>0</v>
      </c>
      <c r="AW252" s="1597">
        <f>0</f>
        <v>0</v>
      </c>
      <c r="AX252" s="1597">
        <f>0</f>
        <v>0</v>
      </c>
      <c r="AY252" s="1597">
        <f>0</f>
        <v>0</v>
      </c>
      <c r="AZ252" s="1597">
        <f>0</f>
        <v>0</v>
      </c>
      <c r="BA252" s="1597">
        <f>0</f>
        <v>0</v>
      </c>
      <c r="BB252" s="1597">
        <f>0</f>
        <v>0</v>
      </c>
      <c r="BC252" s="1473">
        <f>0</f>
        <v>0</v>
      </c>
      <c r="BD252" s="1473">
        <f>0</f>
        <v>0</v>
      </c>
      <c r="BE252" s="1473">
        <f>0</f>
        <v>0</v>
      </c>
      <c r="BF252" s="1473">
        <f>0</f>
        <v>0</v>
      </c>
      <c r="BG252" s="1473">
        <f>0</f>
        <v>0</v>
      </c>
      <c r="BH252" s="1473">
        <f>0</f>
        <v>0</v>
      </c>
      <c r="BI252" s="1473">
        <f>0</f>
        <v>0</v>
      </c>
      <c r="BJ252" s="1473">
        <f>0</f>
        <v>0</v>
      </c>
      <c r="BK252" s="1473">
        <f>0</f>
        <v>0</v>
      </c>
      <c r="BL252" s="1473">
        <f>0</f>
        <v>0</v>
      </c>
      <c r="BM252" s="1473">
        <f>0</f>
        <v>0</v>
      </c>
      <c r="BN252" s="1473">
        <f>0</f>
        <v>0</v>
      </c>
      <c r="BO252" s="1473">
        <f>0</f>
        <v>0</v>
      </c>
      <c r="BP252" s="1473">
        <f>0</f>
        <v>0</v>
      </c>
      <c r="BQ252" s="1473">
        <f>0</f>
        <v>0</v>
      </c>
      <c r="BR252" s="1473">
        <f>0</f>
        <v>0</v>
      </c>
      <c r="BS252" s="1473">
        <f>0</f>
        <v>0</v>
      </c>
      <c r="BT252" s="1473">
        <f>0</f>
        <v>0</v>
      </c>
      <c r="BU252" s="1473">
        <f>0</f>
        <v>0</v>
      </c>
      <c r="BV252" s="1473">
        <f>0</f>
        <v>0</v>
      </c>
      <c r="BW252" s="1473">
        <f>0</f>
        <v>0</v>
      </c>
      <c r="BX252" s="1473">
        <f>0</f>
        <v>0</v>
      </c>
      <c r="BY252" s="1473">
        <f>0</f>
        <v>0</v>
      </c>
      <c r="BZ252" s="1473">
        <f>0</f>
        <v>0</v>
      </c>
      <c r="CA252" s="1473">
        <f>0</f>
        <v>0</v>
      </c>
      <c r="CB252" s="1473">
        <f>0</f>
        <v>0</v>
      </c>
      <c r="CC252" s="1473">
        <f>0</f>
        <v>0</v>
      </c>
      <c r="CD252" s="1597">
        <f>0</f>
        <v>0</v>
      </c>
      <c r="CE252" s="1597">
        <f>0</f>
        <v>0</v>
      </c>
      <c r="CF252" s="1597">
        <f>0</f>
        <v>0</v>
      </c>
      <c r="CG252" s="1597">
        <f>0</f>
        <v>0</v>
      </c>
      <c r="CH252" s="1597">
        <f>0</f>
        <v>0</v>
      </c>
      <c r="CI252" s="511">
        <f>-1</f>
        <v>-1</v>
      </c>
      <c r="CJ252" s="1597">
        <f>0</f>
        <v>0</v>
      </c>
      <c r="CK252" s="1597">
        <f>0</f>
        <v>0</v>
      </c>
      <c r="CL252" s="1473">
        <f>0</f>
        <v>0</v>
      </c>
      <c r="CM252" s="1473">
        <f>0</f>
        <v>0</v>
      </c>
      <c r="CN252" s="1473">
        <f>0</f>
        <v>0</v>
      </c>
      <c r="CO252" s="1473">
        <f>0</f>
        <v>0</v>
      </c>
      <c r="CP252" s="1473">
        <f>0</f>
        <v>0</v>
      </c>
      <c r="CQ252" s="1597">
        <f>0</f>
        <v>0</v>
      </c>
      <c r="CR252" s="1597">
        <f>0</f>
        <v>0</v>
      </c>
      <c r="CS252" s="1473">
        <f>0</f>
        <v>0</v>
      </c>
      <c r="CT252" s="2497">
        <f>k_LaGNO_bub*(S_GNO_bub_sat-S_NO)</f>
        <v>1361.9855700000001</v>
      </c>
      <c r="CV252" s="2502">
        <f>E266*E252+F266*F252+G266*G252+H266*H252+I266*I252+J266*J252+K266*K252+L266*L252+M266*M252+N266*N252+O266*O252+P266*P252+Q266*Q252+R266*R252+S266*S252+T266*T252+U266*U252+V266*V252+W266*W252+X266*X252+Y266*Y252+Z266*Z252+AA266*AA252+AB266*AB252+AC266*AC252+AD266*AD252+AE266*AE252+AF266*AF252+AG266*AG252+AH266*AH252+AI266*AI252+AJ266*AJ252+AK266*AK252+AL266*AL252+AM266*AM252+AN266*AN252+AO266*AO252+AP266*AP252+AQ266*AQ252+AR266*AR252+AS266*AS252+AT266*AT252+AU266*AU252+AV266*AV252+AW266*AW252+AX266*AX252+AY266*AY252+AZ266*AZ252+BA266*BA252+BB266*BB252+BC266*BC252+BD266*BD252+BE266*BE252+BF266*BF252+BG266*BG252+BH266*BH252+BI266*BI252+BJ266*BJ252+BK266*BK252+BL266*BL252+BM266*BM252+BN266*BN252+BO266*BO252+BP266*BP252+BQ266*BQ252+BR266*BR252+BS266*BS252+BT266*BT252+BU266*BU252+BV266*BV252+BW266*BW252+BX266*BX252+BY266*BY252+BZ266*BZ252+CA266*CA252+CB266*CB252+CC266*CC252+CD266*CD252+CE266*CE252+CF266*CF252+CG266*CG252+CH266*CH252+CI266*CI252+CJ266*CJ252+CK266*CK252+CL266*CL252+CM266*CM252+CN266*CN252+CO266*CO252+CP266*CP252+CQ266*CQ252+CR266*CR252+CS266*CS252</f>
        <v>-4.4408920985006262E-16</v>
      </c>
      <c r="CW252" s="2502">
        <f>E267*E252+F267*F252+G267*G252+H267*H252+I267*I252+J267*J252+K267*K252+L267*L252+M267*M252+N267*N252+O267*O252+P267*P252+Q267*Q252+R267*R252+S267*S252+T267*T252+U267*U252+V267*V252+W267*W252+X267*X252+Y267*Y252+Z267*Z252+AA267*AA252+AB267*AB252+AC267*AC252+AD267*AD252+AE267*AE252+AF267*AF252+AG267*AG252+AH267*AH252+AI267*AI252+AJ267*AJ252+AK267*AK252+AL267*AL252+AM267*AM252+AN267*AN252+AO267*AO252+AP267*AP252+AQ267*AQ252+AR267*AR252+AS267*AS252+AT267*AT252+AU267*AU252+AV267*AV252+AW267*AW252+AX267*AX252+AY267*AY252+AZ267*AZ252+BA267*BA252+BB267*BB252+BC267*BC252+BD267*BD252+BE267*BE252+BF267*BF252+BG267*BG252+BH267*BH252+BI267*BI252+BJ267*BJ252+BK267*BK252+BL267*BL252+BM267*BM252+BN267*BN252+BO267*BO252+BP267*BP252+BQ267*BQ252+BR267*BR252+BS267*BS252+BT267*BT252+BU267*BU252+BV267*BV252+BW267*BW252+BX267*BX252+BY267*BY252+BZ267*BZ252+CA267*CA252+CB267*CB252+CC267*CC252+CD267*CD252+CE267*CE252+CF267*CF252+CG267*CG252+CH267*CH252+CI267*CI252+CJ267*CJ252+CK267*CK252+CL267*CL252+CM267*CM252+CN267*CN252+CO267*CO252+CP267*CP252+CQ267*CQ252+CR267*CR252+CS267*CS252</f>
        <v>0</v>
      </c>
      <c r="CX252" s="2503">
        <f>E268*E252+F268*F252+G268*G252+H268*H252+I268*I252+J268*J252+K268*K252+L268*L252+M268*M252+N268*N252+O268*O252+P268*P252+Q268*Q252+R268*R252+S268*S252+T268*T252+U268*U252+V268*V252+W268*W252+X268*X252+Y268*Y252+Z268*Z252+AA268*AA252+AB268*AB252+AC268*AC252+AD268*AD252+AE268*AE252+AF268*AF252+AG268*AG252+AH268*AH252+AI268*AI252+AJ268*AJ252+AK268*AK252+AL268*AL252+AM268*AM252+AN268*AN252+AO268*AO252+AP268*AP252+AQ268*AQ252+AR268*AR252+AS268*AS252+AT268*AT252+AU268*AU252+AV268*AV252+AW268*AW252+AX268*AX252+AY268*AY252+AZ268*AZ252+BA268*BA252+BB268*BB252+BC268*BC252+BD268*BD252+BE268*BE252+BF268*BF252+BG268*BG252+BH268*BH252+BI268*BI252+BJ268*BJ252+BK268*BK252+BL268*BL252+BM268*BM252+BN268*BN252+BO268*BO252+BP268*BP252+BQ268*BQ252+BR268*BR252+BS268*BS252+BT268*BT252+BU268*BU252+BV268*BV252+BW268*BW252+BX268*BX252+BY268*BY252+BZ268*BZ252+CA268*CA252+CB268*CB252+CC268*CC252+CD268*CD252+CE268*CE252+CF268*CF252+CG268*CG252+CH268*CH252+CI268*CI252+CJ268*CJ252+CK268*CK252+CL268*CL252+CM268*CM252+CN268*CN252+CO268*CO252+CP268*CP252+CQ268*CQ252+CR268*CR252+CS268*CS252</f>
        <v>0</v>
      </c>
      <c r="CY252" s="2504">
        <f>E269*E252+F269*F252+G269*G252+H269*H252+I269*I252+J269*J252+K269*K252+L269*L252+M269*M252+N269*N252+O269*O252+P269*P252+Q269*Q252+R269*R252+S269*S252+T269*T252+U269*U252+V269*V252+W269*W252+X269*X252+Y269*Y252+Z269*Z252+AA269*AA252+AB269*AB252+AC269*AC252+AD269*AD252+AE269*AE252+AF269*AF252+AG269*AG252+AH269*AH252+AI269*AI252+AJ269*AJ252+AK269*AK252+AL269*AL252+AM269*AM252+AN269*AN252+AO269*AO252+AP269*AP252+AQ269*AQ252+AR269*AR252+AS269*AS252+AT269*AT252+AU269*AU252+AV269*AV252+AW269*AW252+AX269*AX252+AY269*AY252+AZ269*AZ252+BA269*BA252+BB269*BB252+BC269*BC252+BD269*BD252+BE269*BE252+BF269*BF252+BG269*BG252+BH269*BH252+BI269*BI252+BJ269*BJ252+BK269*BK252+BL269*BL252+BM269*BM252+BN269*BN252+BO269*BO252+BP269*BP252+BQ269*BQ252+BR269*BR252+BS269*BS252+BT269*BT252+BU269*BU252+BV269*BV252+BW269*BW252+BX269*BX252+BY269*BY252+BZ269*BZ252+CA269*CA252+CB269*CB252+CC269*CC252+CD269*CD252+CE269*CE252+CF269*CF252+CG269*CG252+CH269*CH252+CI269*CI252+CJ269*CJ252+CK269*CK252+CL269*CL252+CM269*CM252+CN269*CN252+CO269*CO252+CP269*CP252+CQ269*CQ252+CR269*CR252+CS269*CS252</f>
        <v>0</v>
      </c>
      <c r="CZ252" s="2504">
        <f>E270*E252+F270*F252+G270*G252+H270*H252+I270*I252+J270*J252+K270*K252+L270*L252+M270*M252+N270*N252+O270*O252+P270*P252+Q270*Q252+R270*R252+S270*S252+T270*T252+U270*U252+V270*V252+W270*W252+X270*X252+Y270*Y252+Z270*Z252+AA270*AA252+AB270*AB252+AC270*AC252+AD270*AD252+AE270*AE252+AF270*AF252+AG270*AG252+AH270*AH252+AI270*AI252+AJ270*AJ252+AK270*AK252+AL270*AL252+AM270*AM252+AN270*AN252+AO270*AO252+AP270*AP252+AQ270*AQ252+AR270*AR252+AS270*AS252+AT270*AT252+AU270*AU252+AV270*AV252+AW270*AW252+AX270*AX252+AY270*AY252+AZ270*AZ252+BA270*BA252+BB270*BB252+BC270*BC252+BD270*BD252+BE270*BE252+BF270*BF252+BG270*BG252+BH270*BH252+BI270*BI252+BJ270*BJ252+BK270*BK252+BL270*BL252+BM270*BM252+BN270*BN252+BO270*BO252+BP270*BP252+BQ270*BQ252+BR270*BR252+BS270*BS252+BT270*BT252+BU270*BU252+BV270*BV252+BW270*BW252+BX270*BX252+BY270*BY252+BZ270*BZ252+CA270*CA252+CB270*CB252+CC270*CC252+CD270*CD252+CE270*CE252+CF270*CF252+CG270*CG252+CH270*CH252+CI270*CI252+CJ270*CJ252+CK270*CK252+CL270*CL252+CM270*CM252+CN270*CN252+CO270*CO252+CP270*CP252+CQ270*CQ252+CR270*CR252+CS270*CS252</f>
        <v>0</v>
      </c>
      <c r="DA252" s="2504">
        <f>E271*E252+F271*F252+G271*G252+H271*H252+I271*I252+J271*J252+K271*K252+L271*L252+M271*M252+N271*N252+O271*O252+P271*P252+Q271*Q252+R271*R252+S271*S252+T271*T252+U271*U252+V271*V252+W271*W252+X271*X252+Y271*Y252+Z271*Z252+AA271*AA252+AB271*AB252+AC271*AC252+AD271*AD252+AE271*AE252+AF271*AF252+AG271*AG252+AH271*AH252+AI271*AI252+AJ271*AJ252+AK271*AK252+AL271*AL252+AM271*AM252+AN271*AN252+AO271*AO252+AP271*AP252+AQ271*AQ252+AR271*AR252+AS271*AS252+AT271*AT252+AU271*AU252+AV271*AV252+AW271*AW252+AX271*AX252+AY271*AY252+AZ271*AZ252+BA271*BA252+BB271*BB252+BC271*BC252+BD271*BD252+BE271*BE252+BF271*BF252+BG271*BG252+BH271*BH252+BI271*BI252+BJ271*BJ252+BK271*BK252+BL271*BL252+BM271*BM252+BN271*BN252+BO271*BO252+BP271*BP252+BQ271*BQ252+BR271*BR252+BS271*BS252+BT271*BT252+BU271*BU252+BV271*BV252+BW271*BW252+BX271*BX252+BY271*BY252+BZ271*BZ252+CA271*CA252+CB271*CB252+CC271*CC252+CD271*CD252+CE271*CE252+CF271*CF252+CG271*CG252+CH271*CH252+CI271*CI252+CJ271*CJ252+CK271*CK252+CL271*CL252+CM271*CM252+CN271*CN252+CO271*CO252+CP271*CP252+CQ271*CQ252+CR271*CR252+CS271*CS252</f>
        <v>0</v>
      </c>
      <c r="DB252" s="2504">
        <f>E272*E252+F272*F252+G272*G252+H272*H252+I272*I252+J272*J252+K272*K252+L272*L252+M272*M252+N272*N252+O272*O252+P272*P252+Q272*Q252+R272*R252+S272*S252+T272*T252+U272*U252+V272*V252+W272*W252+X272*X252+Y272*Y252+Z272*Z252+AA272*AA252+AB272*AB252+AC272*AC252+AD272*AD252+AE272*AE252+AF272*AF252+AG272*AG252+AH272*AH252+AI272*AI252+AJ272*AJ252+AK272*AK252+AL272*AL252+AM272*AM252+AN272*AN252+AO272*AO252+AP272*AP252+AQ272*AQ252+AR272*AR252+AS272*AS252+AT272*AT252+AU272*AU252+AV272*AV252+AW272*AW252+AX272*AX252+AY272*AY252+AZ272*AZ252+BA272*BA252+BB272*BB252+BC272*BC252+BD272*BD252+BE272*BE252+BF272*BF252+BG272*BG252+BH272*BH252+BI272*BI252+BJ272*BJ252+BK272*BK252+BL272*BL252+BM272*BM252+BN272*BN252+BO272*BO252+BP272*BP252+BQ272*BQ252+BR272*BR252+BS272*BS252+BT272*BT252+BU272*BU252+BV272*BV252+BW272*BW252+BX272*BX252+BY272*BY252+BZ272*BZ252+CA272*CA252+CB272*CB252+CC272*CC252+CD272*CD252+CE272*CE252+CF272*CF252+CG272*CG252+CH272*CH252+CI272*CI252+CJ272*CJ252+CK272*CK252+CL272*CL252+CM272*CM252+CN272*CN252+CO272*CO252+CP272*CP252+CQ272*CQ252+CR272*CR252+CS272*CS252</f>
        <v>0</v>
      </c>
      <c r="DC252" s="2504">
        <f>E273*E252+F273*F252+G273*G252+H273*H252+I273*I252+J273*J252+K273*K252+L273*L252+M273*M252+N273*N252+O273*O252+P273*P252+Q273*Q252+R273*R252+S273*S252+T273*T252+U273*U252+V273*V252+W273*W252+X273*X252+Y273*Y252+Z273*Z252+AA273*AA252+AB273*AB252+AC273*AC252+AD273*AD252+AE273*AE252+AF273*AF252+AG273*AG252+AH273*AH252+AI273*AI252+AJ273*AJ252+AK273*AK252+AL273*AL252+AM273*AM252+AN273*AN252+AO273*AO252+AP273*AP252+AQ273*AQ252+AR273*AR252+AS273*AS252+AT273*AT252+AU273*AU252+AV273*AV252+AW273*AW252+AX273*AX252+AY273*AY252+AZ273*AZ252+BA273*BA252+BB273*BB252+BC273*BC252+BD273*BD252+BE273*BE252+BF273*BF252+BG273*BG252+BH273*BH252+BI273*BI252+BJ273*BJ252+BK273*BK252+BL273*BL252+BM273*BM252+BN273*BN252+BO273*BO252+BP273*BP252+BQ273*BQ252+BR273*BR252+BS273*BS252+BT273*BT252+BU273*BU252+BV273*BV252+BW273*BW252+BX273*BX252+BY273*BY252+BZ273*BZ252+CA273*CA252+CB273*CB252+CC273*CC252+CD273*CD252+CE273*CE252+CF273*CF252+CG273*CG252+CH273*CH252+CI273*CI252+CJ273*CJ252+CK273*CK252+CL273*CL252+CM273*CM252+CN273*CN252+CO273*CO252+CP273*CP252+CQ273*CQ252+CR273*CR252+CS273*CS252</f>
        <v>0</v>
      </c>
      <c r="DD252" s="2504">
        <f>E274*E252+F274*F252+G274*G252+H274*H252+I274*I252+J274*J252+K274*K252+L274*L252+M274*M252+N274*N252+O274*O252+P274*P252+Q274*Q252+R274*R252+S274*S252+T274*T252+U274*U252+V274*V252+W274*W252+X274*X252+Y274*Y252+Z274*Z252+AA274*AA252+AB274*AB252+AC274*AC252+AD274*AD252+AE274*AE252+AF274*AF252+AG274*AG252+AH274*AH252+AI274*AI252+AJ274*AJ252+AK274*AK252+AL274*AL252+AM274*AM252+AN274*AN252+AO274*AO252+AP274*AP252+AQ274*AQ252+AR274*AR252+AS274*AS252+AT274*AT252+AU274*AU252+AV274*AV252+AW274*AW252+AX274*AX252+AY274*AY252+AZ274*AZ252+BA274*BA252+BB274*BB252+BC274*BC252+BD274*BD252+BE274*BE252+BF274*BF252+BG274*BG252+BH274*BH252+BI274*BI252+BJ274*BJ252+BK274*BK252+BL274*BL252+BM274*BM252+BN274*BN252+BO274*BO252+BP274*BP252+BQ274*BQ252+BR274*BR252+BS274*BS252+BT274*BT252+BU274*BU252+BV274*BV252+BW274*BW252+BX274*BX252+BY274*BY252+BZ274*BZ252+CA274*CA252+CB274*CB252+CC274*CC252+CD274*CD252+CE274*CE252+CF274*CF252+CG274*CG252+CH274*CH252+CI274*CI252+CJ274*CJ252+CK274*CK252+CL274*CL252+CM274*CM252+CN274*CN252+CO274*CO252+CP274*CP252+CQ274*CQ252+CR274*CR252+CS274*CS252</f>
        <v>0</v>
      </c>
      <c r="DE252" s="2504">
        <f>E275*E252+F275*F252+G275*G252+H275*H252+I275*I252+J275*J252+K275*K252+L275*L252+M275*M252+N275*N252+O275*O252+P275*P252+Q275*Q252+R275*R252+S275*S252+T275*T252+U275*U252+V275*V252+W275*W252+X275*X252+Y275*Y252+Z275*Z252+AA275*AA252+AB275*AB252+AC275*AC252+AD275*AD252+AE275*AE252+AF275*AF252+AG275*AG252+AH275*AH252+AI275*AI252+AJ275*AJ252+AK275*AK252+AL275*AL252+AM275*AM252+AN275*AN252+AO275*AO252+AP275*AP252+AQ275*AQ252+AR275*AR252+AS275*AS252+AT275*AT252+AU275*AU252+AV275*AV252+AW275*AW252+AX275*AX252+AY275*AY252+AZ275*AZ252+BA275*BA252+BB275*BB252+BC275*BC252+BD275*BD252+BE275*BE252+BF275*BF252+BG275*BG252+BH275*BH252+BI275*BI252+BJ275*BJ252+BK275*BK252+BL275*BL252+BM275*BM252+BN275*BN252+BO275*BO252+BP275*BP252+BQ275*BQ252+BR275*BR252+BS275*BS252+BT275*BT252+BU275*BU252+BV275*BV252+BW275*BW252+BX275*BX252+BY275*BY252+BZ275*BZ252+CA275*CA252+CB275*CB252+CC275*CC252+CD275*CD252+CE275*CE252+CF275*CF252+CG275*CG252+CH275*CH252+CI275*CI252+CJ275*CJ252+CK275*CK252+CL275*CL252+CM275*CM252+CN275*CN252+CO275*CO252+CP275*CP252+CQ275*CQ252+CR275*CR252+CS275*CS252</f>
        <v>0</v>
      </c>
      <c r="DF252" s="2504">
        <f>E276*E252+F276*F252+G276*G252+H276*H252+I276*I252+J276*J252+K276*K252+L276*L252+M276*M252+N276*N252+O276*O252+P276*P252+Q276*Q252+R276*R252+S276*S252+T276*T252+U276*U252+V276*V252+W276*W252+X276*X252+Y276*Y252+Z276*Z252+AA276*AA252+AB276*AB252+AC276*AC252+AD276*AD252+AE276*AE252+AF276*AF252+AG276*AG252+AH276*AH252+AI276*AI252+AJ276*AJ252+AK276*AK252+AL276*AL252+AM276*AM252+AN276*AN252+AO276*AO252+AP276*AP252+AQ276*AQ252+AR276*AR252+AS276*AS252+AT276*AT252+AU276*AU252+AV276*AV252+AW276*AW252+AX276*AX252+AY276*AY252+AZ276*AZ252+BA276*BA252+BB276*BB252+BC276*BC252+BD276*BD252+BE276*BE252+BF276*BF252+BG276*BG252+BH276*BH252+BI276*BI252+BJ276*BJ252+BK276*BK252+BL276*BL252+BM276*BM252+BN276*BN252+BO276*BO252+BP276*BP252+BQ276*BQ252+BR276*BR252+BS276*BS252+BT276*BT252+BU276*BU252+BV276*BV252+BW276*BW252+BX276*BX252+BY276*BY252+BZ276*BZ252+CA276*CA252+CB276*CB252+CC276*CC252+CD276*CD252+CE276*CE252+CF276*CF252+CG276*CG252+CH276*CH252+CI276*CI252+CJ276*CJ252+CK276*CK252+CL276*CL252+CM276*CM252+CN276*CN252+CO276*CO252+CP276*CP252+CQ276*CQ252+CR276*CR252+CS276*CS252</f>
        <v>0</v>
      </c>
    </row>
    <row r="253" spans="2:110" x14ac:dyDescent="0.25">
      <c r="B253" s="1535">
        <v>111</v>
      </c>
      <c r="C253" s="575" t="s">
        <v>4974</v>
      </c>
      <c r="D253" s="576" t="s">
        <v>3609</v>
      </c>
      <c r="E253" s="1597">
        <f>0</f>
        <v>0</v>
      </c>
      <c r="F253" s="1597">
        <f>0</f>
        <v>0</v>
      </c>
      <c r="G253" s="1597">
        <f>0</f>
        <v>0</v>
      </c>
      <c r="H253" s="1597">
        <f>0</f>
        <v>0</v>
      </c>
      <c r="I253" s="1597">
        <f>0</f>
        <v>0</v>
      </c>
      <c r="J253" s="1597">
        <f>0</f>
        <v>0</v>
      </c>
      <c r="K253" s="1597">
        <f>0</f>
        <v>0</v>
      </c>
      <c r="L253" s="1597">
        <f>0</f>
        <v>0</v>
      </c>
      <c r="M253" s="1597">
        <f>0</f>
        <v>0</v>
      </c>
      <c r="N253" s="1597">
        <f>0</f>
        <v>0</v>
      </c>
      <c r="O253" s="1597">
        <f>0</f>
        <v>0</v>
      </c>
      <c r="P253" s="1597">
        <f>0</f>
        <v>0</v>
      </c>
      <c r="Q253" s="1597">
        <f>0</f>
        <v>0</v>
      </c>
      <c r="R253" s="1473">
        <f>0</f>
        <v>0</v>
      </c>
      <c r="S253" s="1597">
        <f>0</f>
        <v>0</v>
      </c>
      <c r="T253" s="1597">
        <f>0</f>
        <v>0</v>
      </c>
      <c r="U253" s="1597">
        <f>0</f>
        <v>0</v>
      </c>
      <c r="V253" s="1597">
        <f>0</f>
        <v>0</v>
      </c>
      <c r="W253" s="1597">
        <f>0</f>
        <v>0</v>
      </c>
      <c r="X253" s="1597">
        <f>0</f>
        <v>0</v>
      </c>
      <c r="Y253" s="1597">
        <f>0</f>
        <v>0</v>
      </c>
      <c r="Z253" s="1597">
        <f>0</f>
        <v>0</v>
      </c>
      <c r="AA253" s="1597">
        <f>0</f>
        <v>0</v>
      </c>
      <c r="AB253" s="1597">
        <f>0</f>
        <v>0</v>
      </c>
      <c r="AC253" s="1597">
        <f>0</f>
        <v>0</v>
      </c>
      <c r="AD253" s="1597">
        <f>0</f>
        <v>0</v>
      </c>
      <c r="AE253" s="1597">
        <f>0</f>
        <v>0</v>
      </c>
      <c r="AF253" s="1597">
        <f>0</f>
        <v>0</v>
      </c>
      <c r="AG253" s="1597">
        <f>1</f>
        <v>1</v>
      </c>
      <c r="AH253" s="1597">
        <f>0</f>
        <v>0</v>
      </c>
      <c r="AI253" s="1597">
        <f>0</f>
        <v>0</v>
      </c>
      <c r="AJ253" s="1597">
        <f>0</f>
        <v>0</v>
      </c>
      <c r="AK253" s="1597">
        <f>0</f>
        <v>0</v>
      </c>
      <c r="AL253" s="1597">
        <f>0</f>
        <v>0</v>
      </c>
      <c r="AM253" s="1597">
        <f>0</f>
        <v>0</v>
      </c>
      <c r="AN253" s="1597">
        <f>0</f>
        <v>0</v>
      </c>
      <c r="AO253" s="1597">
        <f>0</f>
        <v>0</v>
      </c>
      <c r="AP253" s="1597">
        <f>0</f>
        <v>0</v>
      </c>
      <c r="AQ253" s="1597">
        <f>0</f>
        <v>0</v>
      </c>
      <c r="AR253" s="1597">
        <f>0</f>
        <v>0</v>
      </c>
      <c r="AS253" s="1597">
        <f>0</f>
        <v>0</v>
      </c>
      <c r="AT253" s="1597">
        <f>0</f>
        <v>0</v>
      </c>
      <c r="AU253" s="1597">
        <f>0</f>
        <v>0</v>
      </c>
      <c r="AV253" s="1597">
        <f>0</f>
        <v>0</v>
      </c>
      <c r="AW253" s="1597">
        <f>0</f>
        <v>0</v>
      </c>
      <c r="AX253" s="1597">
        <f>0</f>
        <v>0</v>
      </c>
      <c r="AY253" s="1597">
        <f>0</f>
        <v>0</v>
      </c>
      <c r="AZ253" s="1597">
        <f>0</f>
        <v>0</v>
      </c>
      <c r="BA253" s="1597">
        <f>0</f>
        <v>0</v>
      </c>
      <c r="BB253" s="1597">
        <f>0</f>
        <v>0</v>
      </c>
      <c r="BC253" s="1473">
        <f>0</f>
        <v>0</v>
      </c>
      <c r="BD253" s="1473">
        <f>0</f>
        <v>0</v>
      </c>
      <c r="BE253" s="1473">
        <f>0</f>
        <v>0</v>
      </c>
      <c r="BF253" s="1473">
        <f>0</f>
        <v>0</v>
      </c>
      <c r="BG253" s="1473">
        <f>0</f>
        <v>0</v>
      </c>
      <c r="BH253" s="1473">
        <f>0</f>
        <v>0</v>
      </c>
      <c r="BI253" s="1473">
        <f>0</f>
        <v>0</v>
      </c>
      <c r="BJ253" s="1473">
        <f>0</f>
        <v>0</v>
      </c>
      <c r="BK253" s="1473">
        <f>0</f>
        <v>0</v>
      </c>
      <c r="BL253" s="1473">
        <f>0</f>
        <v>0</v>
      </c>
      <c r="BM253" s="1473">
        <f>0</f>
        <v>0</v>
      </c>
      <c r="BN253" s="1473">
        <f>0</f>
        <v>0</v>
      </c>
      <c r="BO253" s="1473">
        <f>0</f>
        <v>0</v>
      </c>
      <c r="BP253" s="1473">
        <f>0</f>
        <v>0</v>
      </c>
      <c r="BQ253" s="1473">
        <f>0</f>
        <v>0</v>
      </c>
      <c r="BR253" s="1473">
        <f>0</f>
        <v>0</v>
      </c>
      <c r="BS253" s="1473">
        <f>0</f>
        <v>0</v>
      </c>
      <c r="BT253" s="1473">
        <f>0</f>
        <v>0</v>
      </c>
      <c r="BU253" s="1473">
        <f>0</f>
        <v>0</v>
      </c>
      <c r="BV253" s="1473">
        <f>0</f>
        <v>0</v>
      </c>
      <c r="BW253" s="1473">
        <f>0</f>
        <v>0</v>
      </c>
      <c r="BX253" s="1473">
        <f>0</f>
        <v>0</v>
      </c>
      <c r="BY253" s="1473">
        <f>0</f>
        <v>0</v>
      </c>
      <c r="BZ253" s="1473">
        <f>0</f>
        <v>0</v>
      </c>
      <c r="CA253" s="1473">
        <f>0</f>
        <v>0</v>
      </c>
      <c r="CB253" s="1473">
        <f>0</f>
        <v>0</v>
      </c>
      <c r="CC253" s="1473">
        <f>0</f>
        <v>0</v>
      </c>
      <c r="CD253" s="1597">
        <f>0</f>
        <v>0</v>
      </c>
      <c r="CE253" s="1597">
        <f>0</f>
        <v>0</v>
      </c>
      <c r="CF253" s="1597">
        <f>0</f>
        <v>0</v>
      </c>
      <c r="CG253" s="1597">
        <f>0</f>
        <v>0</v>
      </c>
      <c r="CH253" s="1597">
        <f>0</f>
        <v>0</v>
      </c>
      <c r="CI253" s="1597">
        <f>0</f>
        <v>0</v>
      </c>
      <c r="CJ253" s="511">
        <f>-1</f>
        <v>-1</v>
      </c>
      <c r="CK253" s="1597">
        <f>0</f>
        <v>0</v>
      </c>
      <c r="CL253" s="1473">
        <f>0</f>
        <v>0</v>
      </c>
      <c r="CM253" s="1473">
        <f>0</f>
        <v>0</v>
      </c>
      <c r="CN253" s="1473">
        <f>0</f>
        <v>0</v>
      </c>
      <c r="CO253" s="1473">
        <f>0</f>
        <v>0</v>
      </c>
      <c r="CP253" s="1473">
        <f>0</f>
        <v>0</v>
      </c>
      <c r="CQ253" s="1597">
        <f>0</f>
        <v>0</v>
      </c>
      <c r="CR253" s="1597">
        <f>0</f>
        <v>0</v>
      </c>
      <c r="CS253" s="1473">
        <f>0</f>
        <v>0</v>
      </c>
      <c r="CT253" s="2497">
        <f>k_LaGN2O_bub*(S_GN2O_bub_sat-S_N2O)</f>
        <v>1363.80519</v>
      </c>
      <c r="CV253" s="2502">
        <f>E266*E253+F266*F253+G266*G253+H266*H253+I266*I253+J266*J253+K266*K253+L266*L253+M266*M253+N266*N253+O266*O253+P266*P253+Q266*Q253+R266*R253+S266*S253+T266*T253+U266*U253+V266*V253+W266*W253+X266*X253+Y266*Y253+Z266*Z253+AA266*AA253+AB266*AB253+AC266*AC253+AD266*AD253+AE266*AE253+AF266*AF253+AG266*AG253+AH266*AH253+AI266*AI253+AJ266*AJ253+AK266*AK253+AL266*AL253+AM266*AM253+AN266*AN253+AO266*AO253+AP266*AP253+AQ266*AQ253+AR266*AR253+AS266*AS253+AT266*AT253+AU266*AU253+AV266*AV253+AW266*AW253+AX266*AX253+AY266*AY253+AZ266*AZ253+BA266*BA253+BB266*BB253+BC266*BC253+BD266*BD253+BE266*BE253+BF266*BF253+BG266*BG253+BH266*BH253+BI266*BI253+BJ266*BJ253+BK266*BK253+BL266*BL253+BM266*BM253+BN266*BN253+BO266*BO253+BP266*BP253+BQ266*BQ253+BR266*BR253+BS266*BS253+BT266*BT253+BU266*BU253+BV266*BV253+BW266*BW253+BX266*BX253+BY266*BY253+BZ266*BZ253+CA266*CA253+CB266*CB253+CC266*CC253+CD266*CD253+CE266*CE253+CF266*CF253+CG266*CG253+CH266*CH253+CI266*CI253+CJ266*CJ253+CK266*CK253+CL266*CL253+CM266*CM253+CN266*CN253+CO266*CO253+CP266*CP253+CQ266*CQ253+CR266*CR253+CS266*CS253</f>
        <v>0</v>
      </c>
      <c r="CW253" s="2502">
        <f>E267*E253+F267*F253+G267*G253+H267*H253+I267*I253+J267*J253+K267*K253+L267*L253+M267*M253+N267*N253+O267*O253+P267*P253+Q267*Q253+R267*R253+S267*S253+T267*T253+U267*U253+V267*V253+W267*W253+X267*X253+Y267*Y253+Z267*Z253+AA267*AA253+AB267*AB253+AC267*AC253+AD267*AD253+AE267*AE253+AF267*AF253+AG267*AG253+AH267*AH253+AI267*AI253+AJ267*AJ253+AK267*AK253+AL267*AL253+AM267*AM253+AN267*AN253+AO267*AO253+AP267*AP253+AQ267*AQ253+AR267*AR253+AS267*AS253+AT267*AT253+AU267*AU253+AV267*AV253+AW267*AW253+AX267*AX253+AY267*AY253+AZ267*AZ253+BA267*BA253+BB267*BB253+BC267*BC253+BD267*BD253+BE267*BE253+BF267*BF253+BG267*BG253+BH267*BH253+BI267*BI253+BJ267*BJ253+BK267*BK253+BL267*BL253+BM267*BM253+BN267*BN253+BO267*BO253+BP267*BP253+BQ267*BQ253+BR267*BR253+BS267*BS253+BT267*BT253+BU267*BU253+BV267*BV253+BW267*BW253+BX267*BX253+BY267*BY253+BZ267*BZ253+CA267*CA253+CB267*CB253+CC267*CC253+CD267*CD253+CE267*CE253+CF267*CF253+CG267*CG253+CH267*CH253+CI267*CI253+CJ267*CJ253+CK267*CK253+CL267*CL253+CM267*CM253+CN267*CN253+CO267*CO253+CP267*CP253+CQ267*CQ253+CR267*CR253+CS267*CS253</f>
        <v>0</v>
      </c>
      <c r="CX253" s="2503">
        <f>E268*E253+F268*F253+G268*G253+H268*H253+I268*I253+J268*J253+K268*K253+L268*L253+M268*M253+N268*N253+O268*O253+P268*P253+Q268*Q253+R268*R253+S268*S253+T268*T253+U268*U253+V268*V253+W268*W253+X268*X253+Y268*Y253+Z268*Z253+AA268*AA253+AB268*AB253+AC268*AC253+AD268*AD253+AE268*AE253+AF268*AF253+AG268*AG253+AH268*AH253+AI268*AI253+AJ268*AJ253+AK268*AK253+AL268*AL253+AM268*AM253+AN268*AN253+AO268*AO253+AP268*AP253+AQ268*AQ253+AR268*AR253+AS268*AS253+AT268*AT253+AU268*AU253+AV268*AV253+AW268*AW253+AX268*AX253+AY268*AY253+AZ268*AZ253+BA268*BA253+BB268*BB253+BC268*BC253+BD268*BD253+BE268*BE253+BF268*BF253+BG268*BG253+BH268*BH253+BI268*BI253+BJ268*BJ253+BK268*BK253+BL268*BL253+BM268*BM253+BN268*BN253+BO268*BO253+BP268*BP253+BQ268*BQ253+BR268*BR253+BS268*BS253+BT268*BT253+BU268*BU253+BV268*BV253+BW268*BW253+BX268*BX253+BY268*BY253+BZ268*BZ253+CA268*CA253+CB268*CB253+CC268*CC253+CD268*CD253+CE268*CE253+CF268*CF253+CG268*CG253+CH268*CH253+CI268*CI253+CJ268*CJ253+CK268*CK253+CL268*CL253+CM268*CM253+CN268*CN253+CO268*CO253+CP268*CP253+CQ268*CQ253+CR268*CR253+CS268*CS253</f>
        <v>0</v>
      </c>
      <c r="CY253" s="2504">
        <f>E269*E253+F269*F253+G269*G253+H269*H253+I269*I253+J269*J253+K269*K253+L269*L253+M269*M253+N269*N253+O269*O253+P269*P253+Q269*Q253+R269*R253+S269*S253+T269*T253+U269*U253+V269*V253+W269*W253+X269*X253+Y269*Y253+Z269*Z253+AA269*AA253+AB269*AB253+AC269*AC253+AD269*AD253+AE269*AE253+AF269*AF253+AG269*AG253+AH269*AH253+AI269*AI253+AJ269*AJ253+AK269*AK253+AL269*AL253+AM269*AM253+AN269*AN253+AO269*AO253+AP269*AP253+AQ269*AQ253+AR269*AR253+AS269*AS253+AT269*AT253+AU269*AU253+AV269*AV253+AW269*AW253+AX269*AX253+AY269*AY253+AZ269*AZ253+BA269*BA253+BB269*BB253+BC269*BC253+BD269*BD253+BE269*BE253+BF269*BF253+BG269*BG253+BH269*BH253+BI269*BI253+BJ269*BJ253+BK269*BK253+BL269*BL253+BM269*BM253+BN269*BN253+BO269*BO253+BP269*BP253+BQ269*BQ253+BR269*BR253+BS269*BS253+BT269*BT253+BU269*BU253+BV269*BV253+BW269*BW253+BX269*BX253+BY269*BY253+BZ269*BZ253+CA269*CA253+CB269*CB253+CC269*CC253+CD269*CD253+CE269*CE253+CF269*CF253+CG269*CG253+CH269*CH253+CI269*CI253+CJ269*CJ253+CK269*CK253+CL269*CL253+CM269*CM253+CN269*CN253+CO269*CO253+CP269*CP253+CQ269*CQ253+CR269*CR253+CS269*CS253</f>
        <v>0</v>
      </c>
      <c r="CZ253" s="2504">
        <f>E270*E253+F270*F253+G270*G253+H270*H253+I270*I253+J270*J253+K270*K253+L270*L253+M270*M253+N270*N253+O270*O253+P270*P253+Q270*Q253+R270*R253+S270*S253+T270*T253+U270*U253+V270*V253+W270*W253+X270*X253+Y270*Y253+Z270*Z253+AA270*AA253+AB270*AB253+AC270*AC253+AD270*AD253+AE270*AE253+AF270*AF253+AG270*AG253+AH270*AH253+AI270*AI253+AJ270*AJ253+AK270*AK253+AL270*AL253+AM270*AM253+AN270*AN253+AO270*AO253+AP270*AP253+AQ270*AQ253+AR270*AR253+AS270*AS253+AT270*AT253+AU270*AU253+AV270*AV253+AW270*AW253+AX270*AX253+AY270*AY253+AZ270*AZ253+BA270*BA253+BB270*BB253+BC270*BC253+BD270*BD253+BE270*BE253+BF270*BF253+BG270*BG253+BH270*BH253+BI270*BI253+BJ270*BJ253+BK270*BK253+BL270*BL253+BM270*BM253+BN270*BN253+BO270*BO253+BP270*BP253+BQ270*BQ253+BR270*BR253+BS270*BS253+BT270*BT253+BU270*BU253+BV270*BV253+BW270*BW253+BX270*BX253+BY270*BY253+BZ270*BZ253+CA270*CA253+CB270*CB253+CC270*CC253+CD270*CD253+CE270*CE253+CF270*CF253+CG270*CG253+CH270*CH253+CI270*CI253+CJ270*CJ253+CK270*CK253+CL270*CL253+CM270*CM253+CN270*CN253+CO270*CO253+CP270*CP253+CQ270*CQ253+CR270*CR253+CS270*CS253</f>
        <v>0</v>
      </c>
      <c r="DA253" s="2504">
        <f>E271*E253+F271*F253+G271*G253+H271*H253+I271*I253+J271*J253+K271*K253+L271*L253+M271*M253+N271*N253+O271*O253+P271*P253+Q271*Q253+R271*R253+S271*S253+T271*T253+U271*U253+V271*V253+W271*W253+X271*X253+Y271*Y253+Z271*Z253+AA271*AA253+AB271*AB253+AC271*AC253+AD271*AD253+AE271*AE253+AF271*AF253+AG271*AG253+AH271*AH253+AI271*AI253+AJ271*AJ253+AK271*AK253+AL271*AL253+AM271*AM253+AN271*AN253+AO271*AO253+AP271*AP253+AQ271*AQ253+AR271*AR253+AS271*AS253+AT271*AT253+AU271*AU253+AV271*AV253+AW271*AW253+AX271*AX253+AY271*AY253+AZ271*AZ253+BA271*BA253+BB271*BB253+BC271*BC253+BD271*BD253+BE271*BE253+BF271*BF253+BG271*BG253+BH271*BH253+BI271*BI253+BJ271*BJ253+BK271*BK253+BL271*BL253+BM271*BM253+BN271*BN253+BO271*BO253+BP271*BP253+BQ271*BQ253+BR271*BR253+BS271*BS253+BT271*BT253+BU271*BU253+BV271*BV253+BW271*BW253+BX271*BX253+BY271*BY253+BZ271*BZ253+CA271*CA253+CB271*CB253+CC271*CC253+CD271*CD253+CE271*CE253+CF271*CF253+CG271*CG253+CH271*CH253+CI271*CI253+CJ271*CJ253+CK271*CK253+CL271*CL253+CM271*CM253+CN271*CN253+CO271*CO253+CP271*CP253+CQ271*CQ253+CR271*CR253+CS271*CS253</f>
        <v>0</v>
      </c>
      <c r="DB253" s="2504">
        <f>E272*E253+F272*F253+G272*G253+H272*H253+I272*I253+J272*J253+K272*K253+L272*L253+M272*M253+N272*N253+O272*O253+P272*P253+Q272*Q253+R272*R253+S272*S253+T272*T253+U272*U253+V272*V253+W272*W253+X272*X253+Y272*Y253+Z272*Z253+AA272*AA253+AB272*AB253+AC272*AC253+AD272*AD253+AE272*AE253+AF272*AF253+AG272*AG253+AH272*AH253+AI272*AI253+AJ272*AJ253+AK272*AK253+AL272*AL253+AM272*AM253+AN272*AN253+AO272*AO253+AP272*AP253+AQ272*AQ253+AR272*AR253+AS272*AS253+AT272*AT253+AU272*AU253+AV272*AV253+AW272*AW253+AX272*AX253+AY272*AY253+AZ272*AZ253+BA272*BA253+BB272*BB253+BC272*BC253+BD272*BD253+BE272*BE253+BF272*BF253+BG272*BG253+BH272*BH253+BI272*BI253+BJ272*BJ253+BK272*BK253+BL272*BL253+BM272*BM253+BN272*BN253+BO272*BO253+BP272*BP253+BQ272*BQ253+BR272*BR253+BS272*BS253+BT272*BT253+BU272*BU253+BV272*BV253+BW272*BW253+BX272*BX253+BY272*BY253+BZ272*BZ253+CA272*CA253+CB272*CB253+CC272*CC253+CD272*CD253+CE272*CE253+CF272*CF253+CG272*CG253+CH272*CH253+CI272*CI253+CJ272*CJ253+CK272*CK253+CL272*CL253+CM272*CM253+CN272*CN253+CO272*CO253+CP272*CP253+CQ272*CQ253+CR272*CR253+CS272*CS253</f>
        <v>0</v>
      </c>
      <c r="DC253" s="2504">
        <f>E273*E253+F273*F253+G273*G253+H273*H253+I273*I253+J273*J253+K273*K253+L273*L253+M273*M253+N273*N253+O273*O253+P273*P253+Q273*Q253+R273*R253+S273*S253+T273*T253+U273*U253+V273*V253+W273*W253+X273*X253+Y273*Y253+Z273*Z253+AA273*AA253+AB273*AB253+AC273*AC253+AD273*AD253+AE273*AE253+AF273*AF253+AG273*AG253+AH273*AH253+AI273*AI253+AJ273*AJ253+AK273*AK253+AL273*AL253+AM273*AM253+AN273*AN253+AO273*AO253+AP273*AP253+AQ273*AQ253+AR273*AR253+AS273*AS253+AT273*AT253+AU273*AU253+AV273*AV253+AW273*AW253+AX273*AX253+AY273*AY253+AZ273*AZ253+BA273*BA253+BB273*BB253+BC273*BC253+BD273*BD253+BE273*BE253+BF273*BF253+BG273*BG253+BH273*BH253+BI273*BI253+BJ273*BJ253+BK273*BK253+BL273*BL253+BM273*BM253+BN273*BN253+BO273*BO253+BP273*BP253+BQ273*BQ253+BR273*BR253+BS273*BS253+BT273*BT253+BU273*BU253+BV273*BV253+BW273*BW253+BX273*BX253+BY273*BY253+BZ273*BZ253+CA273*CA253+CB273*CB253+CC273*CC253+CD273*CD253+CE273*CE253+CF273*CF253+CG273*CG253+CH273*CH253+CI273*CI253+CJ273*CJ253+CK273*CK253+CL273*CL253+CM273*CM253+CN273*CN253+CO273*CO253+CP273*CP253+CQ273*CQ253+CR273*CR253+CS273*CS253</f>
        <v>0</v>
      </c>
      <c r="DD253" s="2504">
        <f>E274*E253+F274*F253+G274*G253+H274*H253+I274*I253+J274*J253+K274*K253+L274*L253+M274*M253+N274*N253+O274*O253+P274*P253+Q274*Q253+R274*R253+S274*S253+T274*T253+U274*U253+V274*V253+W274*W253+X274*X253+Y274*Y253+Z274*Z253+AA274*AA253+AB274*AB253+AC274*AC253+AD274*AD253+AE274*AE253+AF274*AF253+AG274*AG253+AH274*AH253+AI274*AI253+AJ274*AJ253+AK274*AK253+AL274*AL253+AM274*AM253+AN274*AN253+AO274*AO253+AP274*AP253+AQ274*AQ253+AR274*AR253+AS274*AS253+AT274*AT253+AU274*AU253+AV274*AV253+AW274*AW253+AX274*AX253+AY274*AY253+AZ274*AZ253+BA274*BA253+BB274*BB253+BC274*BC253+BD274*BD253+BE274*BE253+BF274*BF253+BG274*BG253+BH274*BH253+BI274*BI253+BJ274*BJ253+BK274*BK253+BL274*BL253+BM274*BM253+BN274*BN253+BO274*BO253+BP274*BP253+BQ274*BQ253+BR274*BR253+BS274*BS253+BT274*BT253+BU274*BU253+BV274*BV253+BW274*BW253+BX274*BX253+BY274*BY253+BZ274*BZ253+CA274*CA253+CB274*CB253+CC274*CC253+CD274*CD253+CE274*CE253+CF274*CF253+CG274*CG253+CH274*CH253+CI274*CI253+CJ274*CJ253+CK274*CK253+CL274*CL253+CM274*CM253+CN274*CN253+CO274*CO253+CP274*CP253+CQ274*CQ253+CR274*CR253+CS274*CS253</f>
        <v>0</v>
      </c>
      <c r="DE253" s="2504">
        <f>E275*E253+F275*F253+G275*G253+H275*H253+I275*I253+J275*J253+K275*K253+L275*L253+M275*M253+N275*N253+O275*O253+P275*P253+Q275*Q253+R275*R253+S275*S253+T275*T253+U275*U253+V275*V253+W275*W253+X275*X253+Y275*Y253+Z275*Z253+AA275*AA253+AB275*AB253+AC275*AC253+AD275*AD253+AE275*AE253+AF275*AF253+AG275*AG253+AH275*AH253+AI275*AI253+AJ275*AJ253+AK275*AK253+AL275*AL253+AM275*AM253+AN275*AN253+AO275*AO253+AP275*AP253+AQ275*AQ253+AR275*AR253+AS275*AS253+AT275*AT253+AU275*AU253+AV275*AV253+AW275*AW253+AX275*AX253+AY275*AY253+AZ275*AZ253+BA275*BA253+BB275*BB253+BC275*BC253+BD275*BD253+BE275*BE253+BF275*BF253+BG275*BG253+BH275*BH253+BI275*BI253+BJ275*BJ253+BK275*BK253+BL275*BL253+BM275*BM253+BN275*BN253+BO275*BO253+BP275*BP253+BQ275*BQ253+BR275*BR253+BS275*BS253+BT275*BT253+BU275*BU253+BV275*BV253+BW275*BW253+BX275*BX253+BY275*BY253+BZ275*BZ253+CA275*CA253+CB275*CB253+CC275*CC253+CD275*CD253+CE275*CE253+CF275*CF253+CG275*CG253+CH275*CH253+CI275*CI253+CJ275*CJ253+CK275*CK253+CL275*CL253+CM275*CM253+CN275*CN253+CO275*CO253+CP275*CP253+CQ275*CQ253+CR275*CR253+CS275*CS253</f>
        <v>0</v>
      </c>
      <c r="DF253" s="2504">
        <f>E276*E253+F276*F253+G276*G253+H276*H253+I276*I253+J276*J253+K276*K253+L276*L253+M276*M253+N276*N253+O276*O253+P276*P253+Q276*Q253+R276*R253+S276*S253+T276*T253+U276*U253+V276*V253+W276*W253+X276*X253+Y276*Y253+Z276*Z253+AA276*AA253+AB276*AB253+AC276*AC253+AD276*AD253+AE276*AE253+AF276*AF253+AG276*AG253+AH276*AH253+AI276*AI253+AJ276*AJ253+AK276*AK253+AL276*AL253+AM276*AM253+AN276*AN253+AO276*AO253+AP276*AP253+AQ276*AQ253+AR276*AR253+AS276*AS253+AT276*AT253+AU276*AU253+AV276*AV253+AW276*AW253+AX276*AX253+AY276*AY253+AZ276*AZ253+BA276*BA253+BB276*BB253+BC276*BC253+BD276*BD253+BE276*BE253+BF276*BF253+BG276*BG253+BH276*BH253+BI276*BI253+BJ276*BJ253+BK276*BK253+BL276*BL253+BM276*BM253+BN276*BN253+BO276*BO253+BP276*BP253+BQ276*BQ253+BR276*BR253+BS276*BS253+BT276*BT253+BU276*BU253+BV276*BV253+BW276*BW253+BX276*BX253+BY276*BY253+BZ276*BZ253+CA276*CA253+CB276*CB253+CC276*CC253+CD276*CD253+CE276*CE253+CF276*CF253+CG276*CG253+CH276*CH253+CI276*CI253+CJ276*CJ253+CK276*CK253+CL276*CL253+CM276*CM253+CN276*CN253+CO276*CO253+CP276*CP253+CQ276*CQ253+CR276*CR253+CS276*CS253</f>
        <v>0</v>
      </c>
    </row>
    <row r="254" spans="2:110" ht="15.75" thickBot="1" x14ac:dyDescent="0.3">
      <c r="B254" s="1598">
        <v>112</v>
      </c>
      <c r="C254" s="1599" t="s">
        <v>4975</v>
      </c>
      <c r="D254" s="1600" t="s">
        <v>3093</v>
      </c>
      <c r="E254" s="1601">
        <f>0</f>
        <v>0</v>
      </c>
      <c r="F254" s="1601">
        <f>0</f>
        <v>0</v>
      </c>
      <c r="G254" s="1601">
        <f>0</f>
        <v>0</v>
      </c>
      <c r="H254" s="1601">
        <f>0</f>
        <v>0</v>
      </c>
      <c r="I254" s="1601">
        <f>0</f>
        <v>0</v>
      </c>
      <c r="J254" s="1601">
        <f>0</f>
        <v>0</v>
      </c>
      <c r="K254" s="1601">
        <f>0</f>
        <v>0</v>
      </c>
      <c r="L254" s="1601">
        <f>0</f>
        <v>0</v>
      </c>
      <c r="M254" s="1601">
        <f>0</f>
        <v>0</v>
      </c>
      <c r="N254" s="1601">
        <f>0</f>
        <v>0</v>
      </c>
      <c r="O254" s="1601">
        <f>0</f>
        <v>0</v>
      </c>
      <c r="P254" s="1601">
        <f>0</f>
        <v>0</v>
      </c>
      <c r="Q254" s="1601">
        <f>0</f>
        <v>0</v>
      </c>
      <c r="R254" s="1602">
        <f>0</f>
        <v>0</v>
      </c>
      <c r="S254" s="1601">
        <f>0</f>
        <v>0</v>
      </c>
      <c r="T254" s="1601">
        <f>0</f>
        <v>0</v>
      </c>
      <c r="U254" s="1601">
        <f>0</f>
        <v>0</v>
      </c>
      <c r="V254" s="1601">
        <f>0</f>
        <v>0</v>
      </c>
      <c r="W254" s="1601">
        <f>0</f>
        <v>0</v>
      </c>
      <c r="X254" s="1601">
        <f>0</f>
        <v>0</v>
      </c>
      <c r="Y254" s="1601">
        <f>0</f>
        <v>0</v>
      </c>
      <c r="Z254" s="1601">
        <f>0</f>
        <v>0</v>
      </c>
      <c r="AA254" s="1601">
        <f>0</f>
        <v>0</v>
      </c>
      <c r="AB254" s="1601">
        <f>0</f>
        <v>0</v>
      </c>
      <c r="AC254" s="1601">
        <f>0</f>
        <v>0</v>
      </c>
      <c r="AD254" s="1601">
        <f>0</f>
        <v>0</v>
      </c>
      <c r="AE254" s="1601">
        <f>0</f>
        <v>0</v>
      </c>
      <c r="AF254" s="1601">
        <f>0</f>
        <v>0</v>
      </c>
      <c r="AG254" s="1601">
        <f>0</f>
        <v>0</v>
      </c>
      <c r="AH254" s="1601">
        <f>1</f>
        <v>1</v>
      </c>
      <c r="AI254" s="1601">
        <f>0</f>
        <v>0</v>
      </c>
      <c r="AJ254" s="1601">
        <f>0</f>
        <v>0</v>
      </c>
      <c r="AK254" s="1601">
        <f>0</f>
        <v>0</v>
      </c>
      <c r="AL254" s="1601">
        <f>0</f>
        <v>0</v>
      </c>
      <c r="AM254" s="1601">
        <f>0</f>
        <v>0</v>
      </c>
      <c r="AN254" s="1601">
        <f>0</f>
        <v>0</v>
      </c>
      <c r="AO254" s="1601">
        <f>0</f>
        <v>0</v>
      </c>
      <c r="AP254" s="1601">
        <f>0</f>
        <v>0</v>
      </c>
      <c r="AQ254" s="1601">
        <f>0</f>
        <v>0</v>
      </c>
      <c r="AR254" s="1601">
        <f>0</f>
        <v>0</v>
      </c>
      <c r="AS254" s="1601">
        <f>0</f>
        <v>0</v>
      </c>
      <c r="AT254" s="1601">
        <f>0</f>
        <v>0</v>
      </c>
      <c r="AU254" s="1601">
        <f>0</f>
        <v>0</v>
      </c>
      <c r="AV254" s="1601">
        <f>0</f>
        <v>0</v>
      </c>
      <c r="AW254" s="1601">
        <f>0</f>
        <v>0</v>
      </c>
      <c r="AX254" s="1601">
        <f>0</f>
        <v>0</v>
      </c>
      <c r="AY254" s="1601">
        <f>0</f>
        <v>0</v>
      </c>
      <c r="AZ254" s="1601">
        <f>0</f>
        <v>0</v>
      </c>
      <c r="BA254" s="1601">
        <f>0</f>
        <v>0</v>
      </c>
      <c r="BB254" s="1601">
        <f>0</f>
        <v>0</v>
      </c>
      <c r="BC254" s="1602">
        <f>0</f>
        <v>0</v>
      </c>
      <c r="BD254" s="1602">
        <f>0</f>
        <v>0</v>
      </c>
      <c r="BE254" s="1602">
        <f>0</f>
        <v>0</v>
      </c>
      <c r="BF254" s="1602">
        <f>0</f>
        <v>0</v>
      </c>
      <c r="BG254" s="1602">
        <f>0</f>
        <v>0</v>
      </c>
      <c r="BH254" s="1602">
        <f>0</f>
        <v>0</v>
      </c>
      <c r="BI254" s="1602">
        <f>0</f>
        <v>0</v>
      </c>
      <c r="BJ254" s="1602">
        <f>0</f>
        <v>0</v>
      </c>
      <c r="BK254" s="1602">
        <f>0</f>
        <v>0</v>
      </c>
      <c r="BL254" s="1602">
        <f>0</f>
        <v>0</v>
      </c>
      <c r="BM254" s="1602">
        <f>0</f>
        <v>0</v>
      </c>
      <c r="BN254" s="1602">
        <f>0</f>
        <v>0</v>
      </c>
      <c r="BO254" s="1602">
        <f>0</f>
        <v>0</v>
      </c>
      <c r="BP254" s="1602">
        <f>0</f>
        <v>0</v>
      </c>
      <c r="BQ254" s="1602">
        <f>0</f>
        <v>0</v>
      </c>
      <c r="BR254" s="1602">
        <f>0</f>
        <v>0</v>
      </c>
      <c r="BS254" s="1602">
        <f>0</f>
        <v>0</v>
      </c>
      <c r="BT254" s="1602">
        <f>0</f>
        <v>0</v>
      </c>
      <c r="BU254" s="1602">
        <f>0</f>
        <v>0</v>
      </c>
      <c r="BV254" s="1602">
        <f>0</f>
        <v>0</v>
      </c>
      <c r="BW254" s="1602">
        <f>0</f>
        <v>0</v>
      </c>
      <c r="BX254" s="1602">
        <f>0</f>
        <v>0</v>
      </c>
      <c r="BY254" s="1602">
        <f>0</f>
        <v>0</v>
      </c>
      <c r="BZ254" s="1602">
        <f>0</f>
        <v>0</v>
      </c>
      <c r="CA254" s="1602">
        <f>0</f>
        <v>0</v>
      </c>
      <c r="CB254" s="1602">
        <f>0</f>
        <v>0</v>
      </c>
      <c r="CC254" s="1602">
        <f>0</f>
        <v>0</v>
      </c>
      <c r="CD254" s="1601">
        <f>0</f>
        <v>0</v>
      </c>
      <c r="CE254" s="1601">
        <f>0</f>
        <v>0</v>
      </c>
      <c r="CF254" s="1601">
        <f>0</f>
        <v>0</v>
      </c>
      <c r="CG254" s="1601">
        <f>0</f>
        <v>0</v>
      </c>
      <c r="CH254" s="1601">
        <f>0</f>
        <v>0</v>
      </c>
      <c r="CI254" s="1601">
        <f>0</f>
        <v>0</v>
      </c>
      <c r="CJ254" s="1601">
        <f>0</f>
        <v>0</v>
      </c>
      <c r="CK254" s="1601">
        <f>-1</f>
        <v>-1</v>
      </c>
      <c r="CL254" s="1602">
        <f>0</f>
        <v>0</v>
      </c>
      <c r="CM254" s="1602">
        <f>0</f>
        <v>0</v>
      </c>
      <c r="CN254" s="1602">
        <f>0</f>
        <v>0</v>
      </c>
      <c r="CO254" s="1602">
        <f>0</f>
        <v>0</v>
      </c>
      <c r="CP254" s="1602">
        <f>0</f>
        <v>0</v>
      </c>
      <c r="CQ254" s="1601">
        <f>0</f>
        <v>0</v>
      </c>
      <c r="CR254" s="1601">
        <f>0</f>
        <v>0</v>
      </c>
      <c r="CS254" s="1602">
        <f>0</f>
        <v>0</v>
      </c>
      <c r="CT254" s="2498">
        <f>k_LaGN2_bub*(S_GN2_bub_sat-S_N2)</f>
        <v>-272.94299999999998</v>
      </c>
      <c r="CV254" s="2502">
        <f>E266*E254+F266*F254+G266*G254+H266*H254+I266*I254+J266*J254+K266*K254+L266*L254+M266*M254+N266*N254+O266*O254+P266*P254+Q266*Q254+R266*R254+S266*S254+T266*T254+U266*U254+V266*V254+W266*W254+X266*X254+Y266*Y254+Z266*Z254+AA266*AA254+AB266*AB254+AC266*AC254+AD266*AD254+AE266*AE254+AF266*AF254+AG266*AG254+AH266*AH254+AI266*AI254+AJ266*AJ254+AK266*AK254+AL266*AL254+AM266*AM254+AN266*AN254+AO266*AO254+AP266*AP254+AQ266*AQ254+AR266*AR254+AS266*AS254+AT266*AT254+AU266*AU254+AV266*AV254+AW266*AW254+AX266*AX254+AY266*AY254+AZ266*AZ254+BA266*BA254+BB266*BB254+BC266*BC254+BD266*BD254+BE266*BE254+BF266*BF254+BG266*BG254+BH266*BH254+BI266*BI254+BJ266*BJ254+BK266*BK254+BL266*BL254+BM266*BM254+BN266*BN254+BO266*BO254+BP266*BP254+BQ266*BQ254+BR266*BR254+BS266*BS254+BT266*BT254+BU266*BU254+BV266*BV254+BW266*BW254+BX266*BX254+BY266*BY254+BZ266*BZ254+CA266*CA254+CB266*CB254+CC266*CC254+CD266*CD254+CE266*CE254+CF266*CF254+CG266*CG254+CH266*CH254+CI266*CI254+CJ266*CJ254+CK266*CK254+CL266*CL254+CM266*CM254+CN266*CN254+CO266*CO254+CP266*CP254+CQ266*CQ254+CR266*CR254+CS266*CS254</f>
        <v>0</v>
      </c>
      <c r="CW254" s="2502">
        <f>E267*E254+F267*F254+G267*G254+H267*H254+I267*I254+J267*J254+K267*K254+L267*L254+M267*M254+N267*N254+O267*O254+P267*P254+Q267*Q254+R267*R254+S267*S254+T267*T254+U267*U254+V267*V254+W267*W254+X267*X254+Y267*Y254+Z267*Z254+AA267*AA254+AB267*AB254+AC267*AC254+AD267*AD254+AE267*AE254+AF267*AF254+AG267*AG254+AH267*AH254+AI267*AI254+AJ267*AJ254+AK267*AK254+AL267*AL254+AM267*AM254+AN267*AN254+AO267*AO254+AP267*AP254+AQ267*AQ254+AR267*AR254+AS267*AS254+AT267*AT254+AU267*AU254+AV267*AV254+AW267*AW254+AX267*AX254+AY267*AY254+AZ267*AZ254+BA267*BA254+BB267*BB254+BC267*BC254+BD267*BD254+BE267*BE254+BF267*BF254+BG267*BG254+BH267*BH254+BI267*BI254+BJ267*BJ254+BK267*BK254+BL267*BL254+BM267*BM254+BN267*BN254+BO267*BO254+BP267*BP254+BQ267*BQ254+BR267*BR254+BS267*BS254+BT267*BT254+BU267*BU254+BV267*BV254+BW267*BW254+BX267*BX254+BY267*BY254+BZ267*BZ254+CA267*CA254+CB267*CB254+CC267*CC254+CD267*CD254+CE267*CE254+CF267*CF254+CG267*CG254+CH267*CH254+CI267*CI254+CJ267*CJ254+CK267*CK254+CL267*CL254+CM267*CM254+CN267*CN254+CO267*CO254+CP267*CP254+CQ267*CQ254+CR267*CR254+CS267*CS254</f>
        <v>0</v>
      </c>
      <c r="CX254" s="2503">
        <f>E268*E254+F268*F254+G268*G254+H268*H254+I268*I254+J268*J254+K268*K254+L268*L254+M268*M254+N268*N254+O268*O254+P268*P254+Q268*Q254+R268*R254+S268*S254+T268*T254+U268*U254+V268*V254+W268*W254+X268*X254+Y268*Y254+Z268*Z254+AA268*AA254+AB268*AB254+AC268*AC254+AD268*AD254+AE268*AE254+AF268*AF254+AG268*AG254+AH268*AH254+AI268*AI254+AJ268*AJ254+AK268*AK254+AL268*AL254+AM268*AM254+AN268*AN254+AO268*AO254+AP268*AP254+AQ268*AQ254+AR268*AR254+AS268*AS254+AT268*AT254+AU268*AU254+AV268*AV254+AW268*AW254+AX268*AX254+AY268*AY254+AZ268*AZ254+BA268*BA254+BB268*BB254+BC268*BC254+BD268*BD254+BE268*BE254+BF268*BF254+BG268*BG254+BH268*BH254+BI268*BI254+BJ268*BJ254+BK268*BK254+BL268*BL254+BM268*BM254+BN268*BN254+BO268*BO254+BP268*BP254+BQ268*BQ254+BR268*BR254+BS268*BS254+BT268*BT254+BU268*BU254+BV268*BV254+BW268*BW254+BX268*BX254+BY268*BY254+BZ268*BZ254+CA268*CA254+CB268*CB254+CC268*CC254+CD268*CD254+CE268*CE254+CF268*CF254+CG268*CG254+CH268*CH254+CI268*CI254+CJ268*CJ254+CK268*CK254+CL268*CL254+CM268*CM254+CN268*CN254+CO268*CO254+CP268*CP254+CQ268*CQ254+CR268*CR254+CS268*CS254</f>
        <v>0</v>
      </c>
      <c r="CY254" s="2504">
        <f>E269*E254+F269*F254+G269*G254+H269*H254+I269*I254+J269*J254+K269*K254+L269*L254+M269*M254+N269*N254+O269*O254+P269*P254+Q269*Q254+R269*R254+S269*S254+T269*T254+U269*U254+V269*V254+W269*W254+X269*X254+Y269*Y254+Z269*Z254+AA269*AA254+AB269*AB254+AC269*AC254+AD269*AD254+AE269*AE254+AF269*AF254+AG269*AG254+AH269*AH254+AI269*AI254+AJ269*AJ254+AK269*AK254+AL269*AL254+AM269*AM254+AN269*AN254+AO269*AO254+AP269*AP254+AQ269*AQ254+AR269*AR254+AS269*AS254+AT269*AT254+AU269*AU254+AV269*AV254+AW269*AW254+AX269*AX254+AY269*AY254+AZ269*AZ254+BA269*BA254+BB269*BB254+BC269*BC254+BD269*BD254+BE269*BE254+BF269*BF254+BG269*BG254+BH269*BH254+BI269*BI254+BJ269*BJ254+BK269*BK254+BL269*BL254+BM269*BM254+BN269*BN254+BO269*BO254+BP269*BP254+BQ269*BQ254+BR269*BR254+BS269*BS254+BT269*BT254+BU269*BU254+BV269*BV254+BW269*BW254+BX269*BX254+BY269*BY254+BZ269*BZ254+CA269*CA254+CB269*CB254+CC269*CC254+CD269*CD254+CE269*CE254+CF269*CF254+CG269*CG254+CH269*CH254+CI269*CI254+CJ269*CJ254+CK269*CK254+CL269*CL254+CM269*CM254+CN269*CN254+CO269*CO254+CP269*CP254+CQ269*CQ254+CR269*CR254+CS269*CS254</f>
        <v>0</v>
      </c>
      <c r="CZ254" s="2504">
        <f>E270*E254+F270*F254+G270*G254+H270*H254+I270*I254+J270*J254+K270*K254+L270*L254+M270*M254+N270*N254+O270*O254+P270*P254+Q270*Q254+R270*R254+S270*S254+T270*T254+U270*U254+V270*V254+W270*W254+X270*X254+Y270*Y254+Z270*Z254+AA270*AA254+AB270*AB254+AC270*AC254+AD270*AD254+AE270*AE254+AF270*AF254+AG270*AG254+AH270*AH254+AI270*AI254+AJ270*AJ254+AK270*AK254+AL270*AL254+AM270*AM254+AN270*AN254+AO270*AO254+AP270*AP254+AQ270*AQ254+AR270*AR254+AS270*AS254+AT270*AT254+AU270*AU254+AV270*AV254+AW270*AW254+AX270*AX254+AY270*AY254+AZ270*AZ254+BA270*BA254+BB270*BB254+BC270*BC254+BD270*BD254+BE270*BE254+BF270*BF254+BG270*BG254+BH270*BH254+BI270*BI254+BJ270*BJ254+BK270*BK254+BL270*BL254+BM270*BM254+BN270*BN254+BO270*BO254+BP270*BP254+BQ270*BQ254+BR270*BR254+BS270*BS254+BT270*BT254+BU270*BU254+BV270*BV254+BW270*BW254+BX270*BX254+BY270*BY254+BZ270*BZ254+CA270*CA254+CB270*CB254+CC270*CC254+CD270*CD254+CE270*CE254+CF270*CF254+CG270*CG254+CH270*CH254+CI270*CI254+CJ270*CJ254+CK270*CK254+CL270*CL254+CM270*CM254+CN270*CN254+CO270*CO254+CP270*CP254+CQ270*CQ254+CR270*CR254+CS270*CS254</f>
        <v>0</v>
      </c>
      <c r="DA254" s="2504">
        <f>E271*E254+F271*F254+G271*G254+H271*H254+I271*I254+J271*J254+K271*K254+L271*L254+M271*M254+N271*N254+O271*O254+P271*P254+Q271*Q254+R271*R254+S271*S254+T271*T254+U271*U254+V271*V254+W271*W254+X271*X254+Y271*Y254+Z271*Z254+AA271*AA254+AB271*AB254+AC271*AC254+AD271*AD254+AE271*AE254+AF271*AF254+AG271*AG254+AH271*AH254+AI271*AI254+AJ271*AJ254+AK271*AK254+AL271*AL254+AM271*AM254+AN271*AN254+AO271*AO254+AP271*AP254+AQ271*AQ254+AR271*AR254+AS271*AS254+AT271*AT254+AU271*AU254+AV271*AV254+AW271*AW254+AX271*AX254+AY271*AY254+AZ271*AZ254+BA271*BA254+BB271*BB254+BC271*BC254+BD271*BD254+BE271*BE254+BF271*BF254+BG271*BG254+BH271*BH254+BI271*BI254+BJ271*BJ254+BK271*BK254+BL271*BL254+BM271*BM254+BN271*BN254+BO271*BO254+BP271*BP254+BQ271*BQ254+BR271*BR254+BS271*BS254+BT271*BT254+BU271*BU254+BV271*BV254+BW271*BW254+BX271*BX254+BY271*BY254+BZ271*BZ254+CA271*CA254+CB271*CB254+CC271*CC254+CD271*CD254+CE271*CE254+CF271*CF254+CG271*CG254+CH271*CH254+CI271*CI254+CJ271*CJ254+CK271*CK254+CL271*CL254+CM271*CM254+CN271*CN254+CO271*CO254+CP271*CP254+CQ271*CQ254+CR271*CR254+CS271*CS254</f>
        <v>0</v>
      </c>
      <c r="DB254" s="2504">
        <f>E272*E254+F272*F254+G272*G254+H272*H254+I272*I254+J272*J254+K272*K254+L272*L254+M272*M254+N272*N254+O272*O254+P272*P254+Q272*Q254+R272*R254+S272*S254+T272*T254+U272*U254+V272*V254+W272*W254+X272*X254+Y272*Y254+Z272*Z254+AA272*AA254+AB272*AB254+AC272*AC254+AD272*AD254+AE272*AE254+AF272*AF254+AG272*AG254+AH272*AH254+AI272*AI254+AJ272*AJ254+AK272*AK254+AL272*AL254+AM272*AM254+AN272*AN254+AO272*AO254+AP272*AP254+AQ272*AQ254+AR272*AR254+AS272*AS254+AT272*AT254+AU272*AU254+AV272*AV254+AW272*AW254+AX272*AX254+AY272*AY254+AZ272*AZ254+BA272*BA254+BB272*BB254+BC272*BC254+BD272*BD254+BE272*BE254+BF272*BF254+BG272*BG254+BH272*BH254+BI272*BI254+BJ272*BJ254+BK272*BK254+BL272*BL254+BM272*BM254+BN272*BN254+BO272*BO254+BP272*BP254+BQ272*BQ254+BR272*BR254+BS272*BS254+BT272*BT254+BU272*BU254+BV272*BV254+BW272*BW254+BX272*BX254+BY272*BY254+BZ272*BZ254+CA272*CA254+CB272*CB254+CC272*CC254+CD272*CD254+CE272*CE254+CF272*CF254+CG272*CG254+CH272*CH254+CI272*CI254+CJ272*CJ254+CK272*CK254+CL272*CL254+CM272*CM254+CN272*CN254+CO272*CO254+CP272*CP254+CQ272*CQ254+CR272*CR254+CS272*CS254</f>
        <v>0</v>
      </c>
      <c r="DC254" s="2504">
        <f>E273*E254+F273*F254+G273*G254+H273*H254+I273*I254+J273*J254+K273*K254+L273*L254+M273*M254+N273*N254+O273*O254+P273*P254+Q273*Q254+R273*R254+S273*S254+T273*T254+U273*U254+V273*V254+W273*W254+X273*X254+Y273*Y254+Z273*Z254+AA273*AA254+AB273*AB254+AC273*AC254+AD273*AD254+AE273*AE254+AF273*AF254+AG273*AG254+AH273*AH254+AI273*AI254+AJ273*AJ254+AK273*AK254+AL273*AL254+AM273*AM254+AN273*AN254+AO273*AO254+AP273*AP254+AQ273*AQ254+AR273*AR254+AS273*AS254+AT273*AT254+AU273*AU254+AV273*AV254+AW273*AW254+AX273*AX254+AY273*AY254+AZ273*AZ254+BA273*BA254+BB273*BB254+BC273*BC254+BD273*BD254+BE273*BE254+BF273*BF254+BG273*BG254+BH273*BH254+BI273*BI254+BJ273*BJ254+BK273*BK254+BL273*BL254+BM273*BM254+BN273*BN254+BO273*BO254+BP273*BP254+BQ273*BQ254+BR273*BR254+BS273*BS254+BT273*BT254+BU273*BU254+BV273*BV254+BW273*BW254+BX273*BX254+BY273*BY254+BZ273*BZ254+CA273*CA254+CB273*CB254+CC273*CC254+CD273*CD254+CE273*CE254+CF273*CF254+CG273*CG254+CH273*CH254+CI273*CI254+CJ273*CJ254+CK273*CK254+CL273*CL254+CM273*CM254+CN273*CN254+CO273*CO254+CP273*CP254+CQ273*CQ254+CR273*CR254+CS273*CS254</f>
        <v>0</v>
      </c>
      <c r="DD254" s="2504">
        <f>E274*E254+F274*F254+G274*G254+H274*H254+I274*I254+J274*J254+K274*K254+L274*L254+M274*M254+N274*N254+O274*O254+P274*P254+Q274*Q254+R274*R254+S274*S254+T274*T254+U274*U254+V274*V254+W274*W254+X274*X254+Y274*Y254+Z274*Z254+AA274*AA254+AB274*AB254+AC274*AC254+AD274*AD254+AE274*AE254+AF274*AF254+AG274*AG254+AH274*AH254+AI274*AI254+AJ274*AJ254+AK274*AK254+AL274*AL254+AM274*AM254+AN274*AN254+AO274*AO254+AP274*AP254+AQ274*AQ254+AR274*AR254+AS274*AS254+AT274*AT254+AU274*AU254+AV274*AV254+AW274*AW254+AX274*AX254+AY274*AY254+AZ274*AZ254+BA274*BA254+BB274*BB254+BC274*BC254+BD274*BD254+BE274*BE254+BF274*BF254+BG274*BG254+BH274*BH254+BI274*BI254+BJ274*BJ254+BK274*BK254+BL274*BL254+BM274*BM254+BN274*BN254+BO274*BO254+BP274*BP254+BQ274*BQ254+BR274*BR254+BS274*BS254+BT274*BT254+BU274*BU254+BV274*BV254+BW274*BW254+BX274*BX254+BY274*BY254+BZ274*BZ254+CA274*CA254+CB274*CB254+CC274*CC254+CD274*CD254+CE274*CE254+CF274*CF254+CG274*CG254+CH274*CH254+CI274*CI254+CJ274*CJ254+CK274*CK254+CL274*CL254+CM274*CM254+CN274*CN254+CO274*CO254+CP274*CP254+CQ274*CQ254+CR274*CR254+CS274*CS254</f>
        <v>0</v>
      </c>
      <c r="DE254" s="2504">
        <f>E275*E254+F275*F254+G275*G254+H275*H254+I275*I254+J275*J254+K275*K254+L275*L254+M275*M254+N275*N254+O275*O254+P275*P254+Q275*Q254+R275*R254+S275*S254+T275*T254+U275*U254+V275*V254+W275*W254+X275*X254+Y275*Y254+Z275*Z254+AA275*AA254+AB275*AB254+AC275*AC254+AD275*AD254+AE275*AE254+AF275*AF254+AG275*AG254+AH275*AH254+AI275*AI254+AJ275*AJ254+AK275*AK254+AL275*AL254+AM275*AM254+AN275*AN254+AO275*AO254+AP275*AP254+AQ275*AQ254+AR275*AR254+AS275*AS254+AT275*AT254+AU275*AU254+AV275*AV254+AW275*AW254+AX275*AX254+AY275*AY254+AZ275*AZ254+BA275*BA254+BB275*BB254+BC275*BC254+BD275*BD254+BE275*BE254+BF275*BF254+BG275*BG254+BH275*BH254+BI275*BI254+BJ275*BJ254+BK275*BK254+BL275*BL254+BM275*BM254+BN275*BN254+BO275*BO254+BP275*BP254+BQ275*BQ254+BR275*BR254+BS275*BS254+BT275*BT254+BU275*BU254+BV275*BV254+BW275*BW254+BX275*BX254+BY275*BY254+BZ275*BZ254+CA275*CA254+CB275*CB254+CC275*CC254+CD275*CD254+CE275*CE254+CF275*CF254+CG275*CG254+CH275*CH254+CI275*CI254+CJ275*CJ254+CK275*CK254+CL275*CL254+CM275*CM254+CN275*CN254+CO275*CO254+CP275*CP254+CQ275*CQ254+CR275*CR254+CS275*CS254</f>
        <v>0</v>
      </c>
      <c r="DF254" s="2504">
        <f>E276*E254+F276*F254+G276*G254+H276*H254+I276*I254+J276*J254+K276*K254+L276*L254+M276*M254+N276*N254+O276*O254+P276*P254+Q276*Q254+R276*R254+S276*S254+T276*T254+U276*U254+V276*V254+W276*W254+X276*X254+Y276*Y254+Z276*Z254+AA276*AA254+AB276*AB254+AC276*AC254+AD276*AD254+AE276*AE254+AF276*AF254+AG276*AG254+AH276*AH254+AI276*AI254+AJ276*AJ254+AK276*AK254+AL276*AL254+AM276*AM254+AN276*AN254+AO276*AO254+AP276*AP254+AQ276*AQ254+AR276*AR254+AS276*AS254+AT276*AT254+AU276*AU254+AV276*AV254+AW276*AW254+AX276*AX254+AY276*AY254+AZ276*AZ254+BA276*BA254+BB276*BB254+BC276*BC254+BD276*BD254+BE276*BE254+BF276*BF254+BG276*BG254+BH276*BH254+BI276*BI254+BJ276*BJ254+BK276*BK254+BL276*BL254+BM276*BM254+BN276*BN254+BO276*BO254+BP276*BP254+BQ276*BQ254+BR276*BR254+BS276*BS254+BT276*BT254+BU276*BU254+BV276*BV254+BW276*BW254+BX276*BX254+BY276*BY254+BZ276*BZ254+CA276*CA254+CB276*CB254+CC276*CC254+CD276*CD254+CE276*CE254+CF276*CF254+CG276*CG254+CH276*CH254+CI276*CI254+CJ276*CJ254+CK276*CK254+CL276*CL254+CM276*CM254+CN276*CN254+CO276*CO254+CP276*CP254+CQ276*CQ254+CR276*CR254+CS276*CS254</f>
        <v>0</v>
      </c>
    </row>
    <row r="255" spans="2:110" x14ac:dyDescent="0.25">
      <c r="B255" s="1540">
        <v>113</v>
      </c>
      <c r="C255" s="1541" t="s">
        <v>4976</v>
      </c>
      <c r="D255" s="1542" t="s">
        <v>3069</v>
      </c>
      <c r="E255" s="1543">
        <f>0</f>
        <v>0</v>
      </c>
      <c r="F255" s="1543">
        <f>0</f>
        <v>0</v>
      </c>
      <c r="G255" s="1543">
        <f>0</f>
        <v>0</v>
      </c>
      <c r="H255" s="1543">
        <f>0</f>
        <v>0</v>
      </c>
      <c r="I255" s="1543">
        <f>0</f>
        <v>0</v>
      </c>
      <c r="J255" s="1543">
        <f>0</f>
        <v>0</v>
      </c>
      <c r="K255" s="1543">
        <f>0</f>
        <v>0</v>
      </c>
      <c r="L255" s="1543">
        <f>0</f>
        <v>0</v>
      </c>
      <c r="M255" s="1543">
        <f>0</f>
        <v>0</v>
      </c>
      <c r="N255" s="1543">
        <f>0</f>
        <v>0</v>
      </c>
      <c r="O255" s="1543">
        <f>0</f>
        <v>0</v>
      </c>
      <c r="P255" s="1543">
        <f>0</f>
        <v>0</v>
      </c>
      <c r="Q255" s="1543">
        <f>0</f>
        <v>0</v>
      </c>
      <c r="R255" s="1543">
        <f>0</f>
        <v>0</v>
      </c>
      <c r="S255" s="1543">
        <f>0</f>
        <v>0</v>
      </c>
      <c r="T255" s="1543">
        <f>0</f>
        <v>0</v>
      </c>
      <c r="U255" s="1543">
        <f>0</f>
        <v>0</v>
      </c>
      <c r="V255" s="1543">
        <f>0</f>
        <v>0</v>
      </c>
      <c r="W255" s="1543">
        <f>0</f>
        <v>0</v>
      </c>
      <c r="X255" s="1543">
        <f>0</f>
        <v>0</v>
      </c>
      <c r="Y255" s="1543">
        <f>0</f>
        <v>0</v>
      </c>
      <c r="Z255" s="1543">
        <f>0</f>
        <v>0</v>
      </c>
      <c r="AA255" s="1543">
        <f>0</f>
        <v>0</v>
      </c>
      <c r="AB255" s="1543">
        <f>0</f>
        <v>0</v>
      </c>
      <c r="AC255" s="1543">
        <f>0</f>
        <v>0</v>
      </c>
      <c r="AD255" s="1543">
        <f>0</f>
        <v>0</v>
      </c>
      <c r="AE255" s="1543">
        <f>0</f>
        <v>0</v>
      </c>
      <c r="AF255" s="1543">
        <f>0</f>
        <v>0</v>
      </c>
      <c r="AG255" s="1543">
        <f>0</f>
        <v>0</v>
      </c>
      <c r="AH255" s="1543">
        <f>0</f>
        <v>0</v>
      </c>
      <c r="AI255" s="1543">
        <f>0</f>
        <v>0</v>
      </c>
      <c r="AJ255" s="1543">
        <f>0</f>
        <v>0</v>
      </c>
      <c r="AK255" s="1543">
        <f>0</f>
        <v>0</v>
      </c>
      <c r="AL255" s="1543">
        <f>0</f>
        <v>0</v>
      </c>
      <c r="AM255" s="1543">
        <f>0</f>
        <v>0</v>
      </c>
      <c r="AN255" s="1543">
        <f>0</f>
        <v>0</v>
      </c>
      <c r="AO255" s="1543">
        <f>0</f>
        <v>0</v>
      </c>
      <c r="AP255" s="1543">
        <f>0</f>
        <v>0</v>
      </c>
      <c r="AQ255" s="1543">
        <f>0</f>
        <v>0</v>
      </c>
      <c r="AR255" s="1543">
        <f>0</f>
        <v>0</v>
      </c>
      <c r="AS255" s="1543">
        <f>0</f>
        <v>0</v>
      </c>
      <c r="AT255" s="1543">
        <f>0</f>
        <v>0</v>
      </c>
      <c r="AU255" s="1543">
        <f>0</f>
        <v>0</v>
      </c>
      <c r="AV255" s="1543">
        <f>1</f>
        <v>1</v>
      </c>
      <c r="AW255" s="1543">
        <f>0</f>
        <v>0</v>
      </c>
      <c r="AX255" s="1543">
        <f>0</f>
        <v>0</v>
      </c>
      <c r="AY255" s="1543">
        <f>0</f>
        <v>0</v>
      </c>
      <c r="AZ255" s="1543">
        <f>0</f>
        <v>0</v>
      </c>
      <c r="BA255" s="1543">
        <f>0</f>
        <v>0</v>
      </c>
      <c r="BB255" s="1543">
        <f>0</f>
        <v>0</v>
      </c>
      <c r="BC255" s="1543">
        <f>0</f>
        <v>0</v>
      </c>
      <c r="BD255" s="1543">
        <f>0</f>
        <v>0</v>
      </c>
      <c r="BE255" s="1543">
        <f>0</f>
        <v>0</v>
      </c>
      <c r="BF255" s="1543">
        <f>0</f>
        <v>0</v>
      </c>
      <c r="BG255" s="1543">
        <f>0</f>
        <v>0</v>
      </c>
      <c r="BH255" s="1543">
        <f>0</f>
        <v>0</v>
      </c>
      <c r="BI255" s="1543">
        <f>0</f>
        <v>0</v>
      </c>
      <c r="BJ255" s="1543">
        <f>0</f>
        <v>0</v>
      </c>
      <c r="BK255" s="1543">
        <f>0</f>
        <v>0</v>
      </c>
      <c r="BL255" s="1543">
        <f>0</f>
        <v>0</v>
      </c>
      <c r="BM255" s="1543">
        <f>0</f>
        <v>0</v>
      </c>
      <c r="BN255" s="1543">
        <f>0</f>
        <v>0</v>
      </c>
      <c r="BO255" s="1543">
        <f>0</f>
        <v>0</v>
      </c>
      <c r="BP255" s="1543">
        <f>0</f>
        <v>0</v>
      </c>
      <c r="BQ255" s="1543">
        <f>0</f>
        <v>0</v>
      </c>
      <c r="BR255" s="1543">
        <f>0</f>
        <v>0</v>
      </c>
      <c r="BS255" s="1543">
        <f>0</f>
        <v>0</v>
      </c>
      <c r="BT255" s="1543">
        <f>0</f>
        <v>0</v>
      </c>
      <c r="BU255" s="1543">
        <f>0</f>
        <v>0</v>
      </c>
      <c r="BV255" s="1543">
        <f>0</f>
        <v>0</v>
      </c>
      <c r="BW255" s="1543">
        <f>0</f>
        <v>0</v>
      </c>
      <c r="BX255" s="1543">
        <f>0</f>
        <v>0</v>
      </c>
      <c r="BY255" s="1543">
        <f>0</f>
        <v>0</v>
      </c>
      <c r="BZ255" s="1543">
        <f>0</f>
        <v>0</v>
      </c>
      <c r="CA255" s="1543">
        <f>0</f>
        <v>0</v>
      </c>
      <c r="CB255" s="1543">
        <f>0</f>
        <v>0</v>
      </c>
      <c r="CC255" s="1543">
        <f>0</f>
        <v>0</v>
      </c>
      <c r="CD255" s="1543">
        <f>0</f>
        <v>0</v>
      </c>
      <c r="CE255" s="1543">
        <f>0</f>
        <v>0</v>
      </c>
      <c r="CF255" s="1543">
        <f>0</f>
        <v>0</v>
      </c>
      <c r="CG255" s="1543">
        <f>0</f>
        <v>0</v>
      </c>
      <c r="CH255" s="1543">
        <f>0</f>
        <v>0</v>
      </c>
      <c r="CI255" s="1543">
        <f>0</f>
        <v>0</v>
      </c>
      <c r="CJ255" s="1543">
        <f>0</f>
        <v>0</v>
      </c>
      <c r="CK255" s="1543">
        <f>0</f>
        <v>0</v>
      </c>
      <c r="CL255" s="1544">
        <f>-Δ_atm</f>
        <v>-1</v>
      </c>
      <c r="CM255" s="1543">
        <f>0</f>
        <v>0</v>
      </c>
      <c r="CN255" s="1543">
        <f>0</f>
        <v>0</v>
      </c>
      <c r="CO255" s="1543">
        <f>0</f>
        <v>0</v>
      </c>
      <c r="CP255" s="1543">
        <f>0</f>
        <v>0</v>
      </c>
      <c r="CQ255" s="1543">
        <f>0</f>
        <v>0</v>
      </c>
      <c r="CR255" s="1543">
        <f>0</f>
        <v>0</v>
      </c>
      <c r="CS255" s="1543">
        <f>0</f>
        <v>0</v>
      </c>
      <c r="CT255" s="2499">
        <f>k_transfer_GCO2_sur</f>
        <v>85.864791591722664</v>
      </c>
      <c r="CV255" s="2502">
        <f>E266*E255+F266*F255+G266*G255+H266*H255+I266*I255+J266*J255+K266*K255+L266*L255+M266*M255+N266*N255+O266*O255+P266*P255+Q266*Q255+R266*R255+S266*S255+T266*T255+U266*U255+V266*V255+W266*W255+X266*X255+Y266*Y255+Z266*Z255+AA266*AA255+AB266*AB255+AC266*AC255+AD266*AD255+AE266*AE255+AF266*AF255+AG266*AG255+AH266*AH255+AI266*AI255+AJ266*AJ255+AK266*AK255+AL266*AL255+AM266*AM255+AN266*AN255+AO266*AO255+AP266*AP255+AQ266*AQ255+AR266*AR255+AS266*AS255+AT266*AT255+AU266*AU255+AV266*AV255+AW266*AW255+AX266*AX255+AY266*AY255+AZ266*AZ255+BA266*BA255+BB266*BB255+BC266*BC255+BD266*BD255+BE266*BE255+BF266*BF255+BG266*BG255+BH266*BH255+BI266*BI255+BJ266*BJ255+BK266*BK255+BL266*BL255+BM266*BM255+BN266*BN255+BO266*BO255+BP266*BP255+BQ266*BQ255+BR266*BR255+BS266*BS255+BT266*BT255+BU266*BU255+BV266*BV255+BW266*BW255+BX266*BX255+BY266*BY255+BZ266*BZ255+CA266*CA255+CB266*CB255+CC266*CC255+CD266*CD255+CE266*CE255+CF266*CF255+CG266*CG255+CH266*CH255+CI266*CI255+CJ266*CJ255+CK266*CK255+CL266*CL255+CM266*CM255+CN266*CN255+CO266*CO255+CP266*CP255+CQ266*CQ255+CR266*CR255+CS266*CS255</f>
        <v>0</v>
      </c>
      <c r="CW255" s="2502">
        <f>E267*E255+F267*F255+G267*G255+H267*H255+I267*I255+J267*J255+K267*K255+L267*L255+M267*M255+N267*N255+O267*O255+P267*P255+Q267*Q255+R267*R255+S267*S255+T267*T255+U267*U255+V267*V255+W267*W255+X267*X255+Y267*Y255+Z267*Z255+AA267*AA255+AB267*AB255+AC267*AC255+AD267*AD255+AE267*AE255+AF267*AF255+AG267*AG255+AH267*AH255+AI267*AI255+AJ267*AJ255+AK267*AK255+AL267*AL255+AM267*AM255+AN267*AN255+AO267*AO255+AP267*AP255+AQ267*AQ255+AR267*AR255+AS267*AS255+AT267*AT255+AU267*AU255+AV267*AV255+AW267*AW255+AX267*AX255+AY267*AY255+AZ267*AZ255+BA267*BA255+BB267*BB255+BC267*BC255+BD267*BD255+BE267*BE255+BF267*BF255+BG267*BG255+BH267*BH255+BI267*BI255+BJ267*BJ255+BK267*BK255+BL267*BL255+BM267*BM255+BN267*BN255+BO267*BO255+BP267*BP255+BQ267*BQ255+BR267*BR255+BS267*BS255+BT267*BT255+BU267*BU255+BV267*BV255+BW267*BW255+BX267*BX255+BY267*BY255+BZ267*BZ255+CA267*CA255+CB267*CB255+CC267*CC255+CD267*CD255+CE267*CE255+CF267*CF255+CG267*CG255+CH267*CH255+CI267*CI255+CJ267*CJ255+CK267*CK255+CL267*CL255+CM267*CM255+CN267*CN255+CO267*CO255+CP267*CP255+CQ267*CQ255+CR267*CR255+CS267*CS255</f>
        <v>0</v>
      </c>
      <c r="CX255" s="2503">
        <f>E268*E255+F268*F255+G268*G255+H268*H255+I268*I255+J268*J255+K268*K255+L268*L255+M268*M255+N268*N255+O268*O255+P268*P255+Q268*Q255+R268*R255+S268*S255+T268*T255+U268*U255+V268*V255+W268*W255+X268*X255+Y268*Y255+Z268*Z255+AA268*AA255+AB268*AB255+AC268*AC255+AD268*AD255+AE268*AE255+AF268*AF255+AG268*AG255+AH268*AH255+AI268*AI255+AJ268*AJ255+AK268*AK255+AL268*AL255+AM268*AM255+AN268*AN255+AO268*AO255+AP268*AP255+AQ268*AQ255+AR268*AR255+AS268*AS255+AT268*AT255+AU268*AU255+AV268*AV255+AW268*AW255+AX268*AX255+AY268*AY255+AZ268*AZ255+BA268*BA255+BB268*BB255+BC268*BC255+BD268*BD255+BE268*BE255+BF268*BF255+BG268*BG255+BH268*BH255+BI268*BI255+BJ268*BJ255+BK268*BK255+BL268*BL255+BM268*BM255+BN268*BN255+BO268*BO255+BP268*BP255+BQ268*BQ255+BR268*BR255+BS268*BS255+BT268*BT255+BU268*BU255+BV268*BV255+BW268*BW255+BX268*BX255+BY268*BY255+BZ268*BZ255+CA268*CA255+CB268*CB255+CC268*CC255+CD268*CD255+CE268*CE255+CF268*CF255+CG268*CG255+CH268*CH255+CI268*CI255+CJ268*CJ255+CK268*CK255+CL268*CL255+CM268*CM255+CN268*CN255+CO268*CO255+CP268*CP255+CQ268*CQ255+CR268*CR255+CS268*CS255</f>
        <v>0</v>
      </c>
      <c r="CY255" s="2504">
        <f>E269*E255+F269*F255+G269*G255+H269*H255+I269*I255+J269*J255+K269*K255+L269*L255+M269*M255+N269*N255+O269*O255+P269*P255+Q269*Q255+R269*R255+S269*S255+T269*T255+U269*U255+V269*V255+W269*W255+X269*X255+Y269*Y255+Z269*Z255+AA269*AA255+AB269*AB255+AC269*AC255+AD269*AD255+AE269*AE255+AF269*AF255+AG269*AG255+AH269*AH255+AI269*AI255+AJ269*AJ255+AK269*AK255+AL269*AL255+AM269*AM255+AN269*AN255+AO269*AO255+AP269*AP255+AQ269*AQ255+AR269*AR255+AS269*AS255+AT269*AT255+AU269*AU255+AV269*AV255+AW269*AW255+AX269*AX255+AY269*AY255+AZ269*AZ255+BA269*BA255+BB269*BB255+BC269*BC255+BD269*BD255+BE269*BE255+BF269*BF255+BG269*BG255+BH269*BH255+BI269*BI255+BJ269*BJ255+BK269*BK255+BL269*BL255+BM269*BM255+BN269*BN255+BO269*BO255+BP269*BP255+BQ269*BQ255+BR269*BR255+BS269*BS255+BT269*BT255+BU269*BU255+BV269*BV255+BW269*BW255+BX269*BX255+BY269*BY255+BZ269*BZ255+CA269*CA255+CB269*CB255+CC269*CC255+CD269*CD255+CE269*CE255+CF269*CF255+CG269*CG255+CH269*CH255+CI269*CI255+CJ269*CJ255+CK269*CK255+CL269*CL255+CM269*CM255+CN269*CN255+CO269*CO255+CP269*CP255+CQ269*CQ255+CR269*CR255+CS269*CS255</f>
        <v>0</v>
      </c>
      <c r="CZ255" s="2504">
        <f>E270*E255+F270*F255+G270*G255+H270*H255+I270*I255+J270*J255+K270*K255+L270*L255+M270*M255+N270*N255+O270*O255+P270*P255+Q270*Q255+R270*R255+S270*S255+T270*T255+U270*U255+V270*V255+W270*W255+X270*X255+Y270*Y255+Z270*Z255+AA270*AA255+AB270*AB255+AC270*AC255+AD270*AD255+AE270*AE255+AF270*AF255+AG270*AG255+AH270*AH255+AI270*AI255+AJ270*AJ255+AK270*AK255+AL270*AL255+AM270*AM255+AN270*AN255+AO270*AO255+AP270*AP255+AQ270*AQ255+AR270*AR255+AS270*AS255+AT270*AT255+AU270*AU255+AV270*AV255+AW270*AW255+AX270*AX255+AY270*AY255+AZ270*AZ255+BA270*BA255+BB270*BB255+BC270*BC255+BD270*BD255+BE270*BE255+BF270*BF255+BG270*BG255+BH270*BH255+BI270*BI255+BJ270*BJ255+BK270*BK255+BL270*BL255+BM270*BM255+BN270*BN255+BO270*BO255+BP270*BP255+BQ270*BQ255+BR270*BR255+BS270*BS255+BT270*BT255+BU270*BU255+BV270*BV255+BW270*BW255+BX270*BX255+BY270*BY255+BZ270*BZ255+CA270*CA255+CB270*CB255+CC270*CC255+CD270*CD255+CE270*CE255+CF270*CF255+CG270*CG255+CH270*CH255+CI270*CI255+CJ270*CJ255+CK270*CK255+CL270*CL255+CM270*CM255+CN270*CN255+CO270*CO255+CP270*CP255+CQ270*CQ255+CR270*CR255+CS270*CS255</f>
        <v>0</v>
      </c>
      <c r="DA255" s="2504">
        <f>E271*E255+F271*F255+G271*G255+H271*H255+I271*I255+J271*J255+K271*K255+L271*L255+M271*M255+N271*N255+O271*O255+P271*P255+Q271*Q255+R271*R255+S271*S255+T271*T255+U271*U255+V271*V255+W271*W255+X271*X255+Y271*Y255+Z271*Z255+AA271*AA255+AB271*AB255+AC271*AC255+AD271*AD255+AE271*AE255+AF271*AF255+AG271*AG255+AH271*AH255+AI271*AI255+AJ271*AJ255+AK271*AK255+AL271*AL255+AM271*AM255+AN271*AN255+AO271*AO255+AP271*AP255+AQ271*AQ255+AR271*AR255+AS271*AS255+AT271*AT255+AU271*AU255+AV271*AV255+AW271*AW255+AX271*AX255+AY271*AY255+AZ271*AZ255+BA271*BA255+BB271*BB255+BC271*BC255+BD271*BD255+BE271*BE255+BF271*BF255+BG271*BG255+BH271*BH255+BI271*BI255+BJ271*BJ255+BK271*BK255+BL271*BL255+BM271*BM255+BN271*BN255+BO271*BO255+BP271*BP255+BQ271*BQ255+BR271*BR255+BS271*BS255+BT271*BT255+BU271*BU255+BV271*BV255+BW271*BW255+BX271*BX255+BY271*BY255+BZ271*BZ255+CA271*CA255+CB271*CB255+CC271*CC255+CD271*CD255+CE271*CE255+CF271*CF255+CG271*CG255+CH271*CH255+CI271*CI255+CJ271*CJ255+CK271*CK255+CL271*CL255+CM271*CM255+CN271*CN255+CO271*CO255+CP271*CP255+CQ271*CQ255+CR271*CR255+CS271*CS255</f>
        <v>0</v>
      </c>
      <c r="DB255" s="2504">
        <f>E272*E255+F272*F255+G272*G255+H272*H255+I272*I255+J272*J255+K272*K255+L272*L255+M272*M255+N272*N255+O272*O255+P272*P255+Q272*Q255+R272*R255+S272*S255+T272*T255+U272*U255+V272*V255+W272*W255+X272*X255+Y272*Y255+Z272*Z255+AA272*AA255+AB272*AB255+AC272*AC255+AD272*AD255+AE272*AE255+AF272*AF255+AG272*AG255+AH272*AH255+AI272*AI255+AJ272*AJ255+AK272*AK255+AL272*AL255+AM272*AM255+AN272*AN255+AO272*AO255+AP272*AP255+AQ272*AQ255+AR272*AR255+AS272*AS255+AT272*AT255+AU272*AU255+AV272*AV255+AW272*AW255+AX272*AX255+AY272*AY255+AZ272*AZ255+BA272*BA255+BB272*BB255+BC272*BC255+BD272*BD255+BE272*BE255+BF272*BF255+BG272*BG255+BH272*BH255+BI272*BI255+BJ272*BJ255+BK272*BK255+BL272*BL255+BM272*BM255+BN272*BN255+BO272*BO255+BP272*BP255+BQ272*BQ255+BR272*BR255+BS272*BS255+BT272*BT255+BU272*BU255+BV272*BV255+BW272*BW255+BX272*BX255+BY272*BY255+BZ272*BZ255+CA272*CA255+CB272*CB255+CC272*CC255+CD272*CD255+CE272*CE255+CF272*CF255+CG272*CG255+CH272*CH255+CI272*CI255+CJ272*CJ255+CK272*CK255+CL272*CL255+CM272*CM255+CN272*CN255+CO272*CO255+CP272*CP255+CQ272*CQ255+CR272*CR255+CS272*CS255</f>
        <v>0</v>
      </c>
      <c r="DC255" s="2504">
        <f>E273*E255+F273*F255+G273*G255+H273*H255+I273*I255+J273*J255+K273*K255+L273*L255+M273*M255+N273*N255+O273*O255+P273*P255+Q273*Q255+R273*R255+S273*S255+T273*T255+U273*U255+V273*V255+W273*W255+X273*X255+Y273*Y255+Z273*Z255+AA273*AA255+AB273*AB255+AC273*AC255+AD273*AD255+AE273*AE255+AF273*AF255+AG273*AG255+AH273*AH255+AI273*AI255+AJ273*AJ255+AK273*AK255+AL273*AL255+AM273*AM255+AN273*AN255+AO273*AO255+AP273*AP255+AQ273*AQ255+AR273*AR255+AS273*AS255+AT273*AT255+AU273*AU255+AV273*AV255+AW273*AW255+AX273*AX255+AY273*AY255+AZ273*AZ255+BA273*BA255+BB273*BB255+BC273*BC255+BD273*BD255+BE273*BE255+BF273*BF255+BG273*BG255+BH273*BH255+BI273*BI255+BJ273*BJ255+BK273*BK255+BL273*BL255+BM273*BM255+BN273*BN255+BO273*BO255+BP273*BP255+BQ273*BQ255+BR273*BR255+BS273*BS255+BT273*BT255+BU273*BU255+BV273*BV255+BW273*BW255+BX273*BX255+BY273*BY255+BZ273*BZ255+CA273*CA255+CB273*CB255+CC273*CC255+CD273*CD255+CE273*CE255+CF273*CF255+CG273*CG255+CH273*CH255+CI273*CI255+CJ273*CJ255+CK273*CK255+CL273*CL255+CM273*CM255+CN273*CN255+CO273*CO255+CP273*CP255+CQ273*CQ255+CR273*CR255+CS273*CS255</f>
        <v>0</v>
      </c>
      <c r="DD255" s="2504">
        <f>E274*E255+F274*F255+G274*G255+H274*H255+I274*I255+J274*J255+K274*K255+L274*L255+M274*M255+N274*N255+O274*O255+P274*P255+Q274*Q255+R274*R255+S274*S255+T274*T255+U274*U255+V274*V255+W274*W255+X274*X255+Y274*Y255+Z274*Z255+AA274*AA255+AB274*AB255+AC274*AC255+AD274*AD255+AE274*AE255+AF274*AF255+AG274*AG255+AH274*AH255+AI274*AI255+AJ274*AJ255+AK274*AK255+AL274*AL255+AM274*AM255+AN274*AN255+AO274*AO255+AP274*AP255+AQ274*AQ255+AR274*AR255+AS274*AS255+AT274*AT255+AU274*AU255+AV274*AV255+AW274*AW255+AX274*AX255+AY274*AY255+AZ274*AZ255+BA274*BA255+BB274*BB255+BC274*BC255+BD274*BD255+BE274*BE255+BF274*BF255+BG274*BG255+BH274*BH255+BI274*BI255+BJ274*BJ255+BK274*BK255+BL274*BL255+BM274*BM255+BN274*BN255+BO274*BO255+BP274*BP255+BQ274*BQ255+BR274*BR255+BS274*BS255+BT274*BT255+BU274*BU255+BV274*BV255+BW274*BW255+BX274*BX255+BY274*BY255+BZ274*BZ255+CA274*CA255+CB274*CB255+CC274*CC255+CD274*CD255+CE274*CE255+CF274*CF255+CG274*CG255+CH274*CH255+CI274*CI255+CJ274*CJ255+CK274*CK255+CL274*CL255+CM274*CM255+CN274*CN255+CO274*CO255+CP274*CP255+CQ274*CQ255+CR274*CR255+CS274*CS255</f>
        <v>0</v>
      </c>
      <c r="DE255" s="2504">
        <f>E275*E255+F275*F255+G275*G255+H275*H255+I275*I255+J275*J255+K275*K255+L275*L255+M275*M255+N275*N255+O275*O255+P275*P255+Q275*Q255+R275*R255+S275*S255+T275*T255+U275*U255+V275*V255+W275*W255+X275*X255+Y275*Y255+Z275*Z255+AA275*AA255+AB275*AB255+AC275*AC255+AD275*AD255+AE275*AE255+AF275*AF255+AG275*AG255+AH275*AH255+AI275*AI255+AJ275*AJ255+AK275*AK255+AL275*AL255+AM275*AM255+AN275*AN255+AO275*AO255+AP275*AP255+AQ275*AQ255+AR275*AR255+AS275*AS255+AT275*AT255+AU275*AU255+AV275*AV255+AW275*AW255+AX275*AX255+AY275*AY255+AZ275*AZ255+BA275*BA255+BB275*BB255+BC275*BC255+BD275*BD255+BE275*BE255+BF275*BF255+BG275*BG255+BH275*BH255+BI275*BI255+BJ275*BJ255+BK275*BK255+BL275*BL255+BM275*BM255+BN275*BN255+BO275*BO255+BP275*BP255+BQ275*BQ255+BR275*BR255+BS275*BS255+BT275*BT255+BU275*BU255+BV275*BV255+BW275*BW255+BX275*BX255+BY275*BY255+BZ275*BZ255+CA275*CA255+CB275*CB255+CC275*CC255+CD275*CD255+CE275*CE255+CF275*CF255+CG275*CG255+CH275*CH255+CI275*CI255+CJ275*CJ255+CK275*CK255+CL275*CL255+CM275*CM255+CN275*CN255+CO275*CO255+CP275*CP255+CQ275*CQ255+CR275*CR255+CS275*CS255</f>
        <v>0</v>
      </c>
      <c r="DF255" s="2504">
        <f>E276*E255+F276*F255+G276*G255+H276*H255+I276*I255+J276*J255+K276*K255+L276*L255+M276*M255+N276*N255+O276*O255+P276*P255+Q276*Q255+R276*R255+S276*S255+T276*T255+U276*U255+V276*V255+W276*W255+X276*X255+Y276*Y255+Z276*Z255+AA276*AA255+AB276*AB255+AC276*AC255+AD276*AD255+AE276*AE255+AF276*AF255+AG276*AG255+AH276*AH255+AI276*AI255+AJ276*AJ255+AK276*AK255+AL276*AL255+AM276*AM255+AN276*AN255+AO276*AO255+AP276*AP255+AQ276*AQ255+AR276*AR255+AS276*AS255+AT276*AT255+AU276*AU255+AV276*AV255+AW276*AW255+AX276*AX255+AY276*AY255+AZ276*AZ255+BA276*BA255+BB276*BB255+BC276*BC255+BD276*BD255+BE276*BE255+BF276*BF255+BG276*BG255+BH276*BH255+BI276*BI255+BJ276*BJ255+BK276*BK255+BL276*BL255+BM276*BM255+BN276*BN255+BO276*BO255+BP276*BP255+BQ276*BQ255+BR276*BR255+BS276*BS255+BT276*BT255+BU276*BU255+BV276*BV255+BW276*BW255+BX276*BX255+BY276*BY255+BZ276*BZ255+CA276*CA255+CB276*CB255+CC276*CC255+CD276*CD255+CE276*CE255+CF276*CF255+CG276*CG255+CH276*CH255+CI276*CI255+CJ276*CJ255+CK276*CK255+CL276*CL255+CM276*CM255+CN276*CN255+CO276*CO255+CP276*CP255+CQ276*CQ255+CR276*CR255+CS276*CS255</f>
        <v>0</v>
      </c>
    </row>
    <row r="256" spans="2:110" x14ac:dyDescent="0.25">
      <c r="B256" s="1536">
        <v>114</v>
      </c>
      <c r="C256" s="578" t="s">
        <v>4977</v>
      </c>
      <c r="D256" s="550" t="s">
        <v>3072</v>
      </c>
      <c r="E256" s="505">
        <f>0</f>
        <v>0</v>
      </c>
      <c r="F256" s="505">
        <f>0</f>
        <v>0</v>
      </c>
      <c r="G256" s="505">
        <f>0</f>
        <v>0</v>
      </c>
      <c r="H256" s="505">
        <f>0</f>
        <v>0</v>
      </c>
      <c r="I256" s="505">
        <f>0</f>
        <v>0</v>
      </c>
      <c r="J256" s="505">
        <f>0</f>
        <v>0</v>
      </c>
      <c r="K256" s="505">
        <f>0</f>
        <v>0</v>
      </c>
      <c r="L256" s="505">
        <f>0</f>
        <v>0</v>
      </c>
      <c r="M256" s="505">
        <f>0</f>
        <v>0</v>
      </c>
      <c r="N256" s="505">
        <f>0</f>
        <v>0</v>
      </c>
      <c r="O256" s="505">
        <f>0</f>
        <v>0</v>
      </c>
      <c r="P256" s="505">
        <f>0</f>
        <v>0</v>
      </c>
      <c r="Q256" s="505">
        <f>0</f>
        <v>0</v>
      </c>
      <c r="R256" s="505">
        <f>0</f>
        <v>0</v>
      </c>
      <c r="S256" s="505">
        <f>0</f>
        <v>0</v>
      </c>
      <c r="T256" s="505">
        <f>0</f>
        <v>0</v>
      </c>
      <c r="U256" s="505">
        <f>0</f>
        <v>0</v>
      </c>
      <c r="V256" s="505">
        <f>0</f>
        <v>0</v>
      </c>
      <c r="W256" s="505">
        <f>0</f>
        <v>0</v>
      </c>
      <c r="X256" s="505">
        <f>0</f>
        <v>0</v>
      </c>
      <c r="Y256" s="505">
        <f>0</f>
        <v>0</v>
      </c>
      <c r="Z256" s="505">
        <f>0</f>
        <v>0</v>
      </c>
      <c r="AA256" s="505">
        <f>0</f>
        <v>0</v>
      </c>
      <c r="AB256" s="505">
        <f>0</f>
        <v>0</v>
      </c>
      <c r="AC256" s="505">
        <f>0</f>
        <v>0</v>
      </c>
      <c r="AD256" s="505">
        <f>0</f>
        <v>0</v>
      </c>
      <c r="AE256" s="505">
        <f>0</f>
        <v>0</v>
      </c>
      <c r="AF256" s="505">
        <f>0</f>
        <v>0</v>
      </c>
      <c r="AG256" s="505">
        <f>0</f>
        <v>0</v>
      </c>
      <c r="AH256" s="505">
        <f>0</f>
        <v>0</v>
      </c>
      <c r="AI256" s="505">
        <f>0</f>
        <v>0</v>
      </c>
      <c r="AJ256" s="505">
        <f>0</f>
        <v>0</v>
      </c>
      <c r="AK256" s="505">
        <f>0</f>
        <v>0</v>
      </c>
      <c r="AL256" s="505">
        <f>0</f>
        <v>0</v>
      </c>
      <c r="AM256" s="505">
        <f>0</f>
        <v>0</v>
      </c>
      <c r="AN256" s="505">
        <f>0</f>
        <v>0</v>
      </c>
      <c r="AO256" s="505">
        <f>0</f>
        <v>0</v>
      </c>
      <c r="AP256" s="505">
        <f>0</f>
        <v>0</v>
      </c>
      <c r="AQ256" s="505">
        <f>0</f>
        <v>0</v>
      </c>
      <c r="AR256" s="505">
        <f>0</f>
        <v>0</v>
      </c>
      <c r="AS256" s="505">
        <f>0</f>
        <v>0</v>
      </c>
      <c r="AT256" s="505">
        <f>1</f>
        <v>1</v>
      </c>
      <c r="AU256" s="505">
        <f>0</f>
        <v>0</v>
      </c>
      <c r="AV256" s="505">
        <f>0</f>
        <v>0</v>
      </c>
      <c r="AW256" s="505">
        <f>0</f>
        <v>0</v>
      </c>
      <c r="AX256" s="505">
        <f>0</f>
        <v>0</v>
      </c>
      <c r="AY256" s="505">
        <f>0</f>
        <v>0</v>
      </c>
      <c r="AZ256" s="505">
        <f>0</f>
        <v>0</v>
      </c>
      <c r="BA256" s="505">
        <f>0</f>
        <v>0</v>
      </c>
      <c r="BB256" s="505">
        <f>0</f>
        <v>0</v>
      </c>
      <c r="BC256" s="505">
        <f>0</f>
        <v>0</v>
      </c>
      <c r="BD256" s="505">
        <f>0</f>
        <v>0</v>
      </c>
      <c r="BE256" s="505">
        <f>0</f>
        <v>0</v>
      </c>
      <c r="BF256" s="505">
        <f>0</f>
        <v>0</v>
      </c>
      <c r="BG256" s="505">
        <f>0</f>
        <v>0</v>
      </c>
      <c r="BH256" s="505">
        <f>0</f>
        <v>0</v>
      </c>
      <c r="BI256" s="505">
        <f>0</f>
        <v>0</v>
      </c>
      <c r="BJ256" s="505">
        <f>0</f>
        <v>0</v>
      </c>
      <c r="BK256" s="505">
        <f>0</f>
        <v>0</v>
      </c>
      <c r="BL256" s="505">
        <f>0</f>
        <v>0</v>
      </c>
      <c r="BM256" s="505">
        <f>0</f>
        <v>0</v>
      </c>
      <c r="BN256" s="505">
        <f>0</f>
        <v>0</v>
      </c>
      <c r="BO256" s="505">
        <f>0</f>
        <v>0</v>
      </c>
      <c r="BP256" s="505">
        <f>0</f>
        <v>0</v>
      </c>
      <c r="BQ256" s="505">
        <f>0</f>
        <v>0</v>
      </c>
      <c r="BR256" s="505">
        <f>0</f>
        <v>0</v>
      </c>
      <c r="BS256" s="505">
        <f>0</f>
        <v>0</v>
      </c>
      <c r="BT256" s="624">
        <f>0</f>
        <v>0</v>
      </c>
      <c r="BU256" s="505">
        <f>0</f>
        <v>0</v>
      </c>
      <c r="BV256" s="505">
        <f>0</f>
        <v>0</v>
      </c>
      <c r="BW256" s="2365">
        <f>0</f>
        <v>0</v>
      </c>
      <c r="BX256" s="2365">
        <f>0</f>
        <v>0</v>
      </c>
      <c r="BY256" s="2365">
        <f>0</f>
        <v>0</v>
      </c>
      <c r="BZ256" s="2365">
        <f>0</f>
        <v>0</v>
      </c>
      <c r="CA256" s="505">
        <f>0</f>
        <v>0</v>
      </c>
      <c r="CB256" s="624">
        <f>0</f>
        <v>0</v>
      </c>
      <c r="CC256" s="505">
        <f>0</f>
        <v>0</v>
      </c>
      <c r="CD256" s="505">
        <f>0</f>
        <v>0</v>
      </c>
      <c r="CE256" s="505">
        <f>0</f>
        <v>0</v>
      </c>
      <c r="CF256" s="505">
        <f>0</f>
        <v>0</v>
      </c>
      <c r="CG256" s="505">
        <f>0</f>
        <v>0</v>
      </c>
      <c r="CH256" s="505">
        <f>0</f>
        <v>0</v>
      </c>
      <c r="CI256" s="505">
        <f>0</f>
        <v>0</v>
      </c>
      <c r="CJ256" s="505">
        <f>0</f>
        <v>0</v>
      </c>
      <c r="CK256" s="505">
        <f>0</f>
        <v>0</v>
      </c>
      <c r="CL256" s="505">
        <f>0</f>
        <v>0</v>
      </c>
      <c r="CM256" s="548">
        <f>-Δ_atm</f>
        <v>-1</v>
      </c>
      <c r="CN256" s="505">
        <f>0</f>
        <v>0</v>
      </c>
      <c r="CO256" s="505">
        <f>0</f>
        <v>0</v>
      </c>
      <c r="CP256" s="505">
        <f>0</f>
        <v>0</v>
      </c>
      <c r="CQ256" s="505">
        <f>0</f>
        <v>0</v>
      </c>
      <c r="CR256" s="505">
        <f>0</f>
        <v>0</v>
      </c>
      <c r="CS256" s="505">
        <f>0</f>
        <v>0</v>
      </c>
      <c r="CT256" s="2487">
        <f>k_LaGCH4_sur*(S_GCH4_sur_sat-S_CH4)</f>
        <v>-2.5329999999999998E-2</v>
      </c>
      <c r="CV256" s="2502">
        <f>E266*E256+F266*F256+G266*G256+H266*H256+I266*I256+J266*J256+K266*K256+L266*L256+M266*M256+N266*N256+O266*O256+P266*P256+Q266*Q256+R266*R256+S266*S256+T266*T256+U266*U256+V266*V256+W266*W256+X266*X256+Y266*Y256+Z266*Z256+AA266*AA256+AB266*AB256+AC266*AC256+AD266*AD256+AE266*AE256+AF266*AF256+AG266*AG256+AH266*AH256+AI266*AI256+AJ266*AJ256+AK266*AK256+AL266*AL256+AM266*AM256+AN266*AN256+AO266*AO256+AP266*AP256+AQ266*AQ256+AR266*AR256+AS266*AS256+AT266*AT256+AU266*AU256+AV266*AV256+AW266*AW256+AX266*AX256+AY266*AY256+AZ266*AZ256+BA266*BA256+BB266*BB256+BC266*BC256+BD266*BD256+BE266*BE256+BF266*BF256+BG266*BG256+BH266*BH256+BI266*BI256+BJ266*BJ256+BK266*BK256+BL266*BL256+BM266*BM256+BN266*BN256+BO266*BO256+BP266*BP256+BQ266*BQ256+BR266*BR256+BS266*BS256+BT266*BT256+BU266*BU256+BV266*BV256+BW266*BW256+BX266*BX256+BY266*BY256+BZ266*BZ256+CA266*CA256+CB266*CB256+CC266*CC256+CD266*CD256+CE266*CE256+CF266*CF256+CG266*CG256+CH266*CH256+CI266*CI256+CJ266*CJ256+CK266*CK256+CL266*CL256+CM266*CM256+CN266*CN256+CO266*CO256+CP266*CP256+CQ266*CQ256+CR266*CR256+CS266*CS256</f>
        <v>0</v>
      </c>
      <c r="CW256" s="2502">
        <f>E267*E256+F267*F256+G267*G256+H267*H256+I267*I256+J267*J256+K267*K256+L267*L256+M267*M256+N267*N256+O267*O256+P267*P256+Q267*Q256+R267*R256+S267*S256+T267*T256+U267*U256+V267*V256+W267*W256+X267*X256+Y267*Y256+Z267*Z256+AA267*AA256+AB267*AB256+AC267*AC256+AD267*AD256+AE267*AE256+AF267*AF256+AG267*AG256+AH267*AH256+AI267*AI256+AJ267*AJ256+AK267*AK256+AL267*AL256+AM267*AM256+AN267*AN256+AO267*AO256+AP267*AP256+AQ267*AQ256+AR267*AR256+AS267*AS256+AT267*AT256+AU267*AU256+AV267*AV256+AW267*AW256+AX267*AX256+AY267*AY256+AZ267*AZ256+BA267*BA256+BB267*BB256+BC267*BC256+BD267*BD256+BE267*BE256+BF267*BF256+BG267*BG256+BH267*BH256+BI267*BI256+BJ267*BJ256+BK267*BK256+BL267*BL256+BM267*BM256+BN267*BN256+BO267*BO256+BP267*BP256+BQ267*BQ256+BR267*BR256+BS267*BS256+BT267*BT256+BU267*BU256+BV267*BV256+BW267*BW256+BX267*BX256+BY267*BY256+BZ267*BZ256+CA267*CA256+CB267*CB256+CC267*CC256+CD267*CD256+CE267*CE256+CF267*CF256+CG267*CG256+CH267*CH256+CI267*CI256+CJ267*CJ256+CK267*CK256+CL267*CL256+CM267*CM256+CN267*CN256+CO267*CO256+CP267*CP256+CQ267*CQ256+CR267*CR256+CS267*CS256</f>
        <v>0</v>
      </c>
      <c r="CX256" s="2503">
        <f>E268*E256+F268*F256+G268*G256+H268*H256+I268*I256+J268*J256+K268*K256+L268*L256+M268*M256+N268*N256+O268*O256+P268*P256+Q268*Q256+R268*R256+S268*S256+T268*T256+U268*U256+V268*V256+W268*W256+X268*X256+Y268*Y256+Z268*Z256+AA268*AA256+AB268*AB256+AC268*AC256+AD268*AD256+AE268*AE256+AF268*AF256+AG268*AG256+AH268*AH256+AI268*AI256+AJ268*AJ256+AK268*AK256+AL268*AL256+AM268*AM256+AN268*AN256+AO268*AO256+AP268*AP256+AQ268*AQ256+AR268*AR256+AS268*AS256+AT268*AT256+AU268*AU256+AV268*AV256+AW268*AW256+AX268*AX256+AY268*AY256+AZ268*AZ256+BA268*BA256+BB268*BB256+BC268*BC256+BD268*BD256+BE268*BE256+BF268*BF256+BG268*BG256+BH268*BH256+BI268*BI256+BJ268*BJ256+BK268*BK256+BL268*BL256+BM268*BM256+BN268*BN256+BO268*BO256+BP268*BP256+BQ268*BQ256+BR268*BR256+BS268*BS256+BT268*BT256+BU268*BU256+BV268*BV256+BW268*BW256+BX268*BX256+BY268*BY256+BZ268*BZ256+CA268*CA256+CB268*CB256+CC268*CC256+CD268*CD256+CE268*CE256+CF268*CF256+CG268*CG256+CH268*CH256+CI268*CI256+CJ268*CJ256+CK268*CK256+CL268*CL256+CM268*CM256+CN268*CN256+CO268*CO256+CP268*CP256+CQ268*CQ256+CR268*CR256+CS268*CS256</f>
        <v>0</v>
      </c>
      <c r="CY256" s="2504">
        <f>E269*E256+F269*F256+G269*G256+H269*H256+I269*I256+J269*J256+K269*K256+L269*L256+M269*M256+N269*N256+O269*O256+P269*P256+Q269*Q256+R269*R256+S269*S256+T269*T256+U269*U256+V269*V256+W269*W256+X269*X256+Y269*Y256+Z269*Z256+AA269*AA256+AB269*AB256+AC269*AC256+AD269*AD256+AE269*AE256+AF269*AF256+AG269*AG256+AH269*AH256+AI269*AI256+AJ269*AJ256+AK269*AK256+AL269*AL256+AM269*AM256+AN269*AN256+AO269*AO256+AP269*AP256+AQ269*AQ256+AR269*AR256+AS269*AS256+AT269*AT256+AU269*AU256+AV269*AV256+AW269*AW256+AX269*AX256+AY269*AY256+AZ269*AZ256+BA269*BA256+BB269*BB256+BC269*BC256+BD269*BD256+BE269*BE256+BF269*BF256+BG269*BG256+BH269*BH256+BI269*BI256+BJ269*BJ256+BK269*BK256+BL269*BL256+BM269*BM256+BN269*BN256+BO269*BO256+BP269*BP256+BQ269*BQ256+BR269*BR256+BS269*BS256+BT269*BT256+BU269*BU256+BV269*BV256+BW269*BW256+BX269*BX256+BY269*BY256+BZ269*BZ256+CA269*CA256+CB269*CB256+CC269*CC256+CD269*CD256+CE269*CE256+CF269*CF256+CG269*CG256+CH269*CH256+CI269*CI256+CJ269*CJ256+CK269*CK256+CL269*CL256+CM269*CM256+CN269*CN256+CO269*CO256+CP269*CP256+CQ269*CQ256+CR269*CR256+CS269*CS256</f>
        <v>0</v>
      </c>
      <c r="CZ256" s="2504">
        <f>E270*E256+F270*F256+G270*G256+H270*H256+I270*I256+J270*J256+K270*K256+L270*L256+M270*M256+N270*N256+O270*O256+P270*P256+Q270*Q256+R270*R256+S270*S256+T270*T256+U270*U256+V270*V256+W270*W256+X270*X256+Y270*Y256+Z270*Z256+AA270*AA256+AB270*AB256+AC270*AC256+AD270*AD256+AE270*AE256+AF270*AF256+AG270*AG256+AH270*AH256+AI270*AI256+AJ270*AJ256+AK270*AK256+AL270*AL256+AM270*AM256+AN270*AN256+AO270*AO256+AP270*AP256+AQ270*AQ256+AR270*AR256+AS270*AS256+AT270*AT256+AU270*AU256+AV270*AV256+AW270*AW256+AX270*AX256+AY270*AY256+AZ270*AZ256+BA270*BA256+BB270*BB256+BC270*BC256+BD270*BD256+BE270*BE256+BF270*BF256+BG270*BG256+BH270*BH256+BI270*BI256+BJ270*BJ256+BK270*BK256+BL270*BL256+BM270*BM256+BN270*BN256+BO270*BO256+BP270*BP256+BQ270*BQ256+BR270*BR256+BS270*BS256+BT270*BT256+BU270*BU256+BV270*BV256+BW270*BW256+BX270*BX256+BY270*BY256+BZ270*BZ256+CA270*CA256+CB270*CB256+CC270*CC256+CD270*CD256+CE270*CE256+CF270*CF256+CG270*CG256+CH270*CH256+CI270*CI256+CJ270*CJ256+CK270*CK256+CL270*CL256+CM270*CM256+CN270*CN256+CO270*CO256+CP270*CP256+CQ270*CQ256+CR270*CR256+CS270*CS256</f>
        <v>0</v>
      </c>
      <c r="DA256" s="2504">
        <f>E271*E256+F271*F256+G271*G256+H271*H256+I271*I256+J271*J256+K271*K256+L271*L256+M271*M256+N271*N256+O271*O256+P271*P256+Q271*Q256+R271*R256+S271*S256+T271*T256+U271*U256+V271*V256+W271*W256+X271*X256+Y271*Y256+Z271*Z256+AA271*AA256+AB271*AB256+AC271*AC256+AD271*AD256+AE271*AE256+AF271*AF256+AG271*AG256+AH271*AH256+AI271*AI256+AJ271*AJ256+AK271*AK256+AL271*AL256+AM271*AM256+AN271*AN256+AO271*AO256+AP271*AP256+AQ271*AQ256+AR271*AR256+AS271*AS256+AT271*AT256+AU271*AU256+AV271*AV256+AW271*AW256+AX271*AX256+AY271*AY256+AZ271*AZ256+BA271*BA256+BB271*BB256+BC271*BC256+BD271*BD256+BE271*BE256+BF271*BF256+BG271*BG256+BH271*BH256+BI271*BI256+BJ271*BJ256+BK271*BK256+BL271*BL256+BM271*BM256+BN271*BN256+BO271*BO256+BP271*BP256+BQ271*BQ256+BR271*BR256+BS271*BS256+BT271*BT256+BU271*BU256+BV271*BV256+BW271*BW256+BX271*BX256+BY271*BY256+BZ271*BZ256+CA271*CA256+CB271*CB256+CC271*CC256+CD271*CD256+CE271*CE256+CF271*CF256+CG271*CG256+CH271*CH256+CI271*CI256+CJ271*CJ256+CK271*CK256+CL271*CL256+CM271*CM256+CN271*CN256+CO271*CO256+CP271*CP256+CQ271*CQ256+CR271*CR256+CS271*CS256</f>
        <v>0</v>
      </c>
      <c r="DB256" s="2504">
        <f>E272*E256+F272*F256+G272*G256+H272*H256+I272*I256+J272*J256+K272*K256+L272*L256+M272*M256+N272*N256+O272*O256+P272*P256+Q272*Q256+R272*R256+S272*S256+T272*T256+U272*U256+V272*V256+W272*W256+X272*X256+Y272*Y256+Z272*Z256+AA272*AA256+AB272*AB256+AC272*AC256+AD272*AD256+AE272*AE256+AF272*AF256+AG272*AG256+AH272*AH256+AI272*AI256+AJ272*AJ256+AK272*AK256+AL272*AL256+AM272*AM256+AN272*AN256+AO272*AO256+AP272*AP256+AQ272*AQ256+AR272*AR256+AS272*AS256+AT272*AT256+AU272*AU256+AV272*AV256+AW272*AW256+AX272*AX256+AY272*AY256+AZ272*AZ256+BA272*BA256+BB272*BB256+BC272*BC256+BD272*BD256+BE272*BE256+BF272*BF256+BG272*BG256+BH272*BH256+BI272*BI256+BJ272*BJ256+BK272*BK256+BL272*BL256+BM272*BM256+BN272*BN256+BO272*BO256+BP272*BP256+BQ272*BQ256+BR272*BR256+BS272*BS256+BT272*BT256+BU272*BU256+BV272*BV256+BW272*BW256+BX272*BX256+BY272*BY256+BZ272*BZ256+CA272*CA256+CB272*CB256+CC272*CC256+CD272*CD256+CE272*CE256+CF272*CF256+CG272*CG256+CH272*CH256+CI272*CI256+CJ272*CJ256+CK272*CK256+CL272*CL256+CM272*CM256+CN272*CN256+CO272*CO256+CP272*CP256+CQ272*CQ256+CR272*CR256+CS272*CS256</f>
        <v>0</v>
      </c>
      <c r="DC256" s="2504">
        <f>E273*E256+F273*F256+G273*G256+H273*H256+I273*I256+J273*J256+K273*K256+L273*L256+M273*M256+N273*N256+O273*O256+P273*P256+Q273*Q256+R273*R256+S273*S256+T273*T256+U273*U256+V273*V256+W273*W256+X273*X256+Y273*Y256+Z273*Z256+AA273*AA256+AB273*AB256+AC273*AC256+AD273*AD256+AE273*AE256+AF273*AF256+AG273*AG256+AH273*AH256+AI273*AI256+AJ273*AJ256+AK273*AK256+AL273*AL256+AM273*AM256+AN273*AN256+AO273*AO256+AP273*AP256+AQ273*AQ256+AR273*AR256+AS273*AS256+AT273*AT256+AU273*AU256+AV273*AV256+AW273*AW256+AX273*AX256+AY273*AY256+AZ273*AZ256+BA273*BA256+BB273*BB256+BC273*BC256+BD273*BD256+BE273*BE256+BF273*BF256+BG273*BG256+BH273*BH256+BI273*BI256+BJ273*BJ256+BK273*BK256+BL273*BL256+BM273*BM256+BN273*BN256+BO273*BO256+BP273*BP256+BQ273*BQ256+BR273*BR256+BS273*BS256+BT273*BT256+BU273*BU256+BV273*BV256+BW273*BW256+BX273*BX256+BY273*BY256+BZ273*BZ256+CA273*CA256+CB273*CB256+CC273*CC256+CD273*CD256+CE273*CE256+CF273*CF256+CG273*CG256+CH273*CH256+CI273*CI256+CJ273*CJ256+CK273*CK256+CL273*CL256+CM273*CM256+CN273*CN256+CO273*CO256+CP273*CP256+CQ273*CQ256+CR273*CR256+CS273*CS256</f>
        <v>0</v>
      </c>
      <c r="DD256" s="2504">
        <f>E274*E256+F274*F256+G274*G256+H274*H256+I274*I256+J274*J256+K274*K256+L274*L256+M274*M256+N274*N256+O274*O256+P274*P256+Q274*Q256+R274*R256+S274*S256+T274*T256+U274*U256+V274*V256+W274*W256+X274*X256+Y274*Y256+Z274*Z256+AA274*AA256+AB274*AB256+AC274*AC256+AD274*AD256+AE274*AE256+AF274*AF256+AG274*AG256+AH274*AH256+AI274*AI256+AJ274*AJ256+AK274*AK256+AL274*AL256+AM274*AM256+AN274*AN256+AO274*AO256+AP274*AP256+AQ274*AQ256+AR274*AR256+AS274*AS256+AT274*AT256+AU274*AU256+AV274*AV256+AW274*AW256+AX274*AX256+AY274*AY256+AZ274*AZ256+BA274*BA256+BB274*BB256+BC274*BC256+BD274*BD256+BE274*BE256+BF274*BF256+BG274*BG256+BH274*BH256+BI274*BI256+BJ274*BJ256+BK274*BK256+BL274*BL256+BM274*BM256+BN274*BN256+BO274*BO256+BP274*BP256+BQ274*BQ256+BR274*BR256+BS274*BS256+BT274*BT256+BU274*BU256+BV274*BV256+BW274*BW256+BX274*BX256+BY274*BY256+BZ274*BZ256+CA274*CA256+CB274*CB256+CC274*CC256+CD274*CD256+CE274*CE256+CF274*CF256+CG274*CG256+CH274*CH256+CI274*CI256+CJ274*CJ256+CK274*CK256+CL274*CL256+CM274*CM256+CN274*CN256+CO274*CO256+CP274*CP256+CQ274*CQ256+CR274*CR256+CS274*CS256</f>
        <v>0</v>
      </c>
      <c r="DE256" s="2504">
        <f>E275*E256+F275*F256+G275*G256+H275*H256+I275*I256+J275*J256+K275*K256+L275*L256+M275*M256+N275*N256+O275*O256+P275*P256+Q275*Q256+R275*R256+S275*S256+T275*T256+U275*U256+V275*V256+W275*W256+X275*X256+Y275*Y256+Z275*Z256+AA275*AA256+AB275*AB256+AC275*AC256+AD275*AD256+AE275*AE256+AF275*AF256+AG275*AG256+AH275*AH256+AI275*AI256+AJ275*AJ256+AK275*AK256+AL275*AL256+AM275*AM256+AN275*AN256+AO275*AO256+AP275*AP256+AQ275*AQ256+AR275*AR256+AS275*AS256+AT275*AT256+AU275*AU256+AV275*AV256+AW275*AW256+AX275*AX256+AY275*AY256+AZ275*AZ256+BA275*BA256+BB275*BB256+BC275*BC256+BD275*BD256+BE275*BE256+BF275*BF256+BG275*BG256+BH275*BH256+BI275*BI256+BJ275*BJ256+BK275*BK256+BL275*BL256+BM275*BM256+BN275*BN256+BO275*BO256+BP275*BP256+BQ275*BQ256+BR275*BR256+BS275*BS256+BT275*BT256+BU275*BU256+BV275*BV256+BW275*BW256+BX275*BX256+BY275*BY256+BZ275*BZ256+CA275*CA256+CB275*CB256+CC275*CC256+CD275*CD256+CE275*CE256+CF275*CF256+CG275*CG256+CH275*CH256+CI275*CI256+CJ275*CJ256+CK275*CK256+CL275*CL256+CM275*CM256+CN275*CN256+CO275*CO256+CP275*CP256+CQ275*CQ256+CR275*CR256+CS275*CS256</f>
        <v>0</v>
      </c>
      <c r="DF256" s="2504">
        <f>E276*E256+F276*F256+G276*G256+H276*H256+I276*I256+J276*J256+K276*K256+L276*L256+M276*M256+N276*N256+O276*O256+P276*P256+Q276*Q256+R276*R256+S276*S256+T276*T256+U276*U256+V276*V256+W276*W256+X276*X256+Y276*Y256+Z276*Z256+AA276*AA256+AB276*AB256+AC276*AC256+AD276*AD256+AE276*AE256+AF276*AF256+AG276*AG256+AH276*AH256+AI276*AI256+AJ276*AJ256+AK276*AK256+AL276*AL256+AM276*AM256+AN276*AN256+AO276*AO256+AP276*AP256+AQ276*AQ256+AR276*AR256+AS276*AS256+AT276*AT256+AU276*AU256+AV276*AV256+AW276*AW256+AX276*AX256+AY276*AY256+AZ276*AZ256+BA276*BA256+BB276*BB256+BC276*BC256+BD276*BD256+BE276*BE256+BF276*BF256+BG276*BG256+BH276*BH256+BI276*BI256+BJ276*BJ256+BK276*BK256+BL276*BL256+BM276*BM256+BN276*BN256+BO276*BO256+BP276*BP256+BQ276*BQ256+BR276*BR256+BS276*BS256+BT276*BT256+BU276*BU256+BV276*BV256+BW276*BW256+BX276*BX256+BY276*BY256+BZ276*BZ256+CA276*CA256+CB276*CB256+CC276*CC256+CD276*CD256+CE276*CE256+CF276*CF256+CG276*CG256+CH276*CH256+CI276*CI256+CJ276*CJ256+CK276*CK256+CL276*CL256+CM276*CM256+CN276*CN256+CO276*CO256+CP276*CP256+CQ276*CQ256+CR276*CR256+CS276*CS256</f>
        <v>0</v>
      </c>
    </row>
    <row r="257" spans="2:110" x14ac:dyDescent="0.25">
      <c r="B257" s="1536">
        <v>115</v>
      </c>
      <c r="C257" s="578" t="s">
        <v>5103</v>
      </c>
      <c r="D257" s="550" t="s">
        <v>3074</v>
      </c>
      <c r="E257" s="505">
        <f>0</f>
        <v>0</v>
      </c>
      <c r="F257" s="505">
        <f>0</f>
        <v>0</v>
      </c>
      <c r="G257" s="505">
        <f>0</f>
        <v>0</v>
      </c>
      <c r="H257" s="505">
        <f>0</f>
        <v>0</v>
      </c>
      <c r="I257" s="505">
        <f>0</f>
        <v>0</v>
      </c>
      <c r="J257" s="505">
        <f>0</f>
        <v>0</v>
      </c>
      <c r="K257" s="505">
        <f>0</f>
        <v>0</v>
      </c>
      <c r="L257" s="505">
        <f>0</f>
        <v>0</v>
      </c>
      <c r="M257" s="505">
        <f>0</f>
        <v>0</v>
      </c>
      <c r="N257" s="505">
        <f>0</f>
        <v>0</v>
      </c>
      <c r="O257" s="505">
        <f>0</f>
        <v>0</v>
      </c>
      <c r="P257" s="505">
        <f>0</f>
        <v>0</v>
      </c>
      <c r="Q257" s="505">
        <f>0</f>
        <v>0</v>
      </c>
      <c r="R257" s="505">
        <f>0</f>
        <v>0</v>
      </c>
      <c r="S257" s="505">
        <f>0</f>
        <v>0</v>
      </c>
      <c r="T257" s="505">
        <f>0</f>
        <v>0</v>
      </c>
      <c r="U257" s="505">
        <f>0</f>
        <v>0</v>
      </c>
      <c r="V257" s="505">
        <f>0</f>
        <v>0</v>
      </c>
      <c r="W257" s="505">
        <f>0</f>
        <v>0</v>
      </c>
      <c r="X257" s="505">
        <f>0</f>
        <v>0</v>
      </c>
      <c r="Y257" s="505">
        <f>0</f>
        <v>0</v>
      </c>
      <c r="Z257" s="505">
        <f>0</f>
        <v>0</v>
      </c>
      <c r="AA257" s="505">
        <f>0</f>
        <v>0</v>
      </c>
      <c r="AB257" s="505">
        <f>0</f>
        <v>0</v>
      </c>
      <c r="AC257" s="505">
        <f>0</f>
        <v>0</v>
      </c>
      <c r="AD257" s="505">
        <f>0</f>
        <v>0</v>
      </c>
      <c r="AE257" s="505">
        <f>0</f>
        <v>0</v>
      </c>
      <c r="AF257" s="505">
        <f>0</f>
        <v>0</v>
      </c>
      <c r="AG257" s="505">
        <f>0</f>
        <v>0</v>
      </c>
      <c r="AH257" s="505">
        <f>0</f>
        <v>0</v>
      </c>
      <c r="AI257" s="505">
        <f>0</f>
        <v>0</v>
      </c>
      <c r="AJ257" s="505">
        <f>0</f>
        <v>0</v>
      </c>
      <c r="AK257" s="505">
        <f>0</f>
        <v>0</v>
      </c>
      <c r="AL257" s="505">
        <f>0</f>
        <v>0</v>
      </c>
      <c r="AM257" s="505">
        <f>0</f>
        <v>0</v>
      </c>
      <c r="AN257" s="505">
        <f>0</f>
        <v>0</v>
      </c>
      <c r="AO257" s="505">
        <f>0</f>
        <v>0</v>
      </c>
      <c r="AP257" s="505">
        <f>0</f>
        <v>0</v>
      </c>
      <c r="AQ257" s="505">
        <f>0</f>
        <v>0</v>
      </c>
      <c r="AR257" s="505">
        <f>0</f>
        <v>0</v>
      </c>
      <c r="AS257" s="505">
        <f>0</f>
        <v>0</v>
      </c>
      <c r="AT257" s="505">
        <f>0</f>
        <v>0</v>
      </c>
      <c r="AU257" s="505">
        <f>1</f>
        <v>1</v>
      </c>
      <c r="AV257" s="505">
        <f>0</f>
        <v>0</v>
      </c>
      <c r="AW257" s="505">
        <f>0</f>
        <v>0</v>
      </c>
      <c r="AX257" s="505">
        <f>0</f>
        <v>0</v>
      </c>
      <c r="AY257" s="505">
        <f>0</f>
        <v>0</v>
      </c>
      <c r="AZ257" s="505">
        <f>0</f>
        <v>0</v>
      </c>
      <c r="BA257" s="505">
        <f>0</f>
        <v>0</v>
      </c>
      <c r="BB257" s="505">
        <f>0</f>
        <v>0</v>
      </c>
      <c r="BC257" s="505">
        <f>0</f>
        <v>0</v>
      </c>
      <c r="BD257" s="505">
        <f>0</f>
        <v>0</v>
      </c>
      <c r="BE257" s="505">
        <f>0</f>
        <v>0</v>
      </c>
      <c r="BF257" s="505">
        <f>0</f>
        <v>0</v>
      </c>
      <c r="BG257" s="505">
        <f>0</f>
        <v>0</v>
      </c>
      <c r="BH257" s="505">
        <f>0</f>
        <v>0</v>
      </c>
      <c r="BI257" s="505">
        <f>0</f>
        <v>0</v>
      </c>
      <c r="BJ257" s="505">
        <f>0</f>
        <v>0</v>
      </c>
      <c r="BK257" s="505">
        <f>0</f>
        <v>0</v>
      </c>
      <c r="BL257" s="505">
        <f>0</f>
        <v>0</v>
      </c>
      <c r="BM257" s="505">
        <f>0</f>
        <v>0</v>
      </c>
      <c r="BN257" s="505">
        <f>0</f>
        <v>0</v>
      </c>
      <c r="BO257" s="505">
        <f>0</f>
        <v>0</v>
      </c>
      <c r="BP257" s="505">
        <f>0</f>
        <v>0</v>
      </c>
      <c r="BQ257" s="505">
        <f>0</f>
        <v>0</v>
      </c>
      <c r="BR257" s="505">
        <f>0</f>
        <v>0</v>
      </c>
      <c r="BS257" s="505">
        <f>0</f>
        <v>0</v>
      </c>
      <c r="BT257" s="624">
        <f>0</f>
        <v>0</v>
      </c>
      <c r="BU257" s="505">
        <f>0</f>
        <v>0</v>
      </c>
      <c r="BV257" s="505">
        <f>0</f>
        <v>0</v>
      </c>
      <c r="BW257" s="2365">
        <f>0</f>
        <v>0</v>
      </c>
      <c r="BX257" s="2365">
        <f>0</f>
        <v>0</v>
      </c>
      <c r="BY257" s="2365">
        <f>0</f>
        <v>0</v>
      </c>
      <c r="BZ257" s="2365">
        <f>0</f>
        <v>0</v>
      </c>
      <c r="CA257" s="505">
        <f>0</f>
        <v>0</v>
      </c>
      <c r="CB257" s="624">
        <f>0</f>
        <v>0</v>
      </c>
      <c r="CC257" s="505">
        <f>0</f>
        <v>0</v>
      </c>
      <c r="CD257" s="505">
        <f>0</f>
        <v>0</v>
      </c>
      <c r="CE257" s="505">
        <f>0</f>
        <v>0</v>
      </c>
      <c r="CF257" s="505">
        <f>0</f>
        <v>0</v>
      </c>
      <c r="CG257" s="505">
        <f>0</f>
        <v>0</v>
      </c>
      <c r="CH257" s="505">
        <f>0</f>
        <v>0</v>
      </c>
      <c r="CI257" s="505">
        <f>0</f>
        <v>0</v>
      </c>
      <c r="CJ257" s="505">
        <f>0</f>
        <v>0</v>
      </c>
      <c r="CK257" s="505">
        <f>0</f>
        <v>0</v>
      </c>
      <c r="CL257" s="505">
        <f>0</f>
        <v>0</v>
      </c>
      <c r="CM257" s="505">
        <f>0</f>
        <v>0</v>
      </c>
      <c r="CN257" s="548">
        <f>-Δ_atm</f>
        <v>-1</v>
      </c>
      <c r="CO257" s="505">
        <f>0</f>
        <v>0</v>
      </c>
      <c r="CP257" s="505">
        <f>0</f>
        <v>0</v>
      </c>
      <c r="CQ257" s="505">
        <f>0</f>
        <v>0</v>
      </c>
      <c r="CR257" s="505">
        <f>0</f>
        <v>0</v>
      </c>
      <c r="CS257" s="505">
        <f>0</f>
        <v>0</v>
      </c>
      <c r="CT257" s="2487">
        <f>k_LaGH2_sur*(S_GH2_sur_sat-S_H2)</f>
        <v>-4.4020000000000004E-2</v>
      </c>
      <c r="CV257" s="2502">
        <f>E266*E257+F266*F257+G266*G257+H266*H257+I266*I257+J266*J257+K266*K257+L266*L257+M266*M257+N266*N257+O266*O257+P266*P257+Q266*Q257+R266*R257+S266*S257+T266*T257+U266*U257+V266*V257+W266*W257+X266*X257+Y266*Y257+Z266*Z257+AA266*AA257+AB266*AB257+AC266*AC257+AD266*AD257+AE266*AE257+AF266*AF257+AG266*AG257+AH266*AH257+AI266*AI257+AJ266*AJ257+AK266*AK257+AL266*AL257+AM266*AM257+AN266*AN257+AO266*AO257+AP266*AP257+AQ266*AQ257+AR266*AR257+AS266*AS257+AT266*AT257+AU266*AU257+AV266*AV257+AW266*AW257+AX266*AX257+AY266*AY257+AZ266*AZ257+BA266*BA257+BB266*BB257+BC266*BC257+BD266*BD257+BE266*BE257+BF266*BF257+BG266*BG257+BH266*BH257+BI266*BI257+BJ266*BJ257+BK266*BK257+BL266*BL257+BM266*BM257+BN266*BN257+BO266*BO257+BP266*BP257+BQ266*BQ257+BR266*BR257+BS266*BS257+BT266*BT257+BU266*BU257+BV266*BV257+BW266*BW257+BX266*BX257+BY266*BY257+BZ266*BZ257+CA266*CA257+CB266*CB257+CC266*CC257+CD266*CD257+CE266*CE257+CF266*CF257+CG266*CG257+CH266*CH257+CI266*CI257+CJ266*CJ257+CK266*CK257+CL266*CL257+CM266*CM257+CN266*CN257+CO266*CO257+CP266*CP257+CQ266*CQ257+CR266*CR257+CS266*CS257</f>
        <v>0</v>
      </c>
      <c r="CW257" s="2502">
        <f>E267*E257+F267*F257+G267*G257+H267*H257+I267*I257+J267*J257+K267*K257+L267*L257+M267*M257+N267*N257+O267*O257+P267*P257+Q267*Q257+R267*R257+S267*S257+T267*T257+U267*U257+V267*V257+W267*W257+X267*X257+Y267*Y257+Z267*Z257+AA267*AA257+AB267*AB257+AC267*AC257+AD267*AD257+AE267*AE257+AF267*AF257+AG267*AG257+AH267*AH257+AI267*AI257+AJ267*AJ257+AK267*AK257+AL267*AL257+AM267*AM257+AN267*AN257+AO267*AO257+AP267*AP257+AQ267*AQ257+AR267*AR257+AS267*AS257+AT267*AT257+AU267*AU257+AV267*AV257+AW267*AW257+AX267*AX257+AY267*AY257+AZ267*AZ257+BA267*BA257+BB267*BB257+BC267*BC257+BD267*BD257+BE267*BE257+BF267*BF257+BG267*BG257+BH267*BH257+BI267*BI257+BJ267*BJ257+BK267*BK257+BL267*BL257+BM267*BM257+BN267*BN257+BO267*BO257+BP267*BP257+BQ267*BQ257+BR267*BR257+BS267*BS257+BT267*BT257+BU267*BU257+BV267*BV257+BW267*BW257+BX267*BX257+BY267*BY257+BZ267*BZ257+CA267*CA257+CB267*CB257+CC267*CC257+CD267*CD257+CE267*CE257+CF267*CF257+CG267*CG257+CH267*CH257+CI267*CI257+CJ267*CJ257+CK267*CK257+CL267*CL257+CM267*CM257+CN267*CN257+CO267*CO257+CP267*CP257+CQ267*CQ257+CR267*CR257+CS267*CS257</f>
        <v>0</v>
      </c>
      <c r="CX257" s="2503">
        <f>E268*E257+F268*F257+G268*G257+H268*H257+I268*I257+J268*J257+K268*K257+L268*L257+M268*M257+N268*N257+O268*O257+P268*P257+Q268*Q257+R268*R257+S268*S257+T268*T257+U268*U257+V268*V257+W268*W257+X268*X257+Y268*Y257+Z268*Z257+AA268*AA257+AB268*AB257+AC268*AC257+AD268*AD257+AE268*AE257+AF268*AF257+AG268*AG257+AH268*AH257+AI268*AI257+AJ268*AJ257+AK268*AK257+AL268*AL257+AM268*AM257+AN268*AN257+AO268*AO257+AP268*AP257+AQ268*AQ257+AR268*AR257+AS268*AS257+AT268*AT257+AU268*AU257+AV268*AV257+AW268*AW257+AX268*AX257+AY268*AY257+AZ268*AZ257+BA268*BA257+BB268*BB257+BC268*BC257+BD268*BD257+BE268*BE257+BF268*BF257+BG268*BG257+BH268*BH257+BI268*BI257+BJ268*BJ257+BK268*BK257+BL268*BL257+BM268*BM257+BN268*BN257+BO268*BO257+BP268*BP257+BQ268*BQ257+BR268*BR257+BS268*BS257+BT268*BT257+BU268*BU257+BV268*BV257+BW268*BW257+BX268*BX257+BY268*BY257+BZ268*BZ257+CA268*CA257+CB268*CB257+CC268*CC257+CD268*CD257+CE268*CE257+CF268*CF257+CG268*CG257+CH268*CH257+CI268*CI257+CJ268*CJ257+CK268*CK257+CL268*CL257+CM268*CM257+CN268*CN257+CO268*CO257+CP268*CP257+CQ268*CQ257+CR268*CR257+CS268*CS257</f>
        <v>0</v>
      </c>
      <c r="CY257" s="2504">
        <f>E269*E257+F269*F257+G269*G257+H269*H257+I269*I257+J269*J257+K269*K257+L269*L257+M269*M257+N269*N257+O269*O257+P269*P257+Q269*Q257+R269*R257+S269*S257+T269*T257+U269*U257+V269*V257+W269*W257+X269*X257+Y269*Y257+Z269*Z257+AA269*AA257+AB269*AB257+AC269*AC257+AD269*AD257+AE269*AE257+AF269*AF257+AG269*AG257+AH269*AH257+AI269*AI257+AJ269*AJ257+AK269*AK257+AL269*AL257+AM269*AM257+AN269*AN257+AO269*AO257+AP269*AP257+AQ269*AQ257+AR269*AR257+AS269*AS257+AT269*AT257+AU269*AU257+AV269*AV257+AW269*AW257+AX269*AX257+AY269*AY257+AZ269*AZ257+BA269*BA257+BB269*BB257+BC269*BC257+BD269*BD257+BE269*BE257+BF269*BF257+BG269*BG257+BH269*BH257+BI269*BI257+BJ269*BJ257+BK269*BK257+BL269*BL257+BM269*BM257+BN269*BN257+BO269*BO257+BP269*BP257+BQ269*BQ257+BR269*BR257+BS269*BS257+BT269*BT257+BU269*BU257+BV269*BV257+BW269*BW257+BX269*BX257+BY269*BY257+BZ269*BZ257+CA269*CA257+CB269*CB257+CC269*CC257+CD269*CD257+CE269*CE257+CF269*CF257+CG269*CG257+CH269*CH257+CI269*CI257+CJ269*CJ257+CK269*CK257+CL269*CL257+CM269*CM257+CN269*CN257+CO269*CO257+CP269*CP257+CQ269*CQ257+CR269*CR257+CS269*CS257</f>
        <v>0</v>
      </c>
      <c r="CZ257" s="2504">
        <f>E270*E257+F270*F257+G270*G257+H270*H257+I270*I257+J270*J257+K270*K257+L270*L257+M270*M257+N270*N257+O270*O257+P270*P257+Q270*Q257+R270*R257+S270*S257+T270*T257+U270*U257+V270*V257+W270*W257+X270*X257+Y270*Y257+Z270*Z257+AA270*AA257+AB270*AB257+AC270*AC257+AD270*AD257+AE270*AE257+AF270*AF257+AG270*AG257+AH270*AH257+AI270*AI257+AJ270*AJ257+AK270*AK257+AL270*AL257+AM270*AM257+AN270*AN257+AO270*AO257+AP270*AP257+AQ270*AQ257+AR270*AR257+AS270*AS257+AT270*AT257+AU270*AU257+AV270*AV257+AW270*AW257+AX270*AX257+AY270*AY257+AZ270*AZ257+BA270*BA257+BB270*BB257+BC270*BC257+BD270*BD257+BE270*BE257+BF270*BF257+BG270*BG257+BH270*BH257+BI270*BI257+BJ270*BJ257+BK270*BK257+BL270*BL257+BM270*BM257+BN270*BN257+BO270*BO257+BP270*BP257+BQ270*BQ257+BR270*BR257+BS270*BS257+BT270*BT257+BU270*BU257+BV270*BV257+BW270*BW257+BX270*BX257+BY270*BY257+BZ270*BZ257+CA270*CA257+CB270*CB257+CC270*CC257+CD270*CD257+CE270*CE257+CF270*CF257+CG270*CG257+CH270*CH257+CI270*CI257+CJ270*CJ257+CK270*CK257+CL270*CL257+CM270*CM257+CN270*CN257+CO270*CO257+CP270*CP257+CQ270*CQ257+CR270*CR257+CS270*CS257</f>
        <v>0</v>
      </c>
      <c r="DA257" s="2504">
        <f>E271*E257+F271*F257+G271*G257+H271*H257+I271*I257+J271*J257+K271*K257+L271*L257+M271*M257+N271*N257+O271*O257+P271*P257+Q271*Q257+R271*R257+S271*S257+T271*T257+U271*U257+V271*V257+W271*W257+X271*X257+Y271*Y257+Z271*Z257+AA271*AA257+AB271*AB257+AC271*AC257+AD271*AD257+AE271*AE257+AF271*AF257+AG271*AG257+AH271*AH257+AI271*AI257+AJ271*AJ257+AK271*AK257+AL271*AL257+AM271*AM257+AN271*AN257+AO271*AO257+AP271*AP257+AQ271*AQ257+AR271*AR257+AS271*AS257+AT271*AT257+AU271*AU257+AV271*AV257+AW271*AW257+AX271*AX257+AY271*AY257+AZ271*AZ257+BA271*BA257+BB271*BB257+BC271*BC257+BD271*BD257+BE271*BE257+BF271*BF257+BG271*BG257+BH271*BH257+BI271*BI257+BJ271*BJ257+BK271*BK257+BL271*BL257+BM271*BM257+BN271*BN257+BO271*BO257+BP271*BP257+BQ271*BQ257+BR271*BR257+BS271*BS257+BT271*BT257+BU271*BU257+BV271*BV257+BW271*BW257+BX271*BX257+BY271*BY257+BZ271*BZ257+CA271*CA257+CB271*CB257+CC271*CC257+CD271*CD257+CE271*CE257+CF271*CF257+CG271*CG257+CH271*CH257+CI271*CI257+CJ271*CJ257+CK271*CK257+CL271*CL257+CM271*CM257+CN271*CN257+CO271*CO257+CP271*CP257+CQ271*CQ257+CR271*CR257+CS271*CS257</f>
        <v>0</v>
      </c>
      <c r="DB257" s="2504">
        <f>E272*E257+F272*F257+G272*G257+H272*H257+I272*I257+J272*J257+K272*K257+L272*L257+M272*M257+N272*N257+O272*O257+P272*P257+Q272*Q257+R272*R257+S272*S257+T272*T257+U272*U257+V272*V257+W272*W257+X272*X257+Y272*Y257+Z272*Z257+AA272*AA257+AB272*AB257+AC272*AC257+AD272*AD257+AE272*AE257+AF272*AF257+AG272*AG257+AH272*AH257+AI272*AI257+AJ272*AJ257+AK272*AK257+AL272*AL257+AM272*AM257+AN272*AN257+AO272*AO257+AP272*AP257+AQ272*AQ257+AR272*AR257+AS272*AS257+AT272*AT257+AU272*AU257+AV272*AV257+AW272*AW257+AX272*AX257+AY272*AY257+AZ272*AZ257+BA272*BA257+BB272*BB257+BC272*BC257+BD272*BD257+BE272*BE257+BF272*BF257+BG272*BG257+BH272*BH257+BI272*BI257+BJ272*BJ257+BK272*BK257+BL272*BL257+BM272*BM257+BN272*BN257+BO272*BO257+BP272*BP257+BQ272*BQ257+BR272*BR257+BS272*BS257+BT272*BT257+BU272*BU257+BV272*BV257+BW272*BW257+BX272*BX257+BY272*BY257+BZ272*BZ257+CA272*CA257+CB272*CB257+CC272*CC257+CD272*CD257+CE272*CE257+CF272*CF257+CG272*CG257+CH272*CH257+CI272*CI257+CJ272*CJ257+CK272*CK257+CL272*CL257+CM272*CM257+CN272*CN257+CO272*CO257+CP272*CP257+CQ272*CQ257+CR272*CR257+CS272*CS257</f>
        <v>0</v>
      </c>
      <c r="DC257" s="2504">
        <f>E273*E257+F273*F257+G273*G257+H273*H257+I273*I257+J273*J257+K273*K257+L273*L257+M273*M257+N273*N257+O273*O257+P273*P257+Q273*Q257+R273*R257+S273*S257+T273*T257+U273*U257+V273*V257+W273*W257+X273*X257+Y273*Y257+Z273*Z257+AA273*AA257+AB273*AB257+AC273*AC257+AD273*AD257+AE273*AE257+AF273*AF257+AG273*AG257+AH273*AH257+AI273*AI257+AJ273*AJ257+AK273*AK257+AL273*AL257+AM273*AM257+AN273*AN257+AO273*AO257+AP273*AP257+AQ273*AQ257+AR273*AR257+AS273*AS257+AT273*AT257+AU273*AU257+AV273*AV257+AW273*AW257+AX273*AX257+AY273*AY257+AZ273*AZ257+BA273*BA257+BB273*BB257+BC273*BC257+BD273*BD257+BE273*BE257+BF273*BF257+BG273*BG257+BH273*BH257+BI273*BI257+BJ273*BJ257+BK273*BK257+BL273*BL257+BM273*BM257+BN273*BN257+BO273*BO257+BP273*BP257+BQ273*BQ257+BR273*BR257+BS273*BS257+BT273*BT257+BU273*BU257+BV273*BV257+BW273*BW257+BX273*BX257+BY273*BY257+BZ273*BZ257+CA273*CA257+CB273*CB257+CC273*CC257+CD273*CD257+CE273*CE257+CF273*CF257+CG273*CG257+CH273*CH257+CI273*CI257+CJ273*CJ257+CK273*CK257+CL273*CL257+CM273*CM257+CN273*CN257+CO273*CO257+CP273*CP257+CQ273*CQ257+CR273*CR257+CS273*CS257</f>
        <v>0</v>
      </c>
      <c r="DD257" s="2504">
        <f>E274*E257+F274*F257+G274*G257+H274*H257+I274*I257+J274*J257+K274*K257+L274*L257+M274*M257+N274*N257+O274*O257+P274*P257+Q274*Q257+R274*R257+S274*S257+T274*T257+U274*U257+V274*V257+W274*W257+X274*X257+Y274*Y257+Z274*Z257+AA274*AA257+AB274*AB257+AC274*AC257+AD274*AD257+AE274*AE257+AF274*AF257+AG274*AG257+AH274*AH257+AI274*AI257+AJ274*AJ257+AK274*AK257+AL274*AL257+AM274*AM257+AN274*AN257+AO274*AO257+AP274*AP257+AQ274*AQ257+AR274*AR257+AS274*AS257+AT274*AT257+AU274*AU257+AV274*AV257+AW274*AW257+AX274*AX257+AY274*AY257+AZ274*AZ257+BA274*BA257+BB274*BB257+BC274*BC257+BD274*BD257+BE274*BE257+BF274*BF257+BG274*BG257+BH274*BH257+BI274*BI257+BJ274*BJ257+BK274*BK257+BL274*BL257+BM274*BM257+BN274*BN257+BO274*BO257+BP274*BP257+BQ274*BQ257+BR274*BR257+BS274*BS257+BT274*BT257+BU274*BU257+BV274*BV257+BW274*BW257+BX274*BX257+BY274*BY257+BZ274*BZ257+CA274*CA257+CB274*CB257+CC274*CC257+CD274*CD257+CE274*CE257+CF274*CF257+CG274*CG257+CH274*CH257+CI274*CI257+CJ274*CJ257+CK274*CK257+CL274*CL257+CM274*CM257+CN274*CN257+CO274*CO257+CP274*CP257+CQ274*CQ257+CR274*CR257+CS274*CS257</f>
        <v>0</v>
      </c>
      <c r="DE257" s="2504">
        <f>E275*E257+F275*F257+G275*G257+H275*H257+I275*I257+J275*J257+K275*K257+L275*L257+M275*M257+N275*N257+O275*O257+P275*P257+Q275*Q257+R275*R257+S275*S257+T275*T257+U275*U257+V275*V257+W275*W257+X275*X257+Y275*Y257+Z275*Z257+AA275*AA257+AB275*AB257+AC275*AC257+AD275*AD257+AE275*AE257+AF275*AF257+AG275*AG257+AH275*AH257+AI275*AI257+AJ275*AJ257+AK275*AK257+AL275*AL257+AM275*AM257+AN275*AN257+AO275*AO257+AP275*AP257+AQ275*AQ257+AR275*AR257+AS275*AS257+AT275*AT257+AU275*AU257+AV275*AV257+AW275*AW257+AX275*AX257+AY275*AY257+AZ275*AZ257+BA275*BA257+BB275*BB257+BC275*BC257+BD275*BD257+BE275*BE257+BF275*BF257+BG275*BG257+BH275*BH257+BI275*BI257+BJ275*BJ257+BK275*BK257+BL275*BL257+BM275*BM257+BN275*BN257+BO275*BO257+BP275*BP257+BQ275*BQ257+BR275*BR257+BS275*BS257+BT275*BT257+BU275*BU257+BV275*BV257+BW275*BW257+BX275*BX257+BY275*BY257+BZ275*BZ257+CA275*CA257+CB275*CB257+CC275*CC257+CD275*CD257+CE275*CE257+CF275*CF257+CG275*CG257+CH275*CH257+CI275*CI257+CJ275*CJ257+CK275*CK257+CL275*CL257+CM275*CM257+CN275*CN257+CO275*CO257+CP275*CP257+CQ275*CQ257+CR275*CR257+CS275*CS257</f>
        <v>0</v>
      </c>
      <c r="DF257" s="2504">
        <f>E276*E257+F276*F257+G276*G257+H276*H257+I276*I257+J276*J257+K276*K257+L276*L257+M276*M257+N276*N257+O276*O257+P276*P257+Q276*Q257+R276*R257+S276*S257+T276*T257+U276*U257+V276*V257+W276*W257+X276*X257+Y276*Y257+Z276*Z257+AA276*AA257+AB276*AB257+AC276*AC257+AD276*AD257+AE276*AE257+AF276*AF257+AG276*AG257+AH276*AH257+AI276*AI257+AJ276*AJ257+AK276*AK257+AL276*AL257+AM276*AM257+AN276*AN257+AO276*AO257+AP276*AP257+AQ276*AQ257+AR276*AR257+AS276*AS257+AT276*AT257+AU276*AU257+AV276*AV257+AW276*AW257+AX276*AX257+AY276*AY257+AZ276*AZ257+BA276*BA257+BB276*BB257+BC276*BC257+BD276*BD257+BE276*BE257+BF276*BF257+BG276*BG257+BH276*BH257+BI276*BI257+BJ276*BJ257+BK276*BK257+BL276*BL257+BM276*BM257+BN276*BN257+BO276*BO257+BP276*BP257+BQ276*BQ257+BR276*BR257+BS276*BS257+BT276*BT257+BU276*BU257+BV276*BV257+BW276*BW257+BX276*BX257+BY276*BY257+BZ276*BZ257+CA276*CA257+CB276*CB257+CC276*CC257+CD276*CD257+CE276*CE257+CF276*CF257+CG276*CG257+CH276*CH257+CI276*CI257+CJ276*CJ257+CK276*CK257+CL276*CL257+CM276*CM257+CN276*CN257+CO276*CO257+CP276*CP257+CQ276*CQ257+CR276*CR257+CS276*CS257</f>
        <v>0</v>
      </c>
    </row>
    <row r="258" spans="2:110" x14ac:dyDescent="0.25">
      <c r="B258" s="1536">
        <v>116</v>
      </c>
      <c r="C258" s="578" t="s">
        <v>5116</v>
      </c>
      <c r="D258" s="550" t="s">
        <v>3076</v>
      </c>
      <c r="E258" s="505">
        <f>0</f>
        <v>0</v>
      </c>
      <c r="F258" s="505">
        <f>0</f>
        <v>0</v>
      </c>
      <c r="G258" s="505">
        <f>0</f>
        <v>0</v>
      </c>
      <c r="H258" s="505">
        <f>0</f>
        <v>0</v>
      </c>
      <c r="I258" s="505">
        <f>0</f>
        <v>0</v>
      </c>
      <c r="J258" s="505">
        <f>0</f>
        <v>0</v>
      </c>
      <c r="K258" s="505">
        <f>0</f>
        <v>0</v>
      </c>
      <c r="L258" s="505">
        <f>0</f>
        <v>0</v>
      </c>
      <c r="M258" s="505">
        <f>0</f>
        <v>0</v>
      </c>
      <c r="N258" s="505">
        <f>0</f>
        <v>0</v>
      </c>
      <c r="O258" s="505">
        <f>0</f>
        <v>0</v>
      </c>
      <c r="P258" s="505">
        <f>0</f>
        <v>0</v>
      </c>
      <c r="Q258" s="505">
        <f>0</f>
        <v>0</v>
      </c>
      <c r="R258" s="505">
        <f>0</f>
        <v>0</v>
      </c>
      <c r="S258" s="505">
        <f>0</f>
        <v>0</v>
      </c>
      <c r="T258" s="505">
        <f>0</f>
        <v>0</v>
      </c>
      <c r="U258" s="505">
        <f>0</f>
        <v>0</v>
      </c>
      <c r="V258" s="505">
        <f>0</f>
        <v>0</v>
      </c>
      <c r="W258" s="505">
        <f>0</f>
        <v>0</v>
      </c>
      <c r="X258" s="505">
        <f>0</f>
        <v>0</v>
      </c>
      <c r="Y258" s="505">
        <f>0</f>
        <v>0</v>
      </c>
      <c r="Z258" s="505">
        <f>0</f>
        <v>0</v>
      </c>
      <c r="AA258" s="505">
        <f>0</f>
        <v>0</v>
      </c>
      <c r="AB258" s="505">
        <f>0</f>
        <v>0</v>
      </c>
      <c r="AC258" s="505">
        <f>0</f>
        <v>0</v>
      </c>
      <c r="AD258" s="505">
        <f>0</f>
        <v>0</v>
      </c>
      <c r="AE258" s="505">
        <f>0</f>
        <v>0</v>
      </c>
      <c r="AF258" s="505">
        <f>0</f>
        <v>0</v>
      </c>
      <c r="AG258" s="505">
        <f>0</f>
        <v>0</v>
      </c>
      <c r="AH258" s="505">
        <f>0</f>
        <v>0</v>
      </c>
      <c r="AI258" s="505">
        <f>0</f>
        <v>0</v>
      </c>
      <c r="AJ258" s="505">
        <f>0</f>
        <v>0</v>
      </c>
      <c r="AK258" s="505">
        <f>0</f>
        <v>0</v>
      </c>
      <c r="AL258" s="505">
        <f>0</f>
        <v>0</v>
      </c>
      <c r="AM258" s="505">
        <f>0</f>
        <v>0</v>
      </c>
      <c r="AN258" s="505">
        <f>0</f>
        <v>0</v>
      </c>
      <c r="AO258" s="505">
        <f>0</f>
        <v>0</v>
      </c>
      <c r="AP258" s="505">
        <f>0</f>
        <v>0</v>
      </c>
      <c r="AQ258" s="505">
        <f>0</f>
        <v>0</v>
      </c>
      <c r="AR258" s="505">
        <f>0</f>
        <v>0</v>
      </c>
      <c r="AS258" s="505">
        <f>1</f>
        <v>1</v>
      </c>
      <c r="AT258" s="505">
        <f>0</f>
        <v>0</v>
      </c>
      <c r="AU258" s="505">
        <f>0</f>
        <v>0</v>
      </c>
      <c r="AV258" s="505">
        <f>0</f>
        <v>0</v>
      </c>
      <c r="AW258" s="505">
        <f>0</f>
        <v>0</v>
      </c>
      <c r="AX258" s="505">
        <f>0</f>
        <v>0</v>
      </c>
      <c r="AY258" s="505">
        <f>0</f>
        <v>0</v>
      </c>
      <c r="AZ258" s="505">
        <f>0</f>
        <v>0</v>
      </c>
      <c r="BA258" s="505">
        <f>0</f>
        <v>0</v>
      </c>
      <c r="BB258" s="505">
        <f>0</f>
        <v>0</v>
      </c>
      <c r="BC258" s="505">
        <f>0</f>
        <v>0</v>
      </c>
      <c r="BD258" s="505">
        <f>0</f>
        <v>0</v>
      </c>
      <c r="BE258" s="505">
        <f>0</f>
        <v>0</v>
      </c>
      <c r="BF258" s="505">
        <f>0</f>
        <v>0</v>
      </c>
      <c r="BG258" s="505">
        <f>0</f>
        <v>0</v>
      </c>
      <c r="BH258" s="505">
        <f>0</f>
        <v>0</v>
      </c>
      <c r="BI258" s="505">
        <f>0</f>
        <v>0</v>
      </c>
      <c r="BJ258" s="505">
        <f>0</f>
        <v>0</v>
      </c>
      <c r="BK258" s="505">
        <f>0</f>
        <v>0</v>
      </c>
      <c r="BL258" s="505">
        <f>0</f>
        <v>0</v>
      </c>
      <c r="BM258" s="505">
        <f>0</f>
        <v>0</v>
      </c>
      <c r="BN258" s="505">
        <f>0</f>
        <v>0</v>
      </c>
      <c r="BO258" s="505">
        <f>0</f>
        <v>0</v>
      </c>
      <c r="BP258" s="505">
        <f>0</f>
        <v>0</v>
      </c>
      <c r="BQ258" s="505">
        <f>0</f>
        <v>0</v>
      </c>
      <c r="BR258" s="505">
        <f>0</f>
        <v>0</v>
      </c>
      <c r="BS258" s="505">
        <f>0</f>
        <v>0</v>
      </c>
      <c r="BT258" s="624">
        <f>0</f>
        <v>0</v>
      </c>
      <c r="BU258" s="505">
        <f>0</f>
        <v>0</v>
      </c>
      <c r="BV258" s="505">
        <f>0</f>
        <v>0</v>
      </c>
      <c r="BW258" s="2365">
        <f>0</f>
        <v>0</v>
      </c>
      <c r="BX258" s="2365">
        <f>0</f>
        <v>0</v>
      </c>
      <c r="BY258" s="2365">
        <f>0</f>
        <v>0</v>
      </c>
      <c r="BZ258" s="2365">
        <f>0</f>
        <v>0</v>
      </c>
      <c r="CA258" s="505">
        <f>0</f>
        <v>0</v>
      </c>
      <c r="CB258" s="624">
        <f>0</f>
        <v>0</v>
      </c>
      <c r="CC258" s="505">
        <f>0</f>
        <v>0</v>
      </c>
      <c r="CD258" s="505">
        <f>0</f>
        <v>0</v>
      </c>
      <c r="CE258" s="505">
        <f>0</f>
        <v>0</v>
      </c>
      <c r="CF258" s="505">
        <f>0</f>
        <v>0</v>
      </c>
      <c r="CG258" s="505">
        <f>0</f>
        <v>0</v>
      </c>
      <c r="CH258" s="505">
        <f>0</f>
        <v>0</v>
      </c>
      <c r="CI258" s="505">
        <f>0</f>
        <v>0</v>
      </c>
      <c r="CJ258" s="505">
        <f>0</f>
        <v>0</v>
      </c>
      <c r="CK258" s="505">
        <f>0</f>
        <v>0</v>
      </c>
      <c r="CL258" s="505">
        <f>0</f>
        <v>0</v>
      </c>
      <c r="CM258" s="505">
        <f>0</f>
        <v>0</v>
      </c>
      <c r="CN258" s="505">
        <f>0</f>
        <v>0</v>
      </c>
      <c r="CO258" s="548">
        <f>-Δ_atm</f>
        <v>-1</v>
      </c>
      <c r="CP258" s="505">
        <f>0</f>
        <v>0</v>
      </c>
      <c r="CQ258" s="505">
        <f>0</f>
        <v>0</v>
      </c>
      <c r="CR258" s="505">
        <f>0</f>
        <v>0</v>
      </c>
      <c r="CS258" s="505">
        <f>0</f>
        <v>0</v>
      </c>
      <c r="CT258" s="2487">
        <f>k_LaGO2_sur*(S_GO2_sur_sat-S_O2)</f>
        <v>24</v>
      </c>
      <c r="CV258" s="2502">
        <f>E266*E258+F266*F258+G266*G258+H266*H258+I266*I258+J266*J258+K266*K258+L266*L258+M266*M258+N266*N258+O266*O258+P266*P258+Q266*Q258+R266*R258+S266*S258+T266*T258+U266*U258+V266*V258+W266*W258+X266*X258+Y266*Y258+Z266*Z258+AA266*AA258+AB266*AB258+AC266*AC258+AD266*AD258+AE266*AE258+AF266*AF258+AG266*AG258+AH266*AH258+AI266*AI258+AJ266*AJ258+AK266*AK258+AL266*AL258+AM266*AM258+AN266*AN258+AO266*AO258+AP266*AP258+AQ266*AQ258+AR266*AR258+AS266*AS258+AT266*AT258+AU266*AU258+AV266*AV258+AW266*AW258+AX266*AX258+AY266*AY258+AZ266*AZ258+BA266*BA258+BB266*BB258+BC266*BC258+BD266*BD258+BE266*BE258+BF266*BF258+BG266*BG258+BH266*BH258+BI266*BI258+BJ266*BJ258+BK266*BK258+BL266*BL258+BM266*BM258+BN266*BN258+BO266*BO258+BP266*BP258+BQ266*BQ258+BR266*BR258+BS266*BS258+BT266*BT258+BU266*BU258+BV266*BV258+BW266*BW258+BX266*BX258+BY266*BY258+BZ266*BZ258+CA266*CA258+CB266*CB258+CC266*CC258+CD266*CD258+CE266*CE258+CF266*CF258+CG266*CG258+CH266*CH258+CI266*CI258+CJ266*CJ258+CK266*CK258+CL266*CL258+CM266*CM258+CN266*CN258+CO266*CO258+CP266*CP258+CQ266*CQ258+CR266*CR258+CS266*CS258</f>
        <v>0</v>
      </c>
      <c r="CW258" s="2502">
        <f>E267*E258+F267*F258+G267*G258+H267*H258+I267*I258+J267*J258+K267*K258+L267*L258+M267*M258+N267*N258+O267*O258+P267*P258+Q267*Q258+R267*R258+S267*S258+T267*T258+U267*U258+V267*V258+W267*W258+X267*X258+Y267*Y258+Z267*Z258+AA267*AA258+AB267*AB258+AC267*AC258+AD267*AD258+AE267*AE258+AF267*AF258+AG267*AG258+AH267*AH258+AI267*AI258+AJ267*AJ258+AK267*AK258+AL267*AL258+AM267*AM258+AN267*AN258+AO267*AO258+AP267*AP258+AQ267*AQ258+AR267*AR258+AS267*AS258+AT267*AT258+AU267*AU258+AV267*AV258+AW267*AW258+AX267*AX258+AY267*AY258+AZ267*AZ258+BA267*BA258+BB267*BB258+BC267*BC258+BD267*BD258+BE267*BE258+BF267*BF258+BG267*BG258+BH267*BH258+BI267*BI258+BJ267*BJ258+BK267*BK258+BL267*BL258+BM267*BM258+BN267*BN258+BO267*BO258+BP267*BP258+BQ267*BQ258+BR267*BR258+BS267*BS258+BT267*BT258+BU267*BU258+BV267*BV258+BW267*BW258+BX267*BX258+BY267*BY258+BZ267*BZ258+CA267*CA258+CB267*CB258+CC267*CC258+CD267*CD258+CE267*CE258+CF267*CF258+CG267*CG258+CH267*CH258+CI267*CI258+CJ267*CJ258+CK267*CK258+CL267*CL258+CM267*CM258+CN267*CN258+CO267*CO258+CP267*CP258+CQ267*CQ258+CR267*CR258+CS267*CS258</f>
        <v>0</v>
      </c>
      <c r="CX258" s="2503">
        <f>E268*E258+F268*F258+G268*G258+H268*H258+I268*I258+J268*J258+K268*K258+L268*L258+M268*M258+N268*N258+O268*O258+P268*P258+Q268*Q258+R268*R258+S268*S258+T268*T258+U268*U258+V268*V258+W268*W258+X268*X258+Y268*Y258+Z268*Z258+AA268*AA258+AB268*AB258+AC268*AC258+AD268*AD258+AE268*AE258+AF268*AF258+AG268*AG258+AH268*AH258+AI268*AI258+AJ268*AJ258+AK268*AK258+AL268*AL258+AM268*AM258+AN268*AN258+AO268*AO258+AP268*AP258+AQ268*AQ258+AR268*AR258+AS268*AS258+AT268*AT258+AU268*AU258+AV268*AV258+AW268*AW258+AX268*AX258+AY268*AY258+AZ268*AZ258+BA268*BA258+BB268*BB258+BC268*BC258+BD268*BD258+BE268*BE258+BF268*BF258+BG268*BG258+BH268*BH258+BI268*BI258+BJ268*BJ258+BK268*BK258+BL268*BL258+BM268*BM258+BN268*BN258+BO268*BO258+BP268*BP258+BQ268*BQ258+BR268*BR258+BS268*BS258+BT268*BT258+BU268*BU258+BV268*BV258+BW268*BW258+BX268*BX258+BY268*BY258+BZ268*BZ258+CA268*CA258+CB268*CB258+CC268*CC258+CD268*CD258+CE268*CE258+CF268*CF258+CG268*CG258+CH268*CH258+CI268*CI258+CJ268*CJ258+CK268*CK258+CL268*CL258+CM268*CM258+CN268*CN258+CO268*CO258+CP268*CP258+CQ268*CQ258+CR268*CR258+CS268*CS258</f>
        <v>0</v>
      </c>
      <c r="CY258" s="2504">
        <f>E269*E258+F269*F258+G269*G258+H269*H258+I269*I258+J269*J258+K269*K258+L269*L258+M269*M258+N269*N258+O269*O258+P269*P258+Q269*Q258+R269*R258+S269*S258+T269*T258+U269*U258+V269*V258+W269*W258+X269*X258+Y269*Y258+Z269*Z258+AA269*AA258+AB269*AB258+AC269*AC258+AD269*AD258+AE269*AE258+AF269*AF258+AG269*AG258+AH269*AH258+AI269*AI258+AJ269*AJ258+AK269*AK258+AL269*AL258+AM269*AM258+AN269*AN258+AO269*AO258+AP269*AP258+AQ269*AQ258+AR269*AR258+AS269*AS258+AT269*AT258+AU269*AU258+AV269*AV258+AW269*AW258+AX269*AX258+AY269*AY258+AZ269*AZ258+BA269*BA258+BB269*BB258+BC269*BC258+BD269*BD258+BE269*BE258+BF269*BF258+BG269*BG258+BH269*BH258+BI269*BI258+BJ269*BJ258+BK269*BK258+BL269*BL258+BM269*BM258+BN269*BN258+BO269*BO258+BP269*BP258+BQ269*BQ258+BR269*BR258+BS269*BS258+BT269*BT258+BU269*BU258+BV269*BV258+BW269*BW258+BX269*BX258+BY269*BY258+BZ269*BZ258+CA269*CA258+CB269*CB258+CC269*CC258+CD269*CD258+CE269*CE258+CF269*CF258+CG269*CG258+CH269*CH258+CI269*CI258+CJ269*CJ258+CK269*CK258+CL269*CL258+CM269*CM258+CN269*CN258+CO269*CO258+CP269*CP258+CQ269*CQ258+CR269*CR258+CS269*CS258</f>
        <v>0</v>
      </c>
      <c r="CZ258" s="2504">
        <f>E270*E258+F270*F258+G270*G258+H270*H258+I270*I258+J270*J258+K270*K258+L270*L258+M270*M258+N270*N258+O270*O258+P270*P258+Q270*Q258+R270*R258+S270*S258+T270*T258+U270*U258+V270*V258+W270*W258+X270*X258+Y270*Y258+Z270*Z258+AA270*AA258+AB270*AB258+AC270*AC258+AD270*AD258+AE270*AE258+AF270*AF258+AG270*AG258+AH270*AH258+AI270*AI258+AJ270*AJ258+AK270*AK258+AL270*AL258+AM270*AM258+AN270*AN258+AO270*AO258+AP270*AP258+AQ270*AQ258+AR270*AR258+AS270*AS258+AT270*AT258+AU270*AU258+AV270*AV258+AW270*AW258+AX270*AX258+AY270*AY258+AZ270*AZ258+BA270*BA258+BB270*BB258+BC270*BC258+BD270*BD258+BE270*BE258+BF270*BF258+BG270*BG258+BH270*BH258+BI270*BI258+BJ270*BJ258+BK270*BK258+BL270*BL258+BM270*BM258+BN270*BN258+BO270*BO258+BP270*BP258+BQ270*BQ258+BR270*BR258+BS270*BS258+BT270*BT258+BU270*BU258+BV270*BV258+BW270*BW258+BX270*BX258+BY270*BY258+BZ270*BZ258+CA270*CA258+CB270*CB258+CC270*CC258+CD270*CD258+CE270*CE258+CF270*CF258+CG270*CG258+CH270*CH258+CI270*CI258+CJ270*CJ258+CK270*CK258+CL270*CL258+CM270*CM258+CN270*CN258+CO270*CO258+CP270*CP258+CQ270*CQ258+CR270*CR258+CS270*CS258</f>
        <v>0</v>
      </c>
      <c r="DA258" s="2504">
        <f>E271*E258+F271*F258+G271*G258+H271*H258+I271*I258+J271*J258+K271*K258+L271*L258+M271*M258+N271*N258+O271*O258+P271*P258+Q271*Q258+R271*R258+S271*S258+T271*T258+U271*U258+V271*V258+W271*W258+X271*X258+Y271*Y258+Z271*Z258+AA271*AA258+AB271*AB258+AC271*AC258+AD271*AD258+AE271*AE258+AF271*AF258+AG271*AG258+AH271*AH258+AI271*AI258+AJ271*AJ258+AK271*AK258+AL271*AL258+AM271*AM258+AN271*AN258+AO271*AO258+AP271*AP258+AQ271*AQ258+AR271*AR258+AS271*AS258+AT271*AT258+AU271*AU258+AV271*AV258+AW271*AW258+AX271*AX258+AY271*AY258+AZ271*AZ258+BA271*BA258+BB271*BB258+BC271*BC258+BD271*BD258+BE271*BE258+BF271*BF258+BG271*BG258+BH271*BH258+BI271*BI258+BJ271*BJ258+BK271*BK258+BL271*BL258+BM271*BM258+BN271*BN258+BO271*BO258+BP271*BP258+BQ271*BQ258+BR271*BR258+BS271*BS258+BT271*BT258+BU271*BU258+BV271*BV258+BW271*BW258+BX271*BX258+BY271*BY258+BZ271*BZ258+CA271*CA258+CB271*CB258+CC271*CC258+CD271*CD258+CE271*CE258+CF271*CF258+CG271*CG258+CH271*CH258+CI271*CI258+CJ271*CJ258+CK271*CK258+CL271*CL258+CM271*CM258+CN271*CN258+CO271*CO258+CP271*CP258+CQ271*CQ258+CR271*CR258+CS271*CS258</f>
        <v>0</v>
      </c>
      <c r="DB258" s="2504">
        <f>E272*E258+F272*F258+G272*G258+H272*H258+I272*I258+J272*J258+K272*K258+L272*L258+M272*M258+N272*N258+O272*O258+P272*P258+Q272*Q258+R272*R258+S272*S258+T272*T258+U272*U258+V272*V258+W272*W258+X272*X258+Y272*Y258+Z272*Z258+AA272*AA258+AB272*AB258+AC272*AC258+AD272*AD258+AE272*AE258+AF272*AF258+AG272*AG258+AH272*AH258+AI272*AI258+AJ272*AJ258+AK272*AK258+AL272*AL258+AM272*AM258+AN272*AN258+AO272*AO258+AP272*AP258+AQ272*AQ258+AR272*AR258+AS272*AS258+AT272*AT258+AU272*AU258+AV272*AV258+AW272*AW258+AX272*AX258+AY272*AY258+AZ272*AZ258+BA272*BA258+BB272*BB258+BC272*BC258+BD272*BD258+BE272*BE258+BF272*BF258+BG272*BG258+BH272*BH258+BI272*BI258+BJ272*BJ258+BK272*BK258+BL272*BL258+BM272*BM258+BN272*BN258+BO272*BO258+BP272*BP258+BQ272*BQ258+BR272*BR258+BS272*BS258+BT272*BT258+BU272*BU258+BV272*BV258+BW272*BW258+BX272*BX258+BY272*BY258+BZ272*BZ258+CA272*CA258+CB272*CB258+CC272*CC258+CD272*CD258+CE272*CE258+CF272*CF258+CG272*CG258+CH272*CH258+CI272*CI258+CJ272*CJ258+CK272*CK258+CL272*CL258+CM272*CM258+CN272*CN258+CO272*CO258+CP272*CP258+CQ272*CQ258+CR272*CR258+CS272*CS258</f>
        <v>0</v>
      </c>
      <c r="DC258" s="2504">
        <f>E273*E258+F273*F258+G273*G258+H273*H258+I273*I258+J273*J258+K273*K258+L273*L258+M273*M258+N273*N258+O273*O258+P273*P258+Q273*Q258+R273*R258+S273*S258+T273*T258+U273*U258+V273*V258+W273*W258+X273*X258+Y273*Y258+Z273*Z258+AA273*AA258+AB273*AB258+AC273*AC258+AD273*AD258+AE273*AE258+AF273*AF258+AG273*AG258+AH273*AH258+AI273*AI258+AJ273*AJ258+AK273*AK258+AL273*AL258+AM273*AM258+AN273*AN258+AO273*AO258+AP273*AP258+AQ273*AQ258+AR273*AR258+AS273*AS258+AT273*AT258+AU273*AU258+AV273*AV258+AW273*AW258+AX273*AX258+AY273*AY258+AZ273*AZ258+BA273*BA258+BB273*BB258+BC273*BC258+BD273*BD258+BE273*BE258+BF273*BF258+BG273*BG258+BH273*BH258+BI273*BI258+BJ273*BJ258+BK273*BK258+BL273*BL258+BM273*BM258+BN273*BN258+BO273*BO258+BP273*BP258+BQ273*BQ258+BR273*BR258+BS273*BS258+BT273*BT258+BU273*BU258+BV273*BV258+BW273*BW258+BX273*BX258+BY273*BY258+BZ273*BZ258+CA273*CA258+CB273*CB258+CC273*CC258+CD273*CD258+CE273*CE258+CF273*CF258+CG273*CG258+CH273*CH258+CI273*CI258+CJ273*CJ258+CK273*CK258+CL273*CL258+CM273*CM258+CN273*CN258+CO273*CO258+CP273*CP258+CQ273*CQ258+CR273*CR258+CS273*CS258</f>
        <v>0</v>
      </c>
      <c r="DD258" s="2504">
        <f>E274*E258+F274*F258+G274*G258+H274*H258+I274*I258+J274*J258+K274*K258+L274*L258+M274*M258+N274*N258+O274*O258+P274*P258+Q274*Q258+R274*R258+S274*S258+T274*T258+U274*U258+V274*V258+W274*W258+X274*X258+Y274*Y258+Z274*Z258+AA274*AA258+AB274*AB258+AC274*AC258+AD274*AD258+AE274*AE258+AF274*AF258+AG274*AG258+AH274*AH258+AI274*AI258+AJ274*AJ258+AK274*AK258+AL274*AL258+AM274*AM258+AN274*AN258+AO274*AO258+AP274*AP258+AQ274*AQ258+AR274*AR258+AS274*AS258+AT274*AT258+AU274*AU258+AV274*AV258+AW274*AW258+AX274*AX258+AY274*AY258+AZ274*AZ258+BA274*BA258+BB274*BB258+BC274*BC258+BD274*BD258+BE274*BE258+BF274*BF258+BG274*BG258+BH274*BH258+BI274*BI258+BJ274*BJ258+BK274*BK258+BL274*BL258+BM274*BM258+BN274*BN258+BO274*BO258+BP274*BP258+BQ274*BQ258+BR274*BR258+BS274*BS258+BT274*BT258+BU274*BU258+BV274*BV258+BW274*BW258+BX274*BX258+BY274*BY258+BZ274*BZ258+CA274*CA258+CB274*CB258+CC274*CC258+CD274*CD258+CE274*CE258+CF274*CF258+CG274*CG258+CH274*CH258+CI274*CI258+CJ274*CJ258+CK274*CK258+CL274*CL258+CM274*CM258+CN274*CN258+CO274*CO258+CP274*CP258+CQ274*CQ258+CR274*CR258+CS274*CS258</f>
        <v>0</v>
      </c>
      <c r="DE258" s="2504">
        <f>E275*E258+F275*F258+G275*G258+H275*H258+I275*I258+J275*J258+K275*K258+L275*L258+M275*M258+N275*N258+O275*O258+P275*P258+Q275*Q258+R275*R258+S275*S258+T275*T258+U275*U258+V275*V258+W275*W258+X275*X258+Y275*Y258+Z275*Z258+AA275*AA258+AB275*AB258+AC275*AC258+AD275*AD258+AE275*AE258+AF275*AF258+AG275*AG258+AH275*AH258+AI275*AI258+AJ275*AJ258+AK275*AK258+AL275*AL258+AM275*AM258+AN275*AN258+AO275*AO258+AP275*AP258+AQ275*AQ258+AR275*AR258+AS275*AS258+AT275*AT258+AU275*AU258+AV275*AV258+AW275*AW258+AX275*AX258+AY275*AY258+AZ275*AZ258+BA275*BA258+BB275*BB258+BC275*BC258+BD275*BD258+BE275*BE258+BF275*BF258+BG275*BG258+BH275*BH258+BI275*BI258+BJ275*BJ258+BK275*BK258+BL275*BL258+BM275*BM258+BN275*BN258+BO275*BO258+BP275*BP258+BQ275*BQ258+BR275*BR258+BS275*BS258+BT275*BT258+BU275*BU258+BV275*BV258+BW275*BW258+BX275*BX258+BY275*BY258+BZ275*BZ258+CA275*CA258+CB275*CB258+CC275*CC258+CD275*CD258+CE275*CE258+CF275*CF258+CG275*CG258+CH275*CH258+CI275*CI258+CJ275*CJ258+CK275*CK258+CL275*CL258+CM275*CM258+CN275*CN258+CO275*CO258+CP275*CP258+CQ275*CQ258+CR275*CR258+CS275*CS258</f>
        <v>0</v>
      </c>
      <c r="DF258" s="2504">
        <f>E276*E258+F276*F258+G276*G258+H276*H258+I276*I258+J276*J258+K276*K258+L276*L258+M276*M258+N276*N258+O276*O258+P276*P258+Q276*Q258+R276*R258+S276*S258+T276*T258+U276*U258+V276*V258+W276*W258+X276*X258+Y276*Y258+Z276*Z258+AA276*AA258+AB276*AB258+AC276*AC258+AD276*AD258+AE276*AE258+AF276*AF258+AG276*AG258+AH276*AH258+AI276*AI258+AJ276*AJ258+AK276*AK258+AL276*AL258+AM276*AM258+AN276*AN258+AO276*AO258+AP276*AP258+AQ276*AQ258+AR276*AR258+AS276*AS258+AT276*AT258+AU276*AU258+AV276*AV258+AW276*AW258+AX276*AX258+AY276*AY258+AZ276*AZ258+BA276*BA258+BB276*BB258+BC276*BC258+BD276*BD258+BE276*BE258+BF276*BF258+BG276*BG258+BH276*BH258+BI276*BI258+BJ276*BJ258+BK276*BK258+BL276*BL258+BM276*BM258+BN276*BN258+BO276*BO258+BP276*BP258+BQ276*BQ258+BR276*BR258+BS276*BS258+BT276*BT258+BU276*BU258+BV276*BV258+BW276*BW258+BX276*BX258+BY276*BY258+BZ276*BZ258+CA276*CA258+CB276*CB258+CC276*CC258+CD276*CD258+CE276*CE258+CF276*CF258+CG276*CG258+CH276*CH258+CI276*CI258+CJ276*CJ258+CK276*CK258+CL276*CL258+CM276*CM258+CN276*CN258+CO276*CO258+CP276*CP258+CQ276*CQ258+CR276*CR258+CS276*CS258</f>
        <v>0</v>
      </c>
    </row>
    <row r="259" spans="2:110" x14ac:dyDescent="0.25">
      <c r="B259" s="1536">
        <v>117</v>
      </c>
      <c r="C259" s="578" t="s">
        <v>5117</v>
      </c>
      <c r="D259" s="550" t="s">
        <v>3078</v>
      </c>
      <c r="E259" s="505">
        <f>0</f>
        <v>0</v>
      </c>
      <c r="F259" s="505">
        <f>0</f>
        <v>0</v>
      </c>
      <c r="G259" s="505">
        <f>0</f>
        <v>0</v>
      </c>
      <c r="H259" s="505">
        <f>0</f>
        <v>0</v>
      </c>
      <c r="I259" s="505">
        <f>0</f>
        <v>0</v>
      </c>
      <c r="J259" s="505">
        <f>0</f>
        <v>0</v>
      </c>
      <c r="K259" s="505">
        <f>0</f>
        <v>0</v>
      </c>
      <c r="L259" s="505">
        <f>0</f>
        <v>0</v>
      </c>
      <c r="M259" s="505">
        <f>0</f>
        <v>0</v>
      </c>
      <c r="N259" s="505">
        <f>0</f>
        <v>0</v>
      </c>
      <c r="O259" s="505">
        <f>0</f>
        <v>0</v>
      </c>
      <c r="P259" s="505">
        <f>0</f>
        <v>0</v>
      </c>
      <c r="Q259" s="505">
        <f>0</f>
        <v>0</v>
      </c>
      <c r="R259" s="505">
        <f>0</f>
        <v>0</v>
      </c>
      <c r="S259" s="505">
        <f>0</f>
        <v>0</v>
      </c>
      <c r="T259" s="505">
        <f>0</f>
        <v>0</v>
      </c>
      <c r="U259" s="505">
        <f>0</f>
        <v>0</v>
      </c>
      <c r="V259" s="505">
        <f>0</f>
        <v>0</v>
      </c>
      <c r="W259" s="505">
        <f>0</f>
        <v>0</v>
      </c>
      <c r="X259" s="505">
        <f>0</f>
        <v>0</v>
      </c>
      <c r="Y259" s="505">
        <f>0</f>
        <v>0</v>
      </c>
      <c r="Z259" s="505">
        <f>0</f>
        <v>0</v>
      </c>
      <c r="AA259" s="505">
        <f>1</f>
        <v>1</v>
      </c>
      <c r="AB259" s="505">
        <f>0</f>
        <v>0</v>
      </c>
      <c r="AC259" s="505">
        <f>0</f>
        <v>0</v>
      </c>
      <c r="AD259" s="505">
        <f>0</f>
        <v>0</v>
      </c>
      <c r="AE259" s="505">
        <f>0</f>
        <v>0</v>
      </c>
      <c r="AF259" s="505">
        <f>0</f>
        <v>0</v>
      </c>
      <c r="AG259" s="505">
        <f>0</f>
        <v>0</v>
      </c>
      <c r="AH259" s="505">
        <f>0</f>
        <v>0</v>
      </c>
      <c r="AI259" s="505">
        <f>0</f>
        <v>0</v>
      </c>
      <c r="AJ259" s="505">
        <f>0</f>
        <v>0</v>
      </c>
      <c r="AK259" s="505">
        <f>0</f>
        <v>0</v>
      </c>
      <c r="AL259" s="505">
        <f>0</f>
        <v>0</v>
      </c>
      <c r="AM259" s="505">
        <f>0</f>
        <v>0</v>
      </c>
      <c r="AN259" s="505">
        <f>0</f>
        <v>0</v>
      </c>
      <c r="AO259" s="505">
        <f>0</f>
        <v>0</v>
      </c>
      <c r="AP259" s="505">
        <f>0</f>
        <v>0</v>
      </c>
      <c r="AQ259" s="505">
        <f>0</f>
        <v>0</v>
      </c>
      <c r="AR259" s="505">
        <f>0</f>
        <v>0</v>
      </c>
      <c r="AS259" s="505">
        <f>0</f>
        <v>0</v>
      </c>
      <c r="AT259" s="505">
        <f>0</f>
        <v>0</v>
      </c>
      <c r="AU259" s="505">
        <f>0</f>
        <v>0</v>
      </c>
      <c r="AV259" s="505">
        <f>0</f>
        <v>0</v>
      </c>
      <c r="AW259" s="505">
        <f>0</f>
        <v>0</v>
      </c>
      <c r="AX259" s="505">
        <f>0</f>
        <v>0</v>
      </c>
      <c r="AY259" s="505">
        <f>0</f>
        <v>0</v>
      </c>
      <c r="AZ259" s="505">
        <f>0</f>
        <v>0</v>
      </c>
      <c r="BA259" s="505">
        <f>0</f>
        <v>0</v>
      </c>
      <c r="BB259" s="505">
        <f>0</f>
        <v>0</v>
      </c>
      <c r="BC259" s="505">
        <f>0</f>
        <v>0</v>
      </c>
      <c r="BD259" s="505">
        <f>0</f>
        <v>0</v>
      </c>
      <c r="BE259" s="505">
        <f>0</f>
        <v>0</v>
      </c>
      <c r="BF259" s="505">
        <f>0</f>
        <v>0</v>
      </c>
      <c r="BG259" s="505">
        <f>0</f>
        <v>0</v>
      </c>
      <c r="BH259" s="505">
        <f>0</f>
        <v>0</v>
      </c>
      <c r="BI259" s="505">
        <f>0</f>
        <v>0</v>
      </c>
      <c r="BJ259" s="505">
        <f>0</f>
        <v>0</v>
      </c>
      <c r="BK259" s="505">
        <f>0</f>
        <v>0</v>
      </c>
      <c r="BL259" s="505">
        <f>0</f>
        <v>0</v>
      </c>
      <c r="BM259" s="505">
        <f>0</f>
        <v>0</v>
      </c>
      <c r="BN259" s="505">
        <f>0</f>
        <v>0</v>
      </c>
      <c r="BO259" s="505">
        <f>0</f>
        <v>0</v>
      </c>
      <c r="BP259" s="505">
        <f>0</f>
        <v>0</v>
      </c>
      <c r="BQ259" s="505">
        <f>0</f>
        <v>0</v>
      </c>
      <c r="BR259" s="505">
        <f>0</f>
        <v>0</v>
      </c>
      <c r="BS259" s="505">
        <f>0</f>
        <v>0</v>
      </c>
      <c r="BT259" s="624">
        <f>0</f>
        <v>0</v>
      </c>
      <c r="BU259" s="505">
        <f>0</f>
        <v>0</v>
      </c>
      <c r="BV259" s="505">
        <f>0</f>
        <v>0</v>
      </c>
      <c r="BW259" s="2365">
        <f>0</f>
        <v>0</v>
      </c>
      <c r="BX259" s="2365">
        <f>0</f>
        <v>0</v>
      </c>
      <c r="BY259" s="2365">
        <f>0</f>
        <v>0</v>
      </c>
      <c r="BZ259" s="2365">
        <f>0</f>
        <v>0</v>
      </c>
      <c r="CA259" s="505">
        <f>0</f>
        <v>0</v>
      </c>
      <c r="CB259" s="624">
        <f>0</f>
        <v>0</v>
      </c>
      <c r="CC259" s="505">
        <f>0</f>
        <v>0</v>
      </c>
      <c r="CD259" s="505">
        <f>0</f>
        <v>0</v>
      </c>
      <c r="CE259" s="505">
        <f>0</f>
        <v>0</v>
      </c>
      <c r="CF259" s="505">
        <f>0</f>
        <v>0</v>
      </c>
      <c r="CG259" s="505">
        <f>0</f>
        <v>0</v>
      </c>
      <c r="CH259" s="505">
        <f>0</f>
        <v>0</v>
      </c>
      <c r="CI259" s="505">
        <f>0</f>
        <v>0</v>
      </c>
      <c r="CJ259" s="505">
        <f>0</f>
        <v>0</v>
      </c>
      <c r="CK259" s="505">
        <f>0</f>
        <v>0</v>
      </c>
      <c r="CL259" s="505">
        <f>0</f>
        <v>0</v>
      </c>
      <c r="CM259" s="505">
        <f>0</f>
        <v>0</v>
      </c>
      <c r="CN259" s="505">
        <f>0</f>
        <v>0</v>
      </c>
      <c r="CO259" s="505">
        <f>0</f>
        <v>0</v>
      </c>
      <c r="CP259" s="548">
        <f>-Δ_atm</f>
        <v>-1</v>
      </c>
      <c r="CQ259" s="505">
        <f>0</f>
        <v>0</v>
      </c>
      <c r="CR259" s="505">
        <f>0</f>
        <v>0</v>
      </c>
      <c r="CS259" s="505">
        <f>0</f>
        <v>0</v>
      </c>
      <c r="CT259" s="2487">
        <f>k_transfer_GNH3_sur</f>
        <v>0</v>
      </c>
      <c r="CV259" s="2502">
        <f>E266*E259+F266*F259+G266*G259+H266*H259+I266*I259+J266*J259+K266*K259+L266*L259+M266*M259+N266*N259+O266*O259+P266*P259+Q266*Q259+R266*R259+S266*S259+T266*T259+U266*U259+V266*V259+W266*W259+X266*X259+Y266*Y259+Z266*Z259+AA266*AA259+AB266*AB259+AC266*AC259+AD266*AD259+AE266*AE259+AF266*AF259+AG266*AG259+AH266*AH259+AI266*AI259+AJ266*AJ259+AK266*AK259+AL266*AL259+AM266*AM259+AN266*AN259+AO266*AO259+AP266*AP259+AQ266*AQ259+AR266*AR259+AS266*AS259+AT266*AT259+AU266*AU259+AV266*AV259+AW266*AW259+AX266*AX259+AY266*AY259+AZ266*AZ259+BA266*BA259+BB266*BB259+BC266*BC259+BD266*BD259+BE266*BE259+BF266*BF259+BG266*BG259+BH266*BH259+BI266*BI259+BJ266*BJ259+BK266*BK259+BL266*BL259+BM266*BM259+BN266*BN259+BO266*BO259+BP266*BP259+BQ266*BQ259+BR266*BR259+BS266*BS259+BT266*BT259+BU266*BU259+BV266*BV259+BW266*BW259+BX266*BX259+BY266*BY259+BZ266*BZ259+CA266*CA259+CB266*CB259+CC266*CC259+CD266*CD259+CE266*CE259+CF266*CF259+CG266*CG259+CH266*CH259+CI266*CI259+CJ266*CJ259+CK266*CK259+CL266*CL259+CM266*CM259+CN266*CN259+CO266*CO259+CP266*CP259+CQ266*CQ259+CR266*CR259+CS266*CS259</f>
        <v>0</v>
      </c>
      <c r="CW259" s="2502">
        <f>E267*E259+F267*F259+G267*G259+H267*H259+I267*I259+J267*J259+K267*K259+L267*L259+M267*M259+N267*N259+O267*O259+P267*P259+Q267*Q259+R267*R259+S267*S259+T267*T259+U267*U259+V267*V259+W267*W259+X267*X259+Y267*Y259+Z267*Z259+AA267*AA259+AB267*AB259+AC267*AC259+AD267*AD259+AE267*AE259+AF267*AF259+AG267*AG259+AH267*AH259+AI267*AI259+AJ267*AJ259+AK267*AK259+AL267*AL259+AM267*AM259+AN267*AN259+AO267*AO259+AP267*AP259+AQ267*AQ259+AR267*AR259+AS267*AS259+AT267*AT259+AU267*AU259+AV267*AV259+AW267*AW259+AX267*AX259+AY267*AY259+AZ267*AZ259+BA267*BA259+BB267*BB259+BC267*BC259+BD267*BD259+BE267*BE259+BF267*BF259+BG267*BG259+BH267*BH259+BI267*BI259+BJ267*BJ259+BK267*BK259+BL267*BL259+BM267*BM259+BN267*BN259+BO267*BO259+BP267*BP259+BQ267*BQ259+BR267*BR259+BS267*BS259+BT267*BT259+BU267*BU259+BV267*BV259+BW267*BW259+BX267*BX259+BY267*BY259+BZ267*BZ259+CA267*CA259+CB267*CB259+CC267*CC259+CD267*CD259+CE267*CE259+CF267*CF259+CG267*CG259+CH267*CH259+CI267*CI259+CJ267*CJ259+CK267*CK259+CL267*CL259+CM267*CM259+CN267*CN259+CO267*CO259+CP267*CP259+CQ267*CQ259+CR267*CR259+CS267*CS259</f>
        <v>0</v>
      </c>
      <c r="CX259" s="2503">
        <f>E268*E259+F268*F259+G268*G259+H268*H259+I268*I259+J268*J259+K268*K259+L268*L259+M268*M259+N268*N259+O268*O259+P268*P259+Q268*Q259+R268*R259+S268*S259+T268*T259+U268*U259+V268*V259+W268*W259+X268*X259+Y268*Y259+Z268*Z259+AA268*AA259+AB268*AB259+AC268*AC259+AD268*AD259+AE268*AE259+AF268*AF259+AG268*AG259+AH268*AH259+AI268*AI259+AJ268*AJ259+AK268*AK259+AL268*AL259+AM268*AM259+AN268*AN259+AO268*AO259+AP268*AP259+AQ268*AQ259+AR268*AR259+AS268*AS259+AT268*AT259+AU268*AU259+AV268*AV259+AW268*AW259+AX268*AX259+AY268*AY259+AZ268*AZ259+BA268*BA259+BB268*BB259+BC268*BC259+BD268*BD259+BE268*BE259+BF268*BF259+BG268*BG259+BH268*BH259+BI268*BI259+BJ268*BJ259+BK268*BK259+BL268*BL259+BM268*BM259+BN268*BN259+BO268*BO259+BP268*BP259+BQ268*BQ259+BR268*BR259+BS268*BS259+BT268*BT259+BU268*BU259+BV268*BV259+BW268*BW259+BX268*BX259+BY268*BY259+BZ268*BZ259+CA268*CA259+CB268*CB259+CC268*CC259+CD268*CD259+CE268*CE259+CF268*CF259+CG268*CG259+CH268*CH259+CI268*CI259+CJ268*CJ259+CK268*CK259+CL268*CL259+CM268*CM259+CN268*CN259+CO268*CO259+CP268*CP259+CQ268*CQ259+CR268*CR259+CS268*CS259</f>
        <v>0</v>
      </c>
      <c r="CY259" s="2504">
        <f>E269*E259+F269*F259+G269*G259+H269*H259+I269*I259+J269*J259+K269*K259+L269*L259+M269*M259+N269*N259+O269*O259+P269*P259+Q269*Q259+R269*R259+S269*S259+T269*T259+U269*U259+V269*V259+W269*W259+X269*X259+Y269*Y259+Z269*Z259+AA269*AA259+AB269*AB259+AC269*AC259+AD269*AD259+AE269*AE259+AF269*AF259+AG269*AG259+AH269*AH259+AI269*AI259+AJ269*AJ259+AK269*AK259+AL269*AL259+AM269*AM259+AN269*AN259+AO269*AO259+AP269*AP259+AQ269*AQ259+AR269*AR259+AS269*AS259+AT269*AT259+AU269*AU259+AV269*AV259+AW269*AW259+AX269*AX259+AY269*AY259+AZ269*AZ259+BA269*BA259+BB269*BB259+BC269*BC259+BD269*BD259+BE269*BE259+BF269*BF259+BG269*BG259+BH269*BH259+BI269*BI259+BJ269*BJ259+BK269*BK259+BL269*BL259+BM269*BM259+BN269*BN259+BO269*BO259+BP269*BP259+BQ269*BQ259+BR269*BR259+BS269*BS259+BT269*BT259+BU269*BU259+BV269*BV259+BW269*BW259+BX269*BX259+BY269*BY259+BZ269*BZ259+CA269*CA259+CB269*CB259+CC269*CC259+CD269*CD259+CE269*CE259+CF269*CF259+CG269*CG259+CH269*CH259+CI269*CI259+CJ269*CJ259+CK269*CK259+CL269*CL259+CM269*CM259+CN269*CN259+CO269*CO259+CP269*CP259+CQ269*CQ259+CR269*CR259+CS269*CS259</f>
        <v>0</v>
      </c>
      <c r="CZ259" s="2504">
        <f>E270*E259+F270*F259+G270*G259+H270*H259+I270*I259+J270*J259+K270*K259+L270*L259+M270*M259+N270*N259+O270*O259+P270*P259+Q270*Q259+R270*R259+S270*S259+T270*T259+U270*U259+V270*V259+W270*W259+X270*X259+Y270*Y259+Z270*Z259+AA270*AA259+AB270*AB259+AC270*AC259+AD270*AD259+AE270*AE259+AF270*AF259+AG270*AG259+AH270*AH259+AI270*AI259+AJ270*AJ259+AK270*AK259+AL270*AL259+AM270*AM259+AN270*AN259+AO270*AO259+AP270*AP259+AQ270*AQ259+AR270*AR259+AS270*AS259+AT270*AT259+AU270*AU259+AV270*AV259+AW270*AW259+AX270*AX259+AY270*AY259+AZ270*AZ259+BA270*BA259+BB270*BB259+BC270*BC259+BD270*BD259+BE270*BE259+BF270*BF259+BG270*BG259+BH270*BH259+BI270*BI259+BJ270*BJ259+BK270*BK259+BL270*BL259+BM270*BM259+BN270*BN259+BO270*BO259+BP270*BP259+BQ270*BQ259+BR270*BR259+BS270*BS259+BT270*BT259+BU270*BU259+BV270*BV259+BW270*BW259+BX270*BX259+BY270*BY259+BZ270*BZ259+CA270*CA259+CB270*CB259+CC270*CC259+CD270*CD259+CE270*CE259+CF270*CF259+CG270*CG259+CH270*CH259+CI270*CI259+CJ270*CJ259+CK270*CK259+CL270*CL259+CM270*CM259+CN270*CN259+CO270*CO259+CP270*CP259+CQ270*CQ259+CR270*CR259+CS270*CS259</f>
        <v>0</v>
      </c>
      <c r="DA259" s="2504">
        <f>E271*E259+F271*F259+G271*G259+H271*H259+I271*I259+J271*J259+K271*K259+L271*L259+M271*M259+N271*N259+O271*O259+P271*P259+Q271*Q259+R271*R259+S271*S259+T271*T259+U271*U259+V271*V259+W271*W259+X271*X259+Y271*Y259+Z271*Z259+AA271*AA259+AB271*AB259+AC271*AC259+AD271*AD259+AE271*AE259+AF271*AF259+AG271*AG259+AH271*AH259+AI271*AI259+AJ271*AJ259+AK271*AK259+AL271*AL259+AM271*AM259+AN271*AN259+AO271*AO259+AP271*AP259+AQ271*AQ259+AR271*AR259+AS271*AS259+AT271*AT259+AU271*AU259+AV271*AV259+AW271*AW259+AX271*AX259+AY271*AY259+AZ271*AZ259+BA271*BA259+BB271*BB259+BC271*BC259+BD271*BD259+BE271*BE259+BF271*BF259+BG271*BG259+BH271*BH259+BI271*BI259+BJ271*BJ259+BK271*BK259+BL271*BL259+BM271*BM259+BN271*BN259+BO271*BO259+BP271*BP259+BQ271*BQ259+BR271*BR259+BS271*BS259+BT271*BT259+BU271*BU259+BV271*BV259+BW271*BW259+BX271*BX259+BY271*BY259+BZ271*BZ259+CA271*CA259+CB271*CB259+CC271*CC259+CD271*CD259+CE271*CE259+CF271*CF259+CG271*CG259+CH271*CH259+CI271*CI259+CJ271*CJ259+CK271*CK259+CL271*CL259+CM271*CM259+CN271*CN259+CO271*CO259+CP271*CP259+CQ271*CQ259+CR271*CR259+CS271*CS259</f>
        <v>0</v>
      </c>
      <c r="DB259" s="2504">
        <f>E272*E259+F272*F259+G272*G259+H272*H259+I272*I259+J272*J259+K272*K259+L272*L259+M272*M259+N272*N259+O272*O259+P272*P259+Q272*Q259+R272*R259+S272*S259+T272*T259+U272*U259+V272*V259+W272*W259+X272*X259+Y272*Y259+Z272*Z259+AA272*AA259+AB272*AB259+AC272*AC259+AD272*AD259+AE272*AE259+AF272*AF259+AG272*AG259+AH272*AH259+AI272*AI259+AJ272*AJ259+AK272*AK259+AL272*AL259+AM272*AM259+AN272*AN259+AO272*AO259+AP272*AP259+AQ272*AQ259+AR272*AR259+AS272*AS259+AT272*AT259+AU272*AU259+AV272*AV259+AW272*AW259+AX272*AX259+AY272*AY259+AZ272*AZ259+BA272*BA259+BB272*BB259+BC272*BC259+BD272*BD259+BE272*BE259+BF272*BF259+BG272*BG259+BH272*BH259+BI272*BI259+BJ272*BJ259+BK272*BK259+BL272*BL259+BM272*BM259+BN272*BN259+BO272*BO259+BP272*BP259+BQ272*BQ259+BR272*BR259+BS272*BS259+BT272*BT259+BU272*BU259+BV272*BV259+BW272*BW259+BX272*BX259+BY272*BY259+BZ272*BZ259+CA272*CA259+CB272*CB259+CC272*CC259+CD272*CD259+CE272*CE259+CF272*CF259+CG272*CG259+CH272*CH259+CI272*CI259+CJ272*CJ259+CK272*CK259+CL272*CL259+CM272*CM259+CN272*CN259+CO272*CO259+CP272*CP259+CQ272*CQ259+CR272*CR259+CS272*CS259</f>
        <v>0</v>
      </c>
      <c r="DC259" s="2504">
        <f>E273*E259+F273*F259+G273*G259+H273*H259+I273*I259+J273*J259+K273*K259+L273*L259+M273*M259+N273*N259+O273*O259+P273*P259+Q273*Q259+R273*R259+S273*S259+T273*T259+U273*U259+V273*V259+W273*W259+X273*X259+Y273*Y259+Z273*Z259+AA273*AA259+AB273*AB259+AC273*AC259+AD273*AD259+AE273*AE259+AF273*AF259+AG273*AG259+AH273*AH259+AI273*AI259+AJ273*AJ259+AK273*AK259+AL273*AL259+AM273*AM259+AN273*AN259+AO273*AO259+AP273*AP259+AQ273*AQ259+AR273*AR259+AS273*AS259+AT273*AT259+AU273*AU259+AV273*AV259+AW273*AW259+AX273*AX259+AY273*AY259+AZ273*AZ259+BA273*BA259+BB273*BB259+BC273*BC259+BD273*BD259+BE273*BE259+BF273*BF259+BG273*BG259+BH273*BH259+BI273*BI259+BJ273*BJ259+BK273*BK259+BL273*BL259+BM273*BM259+BN273*BN259+BO273*BO259+BP273*BP259+BQ273*BQ259+BR273*BR259+BS273*BS259+BT273*BT259+BU273*BU259+BV273*BV259+BW273*BW259+BX273*BX259+BY273*BY259+BZ273*BZ259+CA273*CA259+CB273*CB259+CC273*CC259+CD273*CD259+CE273*CE259+CF273*CF259+CG273*CG259+CH273*CH259+CI273*CI259+CJ273*CJ259+CK273*CK259+CL273*CL259+CM273*CM259+CN273*CN259+CO273*CO259+CP273*CP259+CQ273*CQ259+CR273*CR259+CS273*CS259</f>
        <v>0</v>
      </c>
      <c r="DD259" s="2504">
        <f>E274*E259+F274*F259+G274*G259+H274*H259+I274*I259+J274*J259+K274*K259+L274*L259+M274*M259+N274*N259+O274*O259+P274*P259+Q274*Q259+R274*R259+S274*S259+T274*T259+U274*U259+V274*V259+W274*W259+X274*X259+Y274*Y259+Z274*Z259+AA274*AA259+AB274*AB259+AC274*AC259+AD274*AD259+AE274*AE259+AF274*AF259+AG274*AG259+AH274*AH259+AI274*AI259+AJ274*AJ259+AK274*AK259+AL274*AL259+AM274*AM259+AN274*AN259+AO274*AO259+AP274*AP259+AQ274*AQ259+AR274*AR259+AS274*AS259+AT274*AT259+AU274*AU259+AV274*AV259+AW274*AW259+AX274*AX259+AY274*AY259+AZ274*AZ259+BA274*BA259+BB274*BB259+BC274*BC259+BD274*BD259+BE274*BE259+BF274*BF259+BG274*BG259+BH274*BH259+BI274*BI259+BJ274*BJ259+BK274*BK259+BL274*BL259+BM274*BM259+BN274*BN259+BO274*BO259+BP274*BP259+BQ274*BQ259+BR274*BR259+BS274*BS259+BT274*BT259+BU274*BU259+BV274*BV259+BW274*BW259+BX274*BX259+BY274*BY259+BZ274*BZ259+CA274*CA259+CB274*CB259+CC274*CC259+CD274*CD259+CE274*CE259+CF274*CF259+CG274*CG259+CH274*CH259+CI274*CI259+CJ274*CJ259+CK274*CK259+CL274*CL259+CM274*CM259+CN274*CN259+CO274*CO259+CP274*CP259+CQ274*CQ259+CR274*CR259+CS274*CS259</f>
        <v>0</v>
      </c>
      <c r="DE259" s="2504">
        <f>E275*E259+F275*F259+G275*G259+H275*H259+I275*I259+J275*J259+K275*K259+L275*L259+M275*M259+N275*N259+O275*O259+P275*P259+Q275*Q259+R275*R259+S275*S259+T275*T259+U275*U259+V275*V259+W275*W259+X275*X259+Y275*Y259+Z275*Z259+AA275*AA259+AB275*AB259+AC275*AC259+AD275*AD259+AE275*AE259+AF275*AF259+AG275*AG259+AH275*AH259+AI275*AI259+AJ275*AJ259+AK275*AK259+AL275*AL259+AM275*AM259+AN275*AN259+AO275*AO259+AP275*AP259+AQ275*AQ259+AR275*AR259+AS275*AS259+AT275*AT259+AU275*AU259+AV275*AV259+AW275*AW259+AX275*AX259+AY275*AY259+AZ275*AZ259+BA275*BA259+BB275*BB259+BC275*BC259+BD275*BD259+BE275*BE259+BF275*BF259+BG275*BG259+BH275*BH259+BI275*BI259+BJ275*BJ259+BK275*BK259+BL275*BL259+BM275*BM259+BN275*BN259+BO275*BO259+BP275*BP259+BQ275*BQ259+BR275*BR259+BS275*BS259+BT275*BT259+BU275*BU259+BV275*BV259+BW275*BW259+BX275*BX259+BY275*BY259+BZ275*BZ259+CA275*CA259+CB275*CB259+CC275*CC259+CD275*CD259+CE275*CE259+CF275*CF259+CG275*CG259+CH275*CH259+CI275*CI259+CJ275*CJ259+CK275*CK259+CL275*CL259+CM275*CM259+CN275*CN259+CO275*CO259+CP275*CP259+CQ275*CQ259+CR275*CR259+CS275*CS259</f>
        <v>0</v>
      </c>
      <c r="DF259" s="2504">
        <f>E276*E259+F276*F259+G276*G259+H276*H259+I276*I259+J276*J259+K276*K259+L276*L259+M276*M259+N276*N259+O276*O259+P276*P259+Q276*Q259+R276*R259+S276*S259+T276*T259+U276*U259+V276*V259+W276*W259+X276*X259+Y276*Y259+Z276*Z259+AA276*AA259+AB276*AB259+AC276*AC259+AD276*AD259+AE276*AE259+AF276*AF259+AG276*AG259+AH276*AH259+AI276*AI259+AJ276*AJ259+AK276*AK259+AL276*AL259+AM276*AM259+AN276*AN259+AO276*AO259+AP276*AP259+AQ276*AQ259+AR276*AR259+AS276*AS259+AT276*AT259+AU276*AU259+AV276*AV259+AW276*AW259+AX276*AX259+AY276*AY259+AZ276*AZ259+BA276*BA259+BB276*BB259+BC276*BC259+BD276*BD259+BE276*BE259+BF276*BF259+BG276*BG259+BH276*BH259+BI276*BI259+BJ276*BJ259+BK276*BK259+BL276*BL259+BM276*BM259+BN276*BN259+BO276*BO259+BP276*BP259+BQ276*BQ259+BR276*BR259+BS276*BS259+BT276*BT259+BU276*BU259+BV276*BV259+BW276*BW259+BX276*BX259+BY276*BY259+BZ276*BZ259+CA276*CA259+CB276*CB259+CC276*CC259+CD276*CD259+CE276*CE259+CF276*CF259+CG276*CG259+CH276*CH259+CI276*CI259+CJ276*CJ259+CK276*CK259+CL276*CL259+CM276*CM259+CN276*CN259+CO276*CO259+CP276*CP259+CQ276*CQ259+CR276*CR259+CS276*CS259</f>
        <v>0</v>
      </c>
    </row>
    <row r="260" spans="2:110" x14ac:dyDescent="0.25">
      <c r="B260" s="1536">
        <v>118</v>
      </c>
      <c r="C260" s="578" t="s">
        <v>5304</v>
      </c>
      <c r="D260" s="1412" t="s">
        <v>3610</v>
      </c>
      <c r="E260" s="487">
        <f>0</f>
        <v>0</v>
      </c>
      <c r="F260" s="487">
        <f>0</f>
        <v>0</v>
      </c>
      <c r="G260" s="487">
        <f>0</f>
        <v>0</v>
      </c>
      <c r="H260" s="487">
        <f>0</f>
        <v>0</v>
      </c>
      <c r="I260" s="487">
        <f>0</f>
        <v>0</v>
      </c>
      <c r="J260" s="1474">
        <f>0</f>
        <v>0</v>
      </c>
      <c r="K260" s="487">
        <f>0</f>
        <v>0</v>
      </c>
      <c r="L260" s="487">
        <f>0</f>
        <v>0</v>
      </c>
      <c r="M260" s="487">
        <f>0</f>
        <v>0</v>
      </c>
      <c r="N260" s="487">
        <f>0</f>
        <v>0</v>
      </c>
      <c r="O260" s="487">
        <f>0</f>
        <v>0</v>
      </c>
      <c r="P260" s="487">
        <f>0</f>
        <v>0</v>
      </c>
      <c r="Q260" s="487">
        <f>0</f>
        <v>0</v>
      </c>
      <c r="R260" s="487">
        <f>0</f>
        <v>0</v>
      </c>
      <c r="S260" s="487">
        <f>0</f>
        <v>0</v>
      </c>
      <c r="T260" s="487">
        <f>0</f>
        <v>0</v>
      </c>
      <c r="U260" s="487">
        <f>0</f>
        <v>0</v>
      </c>
      <c r="V260" s="487">
        <f>0</f>
        <v>0</v>
      </c>
      <c r="W260" s="487">
        <f>0</f>
        <v>0</v>
      </c>
      <c r="X260" s="487">
        <f>0</f>
        <v>0</v>
      </c>
      <c r="Y260" s="487">
        <f>0</f>
        <v>0</v>
      </c>
      <c r="Z260" s="1474">
        <f>0</f>
        <v>0</v>
      </c>
      <c r="AA260" s="487">
        <f>0</f>
        <v>0</v>
      </c>
      <c r="AB260" s="487">
        <f>0</f>
        <v>0</v>
      </c>
      <c r="AC260" s="487">
        <f>0</f>
        <v>0</v>
      </c>
      <c r="AD260" s="487">
        <f>0</f>
        <v>0</v>
      </c>
      <c r="AE260" s="505">
        <f>S_NO_AOB/S_NO</f>
        <v>0.33333333333333337</v>
      </c>
      <c r="AF260" s="505">
        <f>S_NO_OHO/S_NO</f>
        <v>0.66666666666666674</v>
      </c>
      <c r="AG260" s="487">
        <f>0</f>
        <v>0</v>
      </c>
      <c r="AH260" s="487">
        <f>0</f>
        <v>0</v>
      </c>
      <c r="AI260" s="487">
        <f>0</f>
        <v>0</v>
      </c>
      <c r="AJ260" s="487">
        <f>0</f>
        <v>0</v>
      </c>
      <c r="AK260" s="1474">
        <f>0</f>
        <v>0</v>
      </c>
      <c r="AL260" s="487">
        <f>0</f>
        <v>0</v>
      </c>
      <c r="AM260" s="487">
        <f>0</f>
        <v>0</v>
      </c>
      <c r="AN260" s="487">
        <f>0</f>
        <v>0</v>
      </c>
      <c r="AO260" s="487">
        <f>0</f>
        <v>0</v>
      </c>
      <c r="AP260" s="487">
        <f>0</f>
        <v>0</v>
      </c>
      <c r="AQ260" s="1474">
        <f>0</f>
        <v>0</v>
      </c>
      <c r="AR260" s="487">
        <f>0</f>
        <v>0</v>
      </c>
      <c r="AS260" s="487">
        <f>0</f>
        <v>0</v>
      </c>
      <c r="AT260" s="487">
        <f>0</f>
        <v>0</v>
      </c>
      <c r="AU260" s="487">
        <f>0</f>
        <v>0</v>
      </c>
      <c r="AV260" s="487">
        <f>0</f>
        <v>0</v>
      </c>
      <c r="AW260" s="487">
        <f>0</f>
        <v>0</v>
      </c>
      <c r="AX260" s="487">
        <f>0</f>
        <v>0</v>
      </c>
      <c r="AY260" s="487">
        <f>0</f>
        <v>0</v>
      </c>
      <c r="AZ260" s="487">
        <f>0</f>
        <v>0</v>
      </c>
      <c r="BA260" s="487">
        <f>0</f>
        <v>0</v>
      </c>
      <c r="BB260" s="487">
        <f>0</f>
        <v>0</v>
      </c>
      <c r="BC260" s="487">
        <f>0</f>
        <v>0</v>
      </c>
      <c r="BD260" s="487">
        <f>0</f>
        <v>0</v>
      </c>
      <c r="BE260" s="487">
        <f>0</f>
        <v>0</v>
      </c>
      <c r="BF260" s="487">
        <f>0</f>
        <v>0</v>
      </c>
      <c r="BG260" s="487">
        <f>0</f>
        <v>0</v>
      </c>
      <c r="BH260" s="487">
        <f>0</f>
        <v>0</v>
      </c>
      <c r="BI260" s="487">
        <f>0</f>
        <v>0</v>
      </c>
      <c r="BJ260" s="487">
        <f>0</f>
        <v>0</v>
      </c>
      <c r="BK260" s="487">
        <f>0</f>
        <v>0</v>
      </c>
      <c r="BL260" s="487">
        <f>0</f>
        <v>0</v>
      </c>
      <c r="BM260" s="487">
        <f>0</f>
        <v>0</v>
      </c>
      <c r="BN260" s="487">
        <f>0</f>
        <v>0</v>
      </c>
      <c r="BO260" s="487">
        <f>0</f>
        <v>0</v>
      </c>
      <c r="BP260" s="487">
        <f>0</f>
        <v>0</v>
      </c>
      <c r="BQ260" s="487">
        <f>0</f>
        <v>0</v>
      </c>
      <c r="BR260" s="487">
        <f>0</f>
        <v>0</v>
      </c>
      <c r="BS260" s="487">
        <f>0</f>
        <v>0</v>
      </c>
      <c r="BT260" s="487">
        <f>0</f>
        <v>0</v>
      </c>
      <c r="BU260" s="487">
        <f>0</f>
        <v>0</v>
      </c>
      <c r="BV260" s="487">
        <f>0</f>
        <v>0</v>
      </c>
      <c r="BW260" s="1474">
        <f>0</f>
        <v>0</v>
      </c>
      <c r="BX260" s="1474">
        <f>0</f>
        <v>0</v>
      </c>
      <c r="BY260" s="1474">
        <f>0</f>
        <v>0</v>
      </c>
      <c r="BZ260" s="1474">
        <f>0</f>
        <v>0</v>
      </c>
      <c r="CA260" s="487">
        <f>0</f>
        <v>0</v>
      </c>
      <c r="CB260" s="487">
        <f>0</f>
        <v>0</v>
      </c>
      <c r="CC260" s="1474">
        <f>0</f>
        <v>0</v>
      </c>
      <c r="CD260" s="487">
        <f>0</f>
        <v>0</v>
      </c>
      <c r="CE260" s="487">
        <f>0</f>
        <v>0</v>
      </c>
      <c r="CF260" s="487">
        <f>0</f>
        <v>0</v>
      </c>
      <c r="CG260" s="487">
        <f>0</f>
        <v>0</v>
      </c>
      <c r="CH260" s="487">
        <f>0</f>
        <v>0</v>
      </c>
      <c r="CI260" s="487">
        <f>0</f>
        <v>0</v>
      </c>
      <c r="CJ260" s="487">
        <f>0</f>
        <v>0</v>
      </c>
      <c r="CK260" s="487">
        <f>0</f>
        <v>0</v>
      </c>
      <c r="CL260" s="487">
        <f>0</f>
        <v>0</v>
      </c>
      <c r="CM260" s="487">
        <f>0</f>
        <v>0</v>
      </c>
      <c r="CN260" s="487">
        <f>0</f>
        <v>0</v>
      </c>
      <c r="CO260" s="487">
        <f>0</f>
        <v>0</v>
      </c>
      <c r="CP260" s="488">
        <f>0</f>
        <v>0</v>
      </c>
      <c r="CQ260" s="548">
        <f>-Δ_atm</f>
        <v>-1</v>
      </c>
      <c r="CR260" s="487">
        <f>0</f>
        <v>0</v>
      </c>
      <c r="CS260" s="487">
        <f>0</f>
        <v>0</v>
      </c>
      <c r="CT260" s="2487">
        <f>k_LaGNO_sur*(S_GNO_sur_sat-S_NO)</f>
        <v>40.868099999999998</v>
      </c>
      <c r="CV260" s="2502">
        <f>E266*E260+F266*F260+G266*G260+H266*H260+I266*I260+J266*J260+K266*K260+L266*L260+M266*M260+N266*N260+O266*O260+P266*P260+Q266*Q260+R266*R260+S266*S260+T266*T260+U266*U260+V266*V260+W266*W260+X266*X260+Y266*Y260+Z266*Z260+AA266*AA260+AB266*AB260+AC266*AC260+AD266*AD260+AE266*AE260+AF266*AF260+AG266*AG260+AH266*AH260+AI266*AI260+AJ266*AJ260+AK266*AK260+AL266*AL260+AM266*AM260+AN266*AN260+AO266*AO260+AP266*AP260+AQ266*AQ260+AR266*AR260+AS266*AS260+AT266*AT260+AU266*AU260+AV266*AV260+AW266*AW260+AX266*AX260+AY266*AY260+AZ266*AZ260+BA266*BA260+BB266*BB260+BC266*BC260+BD266*BD260+BE266*BE260+BF266*BF260+BG266*BG260+BH266*BH260+BI266*BI260+BJ266*BJ260+BK266*BK260+BL266*BL260+BM266*BM260+BN266*BN260+BO266*BO260+BP266*BP260+BQ266*BQ260+BR266*BR260+BS266*BS260+BT266*BT260+BU266*BU260+BV266*BV260+BW266*BW260+BX266*BX260+BY266*BY260+BZ266*BZ260+CA266*CA260+CB266*CB260+CC266*CC260+CD266*CD260+CE266*CE260+CF266*CF260+CG266*CG260+CH266*CH260+CI266*CI260+CJ266*CJ260+CK266*CK260+CL266*CL260+CM266*CM260+CN266*CN260+CO266*CO260+CP266*CP260+CQ266*CQ260+CR266*CR260+CS266*CS260</f>
        <v>-4.4408920985006262E-16</v>
      </c>
      <c r="CW260" s="2502">
        <f>E267*E260+F267*F260+G267*G260+H267*H260+I267*I260+J267*J260+K267*K260+L267*L260+M267*M260+N267*N260+O267*O260+P267*P260+Q267*Q260+R267*R260+S267*S260+T267*T260+U267*U260+V267*V260+W267*W260+X267*X260+Y267*Y260+Z267*Z260+AA267*AA260+AB267*AB260+AC267*AC260+AD267*AD260+AE267*AE260+AF267*AF260+AG267*AG260+AH267*AH260+AI267*AI260+AJ267*AJ260+AK267*AK260+AL267*AL260+AM267*AM260+AN267*AN260+AO267*AO260+AP267*AP260+AQ267*AQ260+AR267*AR260+AS267*AS260+AT267*AT260+AU267*AU260+AV267*AV260+AW267*AW260+AX267*AX260+AY267*AY260+AZ267*AZ260+BA267*BA260+BB267*BB260+BC267*BC260+BD267*BD260+BE267*BE260+BF267*BF260+BG267*BG260+BH267*BH260+BI267*BI260+BJ267*BJ260+BK267*BK260+BL267*BL260+BM267*BM260+BN267*BN260+BO267*BO260+BP267*BP260+BQ267*BQ260+BR267*BR260+BS267*BS260+BT267*BT260+BU267*BU260+BV267*BV260+BW267*BW260+BX267*BX260+BY267*BY260+BZ267*BZ260+CA267*CA260+CB267*CB260+CC267*CC260+CD267*CD260+CE267*CE260+CF267*CF260+CG267*CG260+CH267*CH260+CI267*CI260+CJ267*CJ260+CK267*CK260+CL267*CL260+CM267*CM260+CN267*CN260+CO267*CO260+CP267*CP260+CQ267*CQ260+CR267*CR260+CS267*CS260</f>
        <v>0</v>
      </c>
      <c r="CX260" s="2503">
        <f>E268*E260+F268*F260+G268*G260+H268*H260+I268*I260+J268*J260+K268*K260+L268*L260+M268*M260+N268*N260+O268*O260+P268*P260+Q268*Q260+R268*R260+S268*S260+T268*T260+U268*U260+V268*V260+W268*W260+X268*X260+Y268*Y260+Z268*Z260+AA268*AA260+AB268*AB260+AC268*AC260+AD268*AD260+AE268*AE260+AF268*AF260+AG268*AG260+AH268*AH260+AI268*AI260+AJ268*AJ260+AK268*AK260+AL268*AL260+AM268*AM260+AN268*AN260+AO268*AO260+AP268*AP260+AQ268*AQ260+AR268*AR260+AS268*AS260+AT268*AT260+AU268*AU260+AV268*AV260+AW268*AW260+AX268*AX260+AY268*AY260+AZ268*AZ260+BA268*BA260+BB268*BB260+BC268*BC260+BD268*BD260+BE268*BE260+BF268*BF260+BG268*BG260+BH268*BH260+BI268*BI260+BJ268*BJ260+BK268*BK260+BL268*BL260+BM268*BM260+BN268*BN260+BO268*BO260+BP268*BP260+BQ268*BQ260+BR268*BR260+BS268*BS260+BT268*BT260+BU268*BU260+BV268*BV260+BW268*BW260+BX268*BX260+BY268*BY260+BZ268*BZ260+CA268*CA260+CB268*CB260+CC268*CC260+CD268*CD260+CE268*CE260+CF268*CF260+CG268*CG260+CH268*CH260+CI268*CI260+CJ268*CJ260+CK268*CK260+CL268*CL260+CM268*CM260+CN268*CN260+CO268*CO260+CP268*CP260+CQ268*CQ260+CR268*CR260+CS268*CS260</f>
        <v>0</v>
      </c>
      <c r="CY260" s="2504">
        <f>E269*E260+F269*F260+G269*G260+H269*H260+I269*I260+J269*J260+K269*K260+L269*L260+M269*M260+N269*N260+O269*O260+P269*P260+Q269*Q260+R269*R260+S269*S260+T269*T260+U269*U260+V269*V260+W269*W260+X269*X260+Y269*Y260+Z269*Z260+AA269*AA260+AB269*AB260+AC269*AC260+AD269*AD260+AE269*AE260+AF269*AF260+AG269*AG260+AH269*AH260+AI269*AI260+AJ269*AJ260+AK269*AK260+AL269*AL260+AM269*AM260+AN269*AN260+AO269*AO260+AP269*AP260+AQ269*AQ260+AR269*AR260+AS269*AS260+AT269*AT260+AU269*AU260+AV269*AV260+AW269*AW260+AX269*AX260+AY269*AY260+AZ269*AZ260+BA269*BA260+BB269*BB260+BC269*BC260+BD269*BD260+BE269*BE260+BF269*BF260+BG269*BG260+BH269*BH260+BI269*BI260+BJ269*BJ260+BK269*BK260+BL269*BL260+BM269*BM260+BN269*BN260+BO269*BO260+BP269*BP260+BQ269*BQ260+BR269*BR260+BS269*BS260+BT269*BT260+BU269*BU260+BV269*BV260+BW269*BW260+BX269*BX260+BY269*BY260+BZ269*BZ260+CA269*CA260+CB269*CB260+CC269*CC260+CD269*CD260+CE269*CE260+CF269*CF260+CG269*CG260+CH269*CH260+CI269*CI260+CJ269*CJ260+CK269*CK260+CL269*CL260+CM269*CM260+CN269*CN260+CO269*CO260+CP269*CP260+CQ269*CQ260+CR269*CR260+CS269*CS260</f>
        <v>0</v>
      </c>
      <c r="CZ260" s="2504">
        <f>E270*E260+F270*F260+G270*G260+H270*H260+I270*I260+J270*J260+K270*K260+L270*L260+M270*M260+N270*N260+O270*O260+P270*P260+Q270*Q260+R270*R260+S270*S260+T270*T260+U270*U260+V270*V260+W270*W260+X270*X260+Y270*Y260+Z270*Z260+AA270*AA260+AB270*AB260+AC270*AC260+AD270*AD260+AE270*AE260+AF270*AF260+AG270*AG260+AH270*AH260+AI270*AI260+AJ270*AJ260+AK270*AK260+AL270*AL260+AM270*AM260+AN270*AN260+AO270*AO260+AP270*AP260+AQ270*AQ260+AR270*AR260+AS270*AS260+AT270*AT260+AU270*AU260+AV270*AV260+AW270*AW260+AX270*AX260+AY270*AY260+AZ270*AZ260+BA270*BA260+BB270*BB260+BC270*BC260+BD270*BD260+BE270*BE260+BF270*BF260+BG270*BG260+BH270*BH260+BI270*BI260+BJ270*BJ260+BK270*BK260+BL270*BL260+BM270*BM260+BN270*BN260+BO270*BO260+BP270*BP260+BQ270*BQ260+BR270*BR260+BS270*BS260+BT270*BT260+BU270*BU260+BV270*BV260+BW270*BW260+BX270*BX260+BY270*BY260+BZ270*BZ260+CA270*CA260+CB270*CB260+CC270*CC260+CD270*CD260+CE270*CE260+CF270*CF260+CG270*CG260+CH270*CH260+CI270*CI260+CJ270*CJ260+CK270*CK260+CL270*CL260+CM270*CM260+CN270*CN260+CO270*CO260+CP270*CP260+CQ270*CQ260+CR270*CR260+CS270*CS260</f>
        <v>0</v>
      </c>
      <c r="DA260" s="2504">
        <f>E271*E260+F271*F260+G271*G260+H271*H260+I271*I260+J271*J260+K271*K260+L271*L260+M271*M260+N271*N260+O271*O260+P271*P260+Q271*Q260+R271*R260+S271*S260+T271*T260+U271*U260+V271*V260+W271*W260+X271*X260+Y271*Y260+Z271*Z260+AA271*AA260+AB271*AB260+AC271*AC260+AD271*AD260+AE271*AE260+AF271*AF260+AG271*AG260+AH271*AH260+AI271*AI260+AJ271*AJ260+AK271*AK260+AL271*AL260+AM271*AM260+AN271*AN260+AO271*AO260+AP271*AP260+AQ271*AQ260+AR271*AR260+AS271*AS260+AT271*AT260+AU271*AU260+AV271*AV260+AW271*AW260+AX271*AX260+AY271*AY260+AZ271*AZ260+BA271*BA260+BB271*BB260+BC271*BC260+BD271*BD260+BE271*BE260+BF271*BF260+BG271*BG260+BH271*BH260+BI271*BI260+BJ271*BJ260+BK271*BK260+BL271*BL260+BM271*BM260+BN271*BN260+BO271*BO260+BP271*BP260+BQ271*BQ260+BR271*BR260+BS271*BS260+BT271*BT260+BU271*BU260+BV271*BV260+BW271*BW260+BX271*BX260+BY271*BY260+BZ271*BZ260+CA271*CA260+CB271*CB260+CC271*CC260+CD271*CD260+CE271*CE260+CF271*CF260+CG271*CG260+CH271*CH260+CI271*CI260+CJ271*CJ260+CK271*CK260+CL271*CL260+CM271*CM260+CN271*CN260+CO271*CO260+CP271*CP260+CQ271*CQ260+CR271*CR260+CS271*CS260</f>
        <v>0</v>
      </c>
      <c r="DB260" s="2504">
        <f>E272*E260+F272*F260+G272*G260+H272*H260+I272*I260+J272*J260+K272*K260+L272*L260+M272*M260+N272*N260+O272*O260+P272*P260+Q272*Q260+R272*R260+S272*S260+T272*T260+U272*U260+V272*V260+W272*W260+X272*X260+Y272*Y260+Z272*Z260+AA272*AA260+AB272*AB260+AC272*AC260+AD272*AD260+AE272*AE260+AF272*AF260+AG272*AG260+AH272*AH260+AI272*AI260+AJ272*AJ260+AK272*AK260+AL272*AL260+AM272*AM260+AN272*AN260+AO272*AO260+AP272*AP260+AQ272*AQ260+AR272*AR260+AS272*AS260+AT272*AT260+AU272*AU260+AV272*AV260+AW272*AW260+AX272*AX260+AY272*AY260+AZ272*AZ260+BA272*BA260+BB272*BB260+BC272*BC260+BD272*BD260+BE272*BE260+BF272*BF260+BG272*BG260+BH272*BH260+BI272*BI260+BJ272*BJ260+BK272*BK260+BL272*BL260+BM272*BM260+BN272*BN260+BO272*BO260+BP272*BP260+BQ272*BQ260+BR272*BR260+BS272*BS260+BT272*BT260+BU272*BU260+BV272*BV260+BW272*BW260+BX272*BX260+BY272*BY260+BZ272*BZ260+CA272*CA260+CB272*CB260+CC272*CC260+CD272*CD260+CE272*CE260+CF272*CF260+CG272*CG260+CH272*CH260+CI272*CI260+CJ272*CJ260+CK272*CK260+CL272*CL260+CM272*CM260+CN272*CN260+CO272*CO260+CP272*CP260+CQ272*CQ260+CR272*CR260+CS272*CS260</f>
        <v>0</v>
      </c>
      <c r="DC260" s="2504">
        <f>E273*E260+F273*F260+G273*G260+H273*H260+I273*I260+J273*J260+K273*K260+L273*L260+M273*M260+N273*N260+O273*O260+P273*P260+Q273*Q260+R273*R260+S273*S260+T273*T260+U273*U260+V273*V260+W273*W260+X273*X260+Y273*Y260+Z273*Z260+AA273*AA260+AB273*AB260+AC273*AC260+AD273*AD260+AE273*AE260+AF273*AF260+AG273*AG260+AH273*AH260+AI273*AI260+AJ273*AJ260+AK273*AK260+AL273*AL260+AM273*AM260+AN273*AN260+AO273*AO260+AP273*AP260+AQ273*AQ260+AR273*AR260+AS273*AS260+AT273*AT260+AU273*AU260+AV273*AV260+AW273*AW260+AX273*AX260+AY273*AY260+AZ273*AZ260+BA273*BA260+BB273*BB260+BC273*BC260+BD273*BD260+BE273*BE260+BF273*BF260+BG273*BG260+BH273*BH260+BI273*BI260+BJ273*BJ260+BK273*BK260+BL273*BL260+BM273*BM260+BN273*BN260+BO273*BO260+BP273*BP260+BQ273*BQ260+BR273*BR260+BS273*BS260+BT273*BT260+BU273*BU260+BV273*BV260+BW273*BW260+BX273*BX260+BY273*BY260+BZ273*BZ260+CA273*CA260+CB273*CB260+CC273*CC260+CD273*CD260+CE273*CE260+CF273*CF260+CG273*CG260+CH273*CH260+CI273*CI260+CJ273*CJ260+CK273*CK260+CL273*CL260+CM273*CM260+CN273*CN260+CO273*CO260+CP273*CP260+CQ273*CQ260+CR273*CR260+CS273*CS260</f>
        <v>0</v>
      </c>
      <c r="DD260" s="2504">
        <f>E274*E260+F274*F260+G274*G260+H274*H260+I274*I260+J274*J260+K274*K260+L274*L260+M274*M260+N274*N260+O274*O260+P274*P260+Q274*Q260+R274*R260+S274*S260+T274*T260+U274*U260+V274*V260+W274*W260+X274*X260+Y274*Y260+Z274*Z260+AA274*AA260+AB274*AB260+AC274*AC260+AD274*AD260+AE274*AE260+AF274*AF260+AG274*AG260+AH274*AH260+AI274*AI260+AJ274*AJ260+AK274*AK260+AL274*AL260+AM274*AM260+AN274*AN260+AO274*AO260+AP274*AP260+AQ274*AQ260+AR274*AR260+AS274*AS260+AT274*AT260+AU274*AU260+AV274*AV260+AW274*AW260+AX274*AX260+AY274*AY260+AZ274*AZ260+BA274*BA260+BB274*BB260+BC274*BC260+BD274*BD260+BE274*BE260+BF274*BF260+BG274*BG260+BH274*BH260+BI274*BI260+BJ274*BJ260+BK274*BK260+BL274*BL260+BM274*BM260+BN274*BN260+BO274*BO260+BP274*BP260+BQ274*BQ260+BR274*BR260+BS274*BS260+BT274*BT260+BU274*BU260+BV274*BV260+BW274*BW260+BX274*BX260+BY274*BY260+BZ274*BZ260+CA274*CA260+CB274*CB260+CC274*CC260+CD274*CD260+CE274*CE260+CF274*CF260+CG274*CG260+CH274*CH260+CI274*CI260+CJ274*CJ260+CK274*CK260+CL274*CL260+CM274*CM260+CN274*CN260+CO274*CO260+CP274*CP260+CQ274*CQ260+CR274*CR260+CS274*CS260</f>
        <v>0</v>
      </c>
      <c r="DE260" s="2504">
        <f>E275*E260+F275*F260+G275*G260+H275*H260+I275*I260+J275*J260+K275*K260+L275*L260+M275*M260+N275*N260+O275*O260+P275*P260+Q275*Q260+R275*R260+S275*S260+T275*T260+U275*U260+V275*V260+W275*W260+X275*X260+Y275*Y260+Z275*Z260+AA275*AA260+AB275*AB260+AC275*AC260+AD275*AD260+AE275*AE260+AF275*AF260+AG275*AG260+AH275*AH260+AI275*AI260+AJ275*AJ260+AK275*AK260+AL275*AL260+AM275*AM260+AN275*AN260+AO275*AO260+AP275*AP260+AQ275*AQ260+AR275*AR260+AS275*AS260+AT275*AT260+AU275*AU260+AV275*AV260+AW275*AW260+AX275*AX260+AY275*AY260+AZ275*AZ260+BA275*BA260+BB275*BB260+BC275*BC260+BD275*BD260+BE275*BE260+BF275*BF260+BG275*BG260+BH275*BH260+BI275*BI260+BJ275*BJ260+BK275*BK260+BL275*BL260+BM275*BM260+BN275*BN260+BO275*BO260+BP275*BP260+BQ275*BQ260+BR275*BR260+BS275*BS260+BT275*BT260+BU275*BU260+BV275*BV260+BW275*BW260+BX275*BX260+BY275*BY260+BZ275*BZ260+CA275*CA260+CB275*CB260+CC275*CC260+CD275*CD260+CE275*CE260+CF275*CF260+CG275*CG260+CH275*CH260+CI275*CI260+CJ275*CJ260+CK275*CK260+CL275*CL260+CM275*CM260+CN275*CN260+CO275*CO260+CP275*CP260+CQ275*CQ260+CR275*CR260+CS275*CS260</f>
        <v>0</v>
      </c>
      <c r="DF260" s="2504">
        <f>E276*E260+F276*F260+G276*G260+H276*H260+I276*I260+J276*J260+K276*K260+L276*L260+M276*M260+N276*N260+O276*O260+P276*P260+Q276*Q260+R276*R260+S276*S260+T276*T260+U276*U260+V276*V260+W276*W260+X276*X260+Y276*Y260+Z276*Z260+AA276*AA260+AB276*AB260+AC276*AC260+AD276*AD260+AE276*AE260+AF276*AF260+AG276*AG260+AH276*AH260+AI276*AI260+AJ276*AJ260+AK276*AK260+AL276*AL260+AM276*AM260+AN276*AN260+AO276*AO260+AP276*AP260+AQ276*AQ260+AR276*AR260+AS276*AS260+AT276*AT260+AU276*AU260+AV276*AV260+AW276*AW260+AX276*AX260+AY276*AY260+AZ276*AZ260+BA276*BA260+BB276*BB260+BC276*BC260+BD276*BD260+BE276*BE260+BF276*BF260+BG276*BG260+BH276*BH260+BI276*BI260+BJ276*BJ260+BK276*BK260+BL276*BL260+BM276*BM260+BN276*BN260+BO276*BO260+BP276*BP260+BQ276*BQ260+BR276*BR260+BS276*BS260+BT276*BT260+BU276*BU260+BV276*BV260+BW276*BW260+BX276*BX260+BY276*BY260+BZ276*BZ260+CA276*CA260+CB276*CB260+CC276*CC260+CD276*CD260+CE276*CE260+CF276*CF260+CG276*CG260+CH276*CH260+CI276*CI260+CJ276*CJ260+CK276*CK260+CL276*CL260+CM276*CM260+CN276*CN260+CO276*CO260+CP276*CP260+CQ276*CQ260+CR276*CR260+CS276*CS260</f>
        <v>0</v>
      </c>
    </row>
    <row r="261" spans="2:110" x14ac:dyDescent="0.25">
      <c r="B261" s="1536">
        <v>119</v>
      </c>
      <c r="C261" s="578" t="s">
        <v>5305</v>
      </c>
      <c r="D261" s="1412" t="s">
        <v>3611</v>
      </c>
      <c r="E261" s="487">
        <f>0</f>
        <v>0</v>
      </c>
      <c r="F261" s="487">
        <f>0</f>
        <v>0</v>
      </c>
      <c r="G261" s="487">
        <f>0</f>
        <v>0</v>
      </c>
      <c r="H261" s="487">
        <f>0</f>
        <v>0</v>
      </c>
      <c r="I261" s="487">
        <f>0</f>
        <v>0</v>
      </c>
      <c r="J261" s="1474">
        <f>0</f>
        <v>0</v>
      </c>
      <c r="K261" s="487">
        <f>0</f>
        <v>0</v>
      </c>
      <c r="L261" s="487">
        <f>0</f>
        <v>0</v>
      </c>
      <c r="M261" s="487">
        <f>0</f>
        <v>0</v>
      </c>
      <c r="N261" s="487">
        <f>0</f>
        <v>0</v>
      </c>
      <c r="O261" s="487">
        <f>0</f>
        <v>0</v>
      </c>
      <c r="P261" s="487">
        <f>0</f>
        <v>0</v>
      </c>
      <c r="Q261" s="487">
        <f>0</f>
        <v>0</v>
      </c>
      <c r="R261" s="487">
        <f>0</f>
        <v>0</v>
      </c>
      <c r="S261" s="487">
        <f>0</f>
        <v>0</v>
      </c>
      <c r="T261" s="487">
        <f>0</f>
        <v>0</v>
      </c>
      <c r="U261" s="487">
        <f>0</f>
        <v>0</v>
      </c>
      <c r="V261" s="487">
        <f>0</f>
        <v>0</v>
      </c>
      <c r="W261" s="487">
        <f>0</f>
        <v>0</v>
      </c>
      <c r="X261" s="487">
        <f>0</f>
        <v>0</v>
      </c>
      <c r="Y261" s="487">
        <f>0</f>
        <v>0</v>
      </c>
      <c r="Z261" s="1474">
        <f>0</f>
        <v>0</v>
      </c>
      <c r="AA261" s="487">
        <f>0</f>
        <v>0</v>
      </c>
      <c r="AB261" s="487">
        <f>0</f>
        <v>0</v>
      </c>
      <c r="AC261" s="487">
        <f>0</f>
        <v>0</v>
      </c>
      <c r="AD261" s="487">
        <f>0</f>
        <v>0</v>
      </c>
      <c r="AE261" s="505">
        <f>0</f>
        <v>0</v>
      </c>
      <c r="AF261" s="505">
        <f>0</f>
        <v>0</v>
      </c>
      <c r="AG261" s="487">
        <f>1</f>
        <v>1</v>
      </c>
      <c r="AH261" s="487">
        <f>0</f>
        <v>0</v>
      </c>
      <c r="AI261" s="487">
        <f>0</f>
        <v>0</v>
      </c>
      <c r="AJ261" s="487">
        <f>0</f>
        <v>0</v>
      </c>
      <c r="AK261" s="1474">
        <f>0</f>
        <v>0</v>
      </c>
      <c r="AL261" s="487">
        <f>0</f>
        <v>0</v>
      </c>
      <c r="AM261" s="487">
        <f>0</f>
        <v>0</v>
      </c>
      <c r="AN261" s="487">
        <f>0</f>
        <v>0</v>
      </c>
      <c r="AO261" s="487">
        <f>0</f>
        <v>0</v>
      </c>
      <c r="AP261" s="487">
        <f>0</f>
        <v>0</v>
      </c>
      <c r="AQ261" s="1474">
        <f>0</f>
        <v>0</v>
      </c>
      <c r="AR261" s="487">
        <f>0</f>
        <v>0</v>
      </c>
      <c r="AS261" s="487">
        <f>0</f>
        <v>0</v>
      </c>
      <c r="AT261" s="487">
        <f>0</f>
        <v>0</v>
      </c>
      <c r="AU261" s="487">
        <f>0</f>
        <v>0</v>
      </c>
      <c r="AV261" s="487">
        <f>0</f>
        <v>0</v>
      </c>
      <c r="AW261" s="487">
        <f>0</f>
        <v>0</v>
      </c>
      <c r="AX261" s="487">
        <f>0</f>
        <v>0</v>
      </c>
      <c r="AY261" s="487">
        <f>0</f>
        <v>0</v>
      </c>
      <c r="AZ261" s="487">
        <f>0</f>
        <v>0</v>
      </c>
      <c r="BA261" s="487">
        <f>0</f>
        <v>0</v>
      </c>
      <c r="BB261" s="487">
        <f>0</f>
        <v>0</v>
      </c>
      <c r="BC261" s="487">
        <f>0</f>
        <v>0</v>
      </c>
      <c r="BD261" s="487">
        <f>0</f>
        <v>0</v>
      </c>
      <c r="BE261" s="487">
        <f>0</f>
        <v>0</v>
      </c>
      <c r="BF261" s="487">
        <f>0</f>
        <v>0</v>
      </c>
      <c r="BG261" s="487">
        <f>0</f>
        <v>0</v>
      </c>
      <c r="BH261" s="487">
        <f>0</f>
        <v>0</v>
      </c>
      <c r="BI261" s="487">
        <f>0</f>
        <v>0</v>
      </c>
      <c r="BJ261" s="487">
        <f>0</f>
        <v>0</v>
      </c>
      <c r="BK261" s="487">
        <f>0</f>
        <v>0</v>
      </c>
      <c r="BL261" s="487">
        <f>0</f>
        <v>0</v>
      </c>
      <c r="BM261" s="487">
        <f>0</f>
        <v>0</v>
      </c>
      <c r="BN261" s="487">
        <f>0</f>
        <v>0</v>
      </c>
      <c r="BO261" s="487">
        <f>0</f>
        <v>0</v>
      </c>
      <c r="BP261" s="487">
        <f>0</f>
        <v>0</v>
      </c>
      <c r="BQ261" s="487">
        <f>0</f>
        <v>0</v>
      </c>
      <c r="BR261" s="487">
        <f>0</f>
        <v>0</v>
      </c>
      <c r="BS261" s="487">
        <f>0</f>
        <v>0</v>
      </c>
      <c r="BT261" s="487">
        <f>0</f>
        <v>0</v>
      </c>
      <c r="BU261" s="487">
        <f>0</f>
        <v>0</v>
      </c>
      <c r="BV261" s="487">
        <f>0</f>
        <v>0</v>
      </c>
      <c r="BW261" s="1474">
        <f>0</f>
        <v>0</v>
      </c>
      <c r="BX261" s="1474">
        <f>0</f>
        <v>0</v>
      </c>
      <c r="BY261" s="1474">
        <f>0</f>
        <v>0</v>
      </c>
      <c r="BZ261" s="1474">
        <f>0</f>
        <v>0</v>
      </c>
      <c r="CA261" s="487">
        <f>0</f>
        <v>0</v>
      </c>
      <c r="CB261" s="487">
        <f>0</f>
        <v>0</v>
      </c>
      <c r="CC261" s="1474">
        <f>0</f>
        <v>0</v>
      </c>
      <c r="CD261" s="487">
        <f>0</f>
        <v>0</v>
      </c>
      <c r="CE261" s="487">
        <f>0</f>
        <v>0</v>
      </c>
      <c r="CF261" s="487">
        <f>0</f>
        <v>0</v>
      </c>
      <c r="CG261" s="487">
        <f>0</f>
        <v>0</v>
      </c>
      <c r="CH261" s="487">
        <f>0</f>
        <v>0</v>
      </c>
      <c r="CI261" s="487">
        <f>0</f>
        <v>0</v>
      </c>
      <c r="CJ261" s="487">
        <f>0</f>
        <v>0</v>
      </c>
      <c r="CK261" s="487">
        <f>0</f>
        <v>0</v>
      </c>
      <c r="CL261" s="487">
        <f>0</f>
        <v>0</v>
      </c>
      <c r="CM261" s="487">
        <f>0</f>
        <v>0</v>
      </c>
      <c r="CN261" s="487">
        <f>0</f>
        <v>0</v>
      </c>
      <c r="CO261" s="487">
        <f>0</f>
        <v>0</v>
      </c>
      <c r="CP261" s="488">
        <f>0</f>
        <v>0</v>
      </c>
      <c r="CQ261" s="487">
        <f>0</f>
        <v>0</v>
      </c>
      <c r="CR261" s="548">
        <f>-Δ_atm</f>
        <v>-1</v>
      </c>
      <c r="CS261" s="487">
        <f>0</f>
        <v>0</v>
      </c>
      <c r="CT261" s="2487">
        <f>k_LaGN2O_sur*(S_GN2O_sur_sat-S_N2O)</f>
        <v>40.922699999999999</v>
      </c>
      <c r="CV261" s="2502">
        <f>E266*E261+F266*F261+G266*G261+H266*H261+I266*I261+J266*J261+K266*K261+L266*L261+M266*M261+N266*N261+O266*O261+P266*P261+Q266*Q261+R266*R261+S266*S261+T266*T261+U266*U261+V266*V261+W266*W261+X266*X261+Y266*Y261+Z266*Z261+AA266*AA261+AB266*AB261+AC266*AC261+AD266*AD261+AE266*AE261+AF266*AF261+AG266*AG261+AH266*AH261+AI266*AI261+AJ266*AJ261+AK266*AK261+AL266*AL261+AM266*AM261+AN266*AN261+AO266*AO261+AP266*AP261+AQ266*AQ261+AR266*AR261+AS266*AS261+AT266*AT261+AU266*AU261+AV266*AV261+AW266*AW261+AX266*AX261+AY266*AY261+AZ266*AZ261+BA266*BA261+BB266*BB261+BC266*BC261+BD266*BD261+BE266*BE261+BF266*BF261+BG266*BG261+BH266*BH261+BI266*BI261+BJ266*BJ261+BK266*BK261+BL266*BL261+BM266*BM261+BN266*BN261+BO266*BO261+BP266*BP261+BQ266*BQ261+BR266*BR261+BS266*BS261+BT266*BT261+BU266*BU261+BV266*BV261+BW266*BW261+BX266*BX261+BY266*BY261+BZ266*BZ261+CA266*CA261+CB266*CB261+CC266*CC261+CD266*CD261+CE266*CE261+CF266*CF261+CG266*CG261+CH266*CH261+CI266*CI261+CJ266*CJ261+CK266*CK261+CL266*CL261+CM266*CM261+CN266*CN261+CO266*CO261+CP266*CP261+CQ266*CQ261+CR266*CR261+CS266*CS261</f>
        <v>0</v>
      </c>
      <c r="CW261" s="2502">
        <f>E267*E261+F267*F261+G267*G261+H267*H261+I267*I261+J267*J261+K267*K261+L267*L261+M267*M261+N267*N261+O267*O261+P267*P261+Q267*Q261+R267*R261+S267*S261+T267*T261+U267*U261+V267*V261+W267*W261+X267*X261+Y267*Y261+Z267*Z261+AA267*AA261+AB267*AB261+AC267*AC261+AD267*AD261+AE267*AE261+AF267*AF261+AG267*AG261+AH267*AH261+AI267*AI261+AJ267*AJ261+AK267*AK261+AL267*AL261+AM267*AM261+AN267*AN261+AO267*AO261+AP267*AP261+AQ267*AQ261+AR267*AR261+AS267*AS261+AT267*AT261+AU267*AU261+AV267*AV261+AW267*AW261+AX267*AX261+AY267*AY261+AZ267*AZ261+BA267*BA261+BB267*BB261+BC267*BC261+BD267*BD261+BE267*BE261+BF267*BF261+BG267*BG261+BH267*BH261+BI267*BI261+BJ267*BJ261+BK267*BK261+BL267*BL261+BM267*BM261+BN267*BN261+BO267*BO261+BP267*BP261+BQ267*BQ261+BR267*BR261+BS267*BS261+BT267*BT261+BU267*BU261+BV267*BV261+BW267*BW261+BX267*BX261+BY267*BY261+BZ267*BZ261+CA267*CA261+CB267*CB261+CC267*CC261+CD267*CD261+CE267*CE261+CF267*CF261+CG267*CG261+CH267*CH261+CI267*CI261+CJ267*CJ261+CK267*CK261+CL267*CL261+CM267*CM261+CN267*CN261+CO267*CO261+CP267*CP261+CQ267*CQ261+CR267*CR261+CS267*CS261</f>
        <v>0</v>
      </c>
      <c r="CX261" s="2503">
        <f>E268*E261+F268*F261+G268*G261+H268*H261+I268*I261+J268*J261+K268*K261+L268*L261+M268*M261+N268*N261+O268*O261+P268*P261+Q268*Q261+R268*R261+S268*S261+T268*T261+U268*U261+V268*V261+W268*W261+X268*X261+Y268*Y261+Z268*Z261+AA268*AA261+AB268*AB261+AC268*AC261+AD268*AD261+AE268*AE261+AF268*AF261+AG268*AG261+AH268*AH261+AI268*AI261+AJ268*AJ261+AK268*AK261+AL268*AL261+AM268*AM261+AN268*AN261+AO268*AO261+AP268*AP261+AQ268*AQ261+AR268*AR261+AS268*AS261+AT268*AT261+AU268*AU261+AV268*AV261+AW268*AW261+AX268*AX261+AY268*AY261+AZ268*AZ261+BA268*BA261+BB268*BB261+BC268*BC261+BD268*BD261+BE268*BE261+BF268*BF261+BG268*BG261+BH268*BH261+BI268*BI261+BJ268*BJ261+BK268*BK261+BL268*BL261+BM268*BM261+BN268*BN261+BO268*BO261+BP268*BP261+BQ268*BQ261+BR268*BR261+BS268*BS261+BT268*BT261+BU268*BU261+BV268*BV261+BW268*BW261+BX268*BX261+BY268*BY261+BZ268*BZ261+CA268*CA261+CB268*CB261+CC268*CC261+CD268*CD261+CE268*CE261+CF268*CF261+CG268*CG261+CH268*CH261+CI268*CI261+CJ268*CJ261+CK268*CK261+CL268*CL261+CM268*CM261+CN268*CN261+CO268*CO261+CP268*CP261+CQ268*CQ261+CR268*CR261+CS268*CS261</f>
        <v>0</v>
      </c>
      <c r="CY261" s="2504">
        <f>E269*E261+F269*F261+G269*G261+H269*H261+I269*I261+J269*J261+K269*K261+L269*L261+M269*M261+N269*N261+O269*O261+P269*P261+Q269*Q261+R269*R261+S269*S261+T269*T261+U269*U261+V269*V261+W269*W261+X269*X261+Y269*Y261+Z269*Z261+AA269*AA261+AB269*AB261+AC269*AC261+AD269*AD261+AE269*AE261+AF269*AF261+AG269*AG261+AH269*AH261+AI269*AI261+AJ269*AJ261+AK269*AK261+AL269*AL261+AM269*AM261+AN269*AN261+AO269*AO261+AP269*AP261+AQ269*AQ261+AR269*AR261+AS269*AS261+AT269*AT261+AU269*AU261+AV269*AV261+AW269*AW261+AX269*AX261+AY269*AY261+AZ269*AZ261+BA269*BA261+BB269*BB261+BC269*BC261+BD269*BD261+BE269*BE261+BF269*BF261+BG269*BG261+BH269*BH261+BI269*BI261+BJ269*BJ261+BK269*BK261+BL269*BL261+BM269*BM261+BN269*BN261+BO269*BO261+BP269*BP261+BQ269*BQ261+BR269*BR261+BS269*BS261+BT269*BT261+BU269*BU261+BV269*BV261+BW269*BW261+BX269*BX261+BY269*BY261+BZ269*BZ261+CA269*CA261+CB269*CB261+CC269*CC261+CD269*CD261+CE269*CE261+CF269*CF261+CG269*CG261+CH269*CH261+CI269*CI261+CJ269*CJ261+CK269*CK261+CL269*CL261+CM269*CM261+CN269*CN261+CO269*CO261+CP269*CP261+CQ269*CQ261+CR269*CR261+CS269*CS261</f>
        <v>0</v>
      </c>
      <c r="CZ261" s="2504">
        <f>E270*E261+F270*F261+G270*G261+H270*H261+I270*I261+J270*J261+K270*K261+L270*L261+M270*M261+N270*N261+O270*O261+P270*P261+Q270*Q261+R270*R261+S270*S261+T270*T261+U270*U261+V270*V261+W270*W261+X270*X261+Y270*Y261+Z270*Z261+AA270*AA261+AB270*AB261+AC270*AC261+AD270*AD261+AE270*AE261+AF270*AF261+AG270*AG261+AH270*AH261+AI270*AI261+AJ270*AJ261+AK270*AK261+AL270*AL261+AM270*AM261+AN270*AN261+AO270*AO261+AP270*AP261+AQ270*AQ261+AR270*AR261+AS270*AS261+AT270*AT261+AU270*AU261+AV270*AV261+AW270*AW261+AX270*AX261+AY270*AY261+AZ270*AZ261+BA270*BA261+BB270*BB261+BC270*BC261+BD270*BD261+BE270*BE261+BF270*BF261+BG270*BG261+BH270*BH261+BI270*BI261+BJ270*BJ261+BK270*BK261+BL270*BL261+BM270*BM261+BN270*BN261+BO270*BO261+BP270*BP261+BQ270*BQ261+BR270*BR261+BS270*BS261+BT270*BT261+BU270*BU261+BV270*BV261+BW270*BW261+BX270*BX261+BY270*BY261+BZ270*BZ261+CA270*CA261+CB270*CB261+CC270*CC261+CD270*CD261+CE270*CE261+CF270*CF261+CG270*CG261+CH270*CH261+CI270*CI261+CJ270*CJ261+CK270*CK261+CL270*CL261+CM270*CM261+CN270*CN261+CO270*CO261+CP270*CP261+CQ270*CQ261+CR270*CR261+CS270*CS261</f>
        <v>0</v>
      </c>
      <c r="DA261" s="2504">
        <f>E271*E261+F271*F261+G271*G261+H271*H261+I271*I261+J271*J261+K271*K261+L271*L261+M271*M261+N271*N261+O271*O261+P271*P261+Q271*Q261+R271*R261+S271*S261+T271*T261+U271*U261+V271*V261+W271*W261+X271*X261+Y271*Y261+Z271*Z261+AA271*AA261+AB271*AB261+AC271*AC261+AD271*AD261+AE271*AE261+AF271*AF261+AG271*AG261+AH271*AH261+AI271*AI261+AJ271*AJ261+AK271*AK261+AL271*AL261+AM271*AM261+AN271*AN261+AO271*AO261+AP271*AP261+AQ271*AQ261+AR271*AR261+AS271*AS261+AT271*AT261+AU271*AU261+AV271*AV261+AW271*AW261+AX271*AX261+AY271*AY261+AZ271*AZ261+BA271*BA261+BB271*BB261+BC271*BC261+BD271*BD261+BE271*BE261+BF271*BF261+BG271*BG261+BH271*BH261+BI271*BI261+BJ271*BJ261+BK271*BK261+BL271*BL261+BM271*BM261+BN271*BN261+BO271*BO261+BP271*BP261+BQ271*BQ261+BR271*BR261+BS271*BS261+BT271*BT261+BU271*BU261+BV271*BV261+BW271*BW261+BX271*BX261+BY271*BY261+BZ271*BZ261+CA271*CA261+CB271*CB261+CC271*CC261+CD271*CD261+CE271*CE261+CF271*CF261+CG271*CG261+CH271*CH261+CI271*CI261+CJ271*CJ261+CK271*CK261+CL271*CL261+CM271*CM261+CN271*CN261+CO271*CO261+CP271*CP261+CQ271*CQ261+CR271*CR261+CS271*CS261</f>
        <v>0</v>
      </c>
      <c r="DB261" s="2504">
        <f>E272*E261+F272*F261+G272*G261+H272*H261+I272*I261+J272*J261+K272*K261+L272*L261+M272*M261+N272*N261+O272*O261+P272*P261+Q272*Q261+R272*R261+S272*S261+T272*T261+U272*U261+V272*V261+W272*W261+X272*X261+Y272*Y261+Z272*Z261+AA272*AA261+AB272*AB261+AC272*AC261+AD272*AD261+AE272*AE261+AF272*AF261+AG272*AG261+AH272*AH261+AI272*AI261+AJ272*AJ261+AK272*AK261+AL272*AL261+AM272*AM261+AN272*AN261+AO272*AO261+AP272*AP261+AQ272*AQ261+AR272*AR261+AS272*AS261+AT272*AT261+AU272*AU261+AV272*AV261+AW272*AW261+AX272*AX261+AY272*AY261+AZ272*AZ261+BA272*BA261+BB272*BB261+BC272*BC261+BD272*BD261+BE272*BE261+BF272*BF261+BG272*BG261+BH272*BH261+BI272*BI261+BJ272*BJ261+BK272*BK261+BL272*BL261+BM272*BM261+BN272*BN261+BO272*BO261+BP272*BP261+BQ272*BQ261+BR272*BR261+BS272*BS261+BT272*BT261+BU272*BU261+BV272*BV261+BW272*BW261+BX272*BX261+BY272*BY261+BZ272*BZ261+CA272*CA261+CB272*CB261+CC272*CC261+CD272*CD261+CE272*CE261+CF272*CF261+CG272*CG261+CH272*CH261+CI272*CI261+CJ272*CJ261+CK272*CK261+CL272*CL261+CM272*CM261+CN272*CN261+CO272*CO261+CP272*CP261+CQ272*CQ261+CR272*CR261+CS272*CS261</f>
        <v>0</v>
      </c>
      <c r="DC261" s="2504">
        <f>E273*E261+F273*F261+G273*G261+H273*H261+I273*I261+J273*J261+K273*K261+L273*L261+M273*M261+N273*N261+O273*O261+P273*P261+Q273*Q261+R273*R261+S273*S261+T273*T261+U273*U261+V273*V261+W273*W261+X273*X261+Y273*Y261+Z273*Z261+AA273*AA261+AB273*AB261+AC273*AC261+AD273*AD261+AE273*AE261+AF273*AF261+AG273*AG261+AH273*AH261+AI273*AI261+AJ273*AJ261+AK273*AK261+AL273*AL261+AM273*AM261+AN273*AN261+AO273*AO261+AP273*AP261+AQ273*AQ261+AR273*AR261+AS273*AS261+AT273*AT261+AU273*AU261+AV273*AV261+AW273*AW261+AX273*AX261+AY273*AY261+AZ273*AZ261+BA273*BA261+BB273*BB261+BC273*BC261+BD273*BD261+BE273*BE261+BF273*BF261+BG273*BG261+BH273*BH261+BI273*BI261+BJ273*BJ261+BK273*BK261+BL273*BL261+BM273*BM261+BN273*BN261+BO273*BO261+BP273*BP261+BQ273*BQ261+BR273*BR261+BS273*BS261+BT273*BT261+BU273*BU261+BV273*BV261+BW273*BW261+BX273*BX261+BY273*BY261+BZ273*BZ261+CA273*CA261+CB273*CB261+CC273*CC261+CD273*CD261+CE273*CE261+CF273*CF261+CG273*CG261+CH273*CH261+CI273*CI261+CJ273*CJ261+CK273*CK261+CL273*CL261+CM273*CM261+CN273*CN261+CO273*CO261+CP273*CP261+CQ273*CQ261+CR273*CR261+CS273*CS261</f>
        <v>0</v>
      </c>
      <c r="DD261" s="2504">
        <f>E274*E261+F274*F261+G274*G261+H274*H261+I274*I261+J274*J261+K274*K261+L274*L261+M274*M261+N274*N261+O274*O261+P274*P261+Q274*Q261+R274*R261+S274*S261+T274*T261+U274*U261+V274*V261+W274*W261+X274*X261+Y274*Y261+Z274*Z261+AA274*AA261+AB274*AB261+AC274*AC261+AD274*AD261+AE274*AE261+AF274*AF261+AG274*AG261+AH274*AH261+AI274*AI261+AJ274*AJ261+AK274*AK261+AL274*AL261+AM274*AM261+AN274*AN261+AO274*AO261+AP274*AP261+AQ274*AQ261+AR274*AR261+AS274*AS261+AT274*AT261+AU274*AU261+AV274*AV261+AW274*AW261+AX274*AX261+AY274*AY261+AZ274*AZ261+BA274*BA261+BB274*BB261+BC274*BC261+BD274*BD261+BE274*BE261+BF274*BF261+BG274*BG261+BH274*BH261+BI274*BI261+BJ274*BJ261+BK274*BK261+BL274*BL261+BM274*BM261+BN274*BN261+BO274*BO261+BP274*BP261+BQ274*BQ261+BR274*BR261+BS274*BS261+BT274*BT261+BU274*BU261+BV274*BV261+BW274*BW261+BX274*BX261+BY274*BY261+BZ274*BZ261+CA274*CA261+CB274*CB261+CC274*CC261+CD274*CD261+CE274*CE261+CF274*CF261+CG274*CG261+CH274*CH261+CI274*CI261+CJ274*CJ261+CK274*CK261+CL274*CL261+CM274*CM261+CN274*CN261+CO274*CO261+CP274*CP261+CQ274*CQ261+CR274*CR261+CS274*CS261</f>
        <v>0</v>
      </c>
      <c r="DE261" s="2504">
        <f>E275*E261+F275*F261+G275*G261+H275*H261+I275*I261+J275*J261+K275*K261+L275*L261+M275*M261+N275*N261+O275*O261+P275*P261+Q275*Q261+R275*R261+S275*S261+T275*T261+U275*U261+V275*V261+W275*W261+X275*X261+Y275*Y261+Z275*Z261+AA275*AA261+AB275*AB261+AC275*AC261+AD275*AD261+AE275*AE261+AF275*AF261+AG275*AG261+AH275*AH261+AI275*AI261+AJ275*AJ261+AK275*AK261+AL275*AL261+AM275*AM261+AN275*AN261+AO275*AO261+AP275*AP261+AQ275*AQ261+AR275*AR261+AS275*AS261+AT275*AT261+AU275*AU261+AV275*AV261+AW275*AW261+AX275*AX261+AY275*AY261+AZ275*AZ261+BA275*BA261+BB275*BB261+BC275*BC261+BD275*BD261+BE275*BE261+BF275*BF261+BG275*BG261+BH275*BH261+BI275*BI261+BJ275*BJ261+BK275*BK261+BL275*BL261+BM275*BM261+BN275*BN261+BO275*BO261+BP275*BP261+BQ275*BQ261+BR275*BR261+BS275*BS261+BT275*BT261+BU275*BU261+BV275*BV261+BW275*BW261+BX275*BX261+BY275*BY261+BZ275*BZ261+CA275*CA261+CB275*CB261+CC275*CC261+CD275*CD261+CE275*CE261+CF275*CF261+CG275*CG261+CH275*CH261+CI275*CI261+CJ275*CJ261+CK275*CK261+CL275*CL261+CM275*CM261+CN275*CN261+CO275*CO261+CP275*CP261+CQ275*CQ261+CR275*CR261+CS275*CS261</f>
        <v>0</v>
      </c>
      <c r="DF261" s="2504">
        <f>E276*E261+F276*F261+G276*G261+H276*H261+I276*I261+J276*J261+K276*K261+L276*L261+M276*M261+N276*N261+O276*O261+P276*P261+Q276*Q261+R276*R261+S276*S261+T276*T261+U276*U261+V276*V261+W276*W261+X276*X261+Y276*Y261+Z276*Z261+AA276*AA261+AB276*AB261+AC276*AC261+AD276*AD261+AE276*AE261+AF276*AF261+AG276*AG261+AH276*AH261+AI276*AI261+AJ276*AJ261+AK276*AK261+AL276*AL261+AM276*AM261+AN276*AN261+AO276*AO261+AP276*AP261+AQ276*AQ261+AR276*AR261+AS276*AS261+AT276*AT261+AU276*AU261+AV276*AV261+AW276*AW261+AX276*AX261+AY276*AY261+AZ276*AZ261+BA276*BA261+BB276*BB261+BC276*BC261+BD276*BD261+BE276*BE261+BF276*BF261+BG276*BG261+BH276*BH261+BI276*BI261+BJ276*BJ261+BK276*BK261+BL276*BL261+BM276*BM261+BN276*BN261+BO276*BO261+BP276*BP261+BQ276*BQ261+BR276*BR261+BS276*BS261+BT276*BT261+BU276*BU261+BV276*BV261+BW276*BW261+BX276*BX261+BY276*BY261+BZ276*BZ261+CA276*CA261+CB276*CB261+CC276*CC261+CD276*CD261+CE276*CE261+CF276*CF261+CG276*CG261+CH276*CH261+CI276*CI261+CJ276*CJ261+CK276*CK261+CL276*CL261+CM276*CM261+CN276*CN261+CO276*CO261+CP276*CP261+CQ276*CQ261+CR276*CR261+CS276*CS261</f>
        <v>0</v>
      </c>
    </row>
    <row r="262" spans="2:110" ht="15.75" thickBot="1" x14ac:dyDescent="0.3">
      <c r="B262" s="1537">
        <v>120</v>
      </c>
      <c r="C262" s="1538" t="s">
        <v>5506</v>
      </c>
      <c r="D262" s="1413" t="s">
        <v>3080</v>
      </c>
      <c r="E262" s="387">
        <f>0</f>
        <v>0</v>
      </c>
      <c r="F262" s="387">
        <f>0</f>
        <v>0</v>
      </c>
      <c r="G262" s="387">
        <f>0</f>
        <v>0</v>
      </c>
      <c r="H262" s="387">
        <f>0</f>
        <v>0</v>
      </c>
      <c r="I262" s="387">
        <f>0</f>
        <v>0</v>
      </c>
      <c r="J262" s="1475">
        <f>0</f>
        <v>0</v>
      </c>
      <c r="K262" s="387">
        <f>0</f>
        <v>0</v>
      </c>
      <c r="L262" s="387">
        <f>0</f>
        <v>0</v>
      </c>
      <c r="M262" s="387">
        <f>0</f>
        <v>0</v>
      </c>
      <c r="N262" s="387">
        <f>0</f>
        <v>0</v>
      </c>
      <c r="O262" s="387">
        <f>0</f>
        <v>0</v>
      </c>
      <c r="P262" s="387">
        <f>0</f>
        <v>0</v>
      </c>
      <c r="Q262" s="387">
        <f>0</f>
        <v>0</v>
      </c>
      <c r="R262" s="387">
        <f>0</f>
        <v>0</v>
      </c>
      <c r="S262" s="387">
        <f>0</f>
        <v>0</v>
      </c>
      <c r="T262" s="387">
        <f>0</f>
        <v>0</v>
      </c>
      <c r="U262" s="387">
        <f>0</f>
        <v>0</v>
      </c>
      <c r="V262" s="387">
        <f>0</f>
        <v>0</v>
      </c>
      <c r="W262" s="387">
        <f>0</f>
        <v>0</v>
      </c>
      <c r="X262" s="387">
        <f>0</f>
        <v>0</v>
      </c>
      <c r="Y262" s="387">
        <f>0</f>
        <v>0</v>
      </c>
      <c r="Z262" s="1475">
        <f>0</f>
        <v>0</v>
      </c>
      <c r="AA262" s="387">
        <f>0</f>
        <v>0</v>
      </c>
      <c r="AB262" s="387">
        <f>0</f>
        <v>0</v>
      </c>
      <c r="AC262" s="387">
        <f>0</f>
        <v>0</v>
      </c>
      <c r="AD262" s="387">
        <f>0</f>
        <v>0</v>
      </c>
      <c r="AE262" s="387">
        <f>0</f>
        <v>0</v>
      </c>
      <c r="AF262" s="387">
        <f>0</f>
        <v>0</v>
      </c>
      <c r="AG262" s="387">
        <f>0</f>
        <v>0</v>
      </c>
      <c r="AH262" s="387">
        <f>1</f>
        <v>1</v>
      </c>
      <c r="AI262" s="387">
        <f>0</f>
        <v>0</v>
      </c>
      <c r="AJ262" s="387">
        <f>0</f>
        <v>0</v>
      </c>
      <c r="AK262" s="1475">
        <f>0</f>
        <v>0</v>
      </c>
      <c r="AL262" s="387">
        <f>0</f>
        <v>0</v>
      </c>
      <c r="AM262" s="387">
        <f>0</f>
        <v>0</v>
      </c>
      <c r="AN262" s="387">
        <f>0</f>
        <v>0</v>
      </c>
      <c r="AO262" s="387">
        <f>0</f>
        <v>0</v>
      </c>
      <c r="AP262" s="387">
        <f>0</f>
        <v>0</v>
      </c>
      <c r="AQ262" s="1475">
        <f>0</f>
        <v>0</v>
      </c>
      <c r="AR262" s="387">
        <f>0</f>
        <v>0</v>
      </c>
      <c r="AS262" s="387">
        <f>0</f>
        <v>0</v>
      </c>
      <c r="AT262" s="387">
        <f>0</f>
        <v>0</v>
      </c>
      <c r="AU262" s="387">
        <f>0</f>
        <v>0</v>
      </c>
      <c r="AV262" s="387">
        <f>0</f>
        <v>0</v>
      </c>
      <c r="AW262" s="387">
        <f>0</f>
        <v>0</v>
      </c>
      <c r="AX262" s="387">
        <f>0</f>
        <v>0</v>
      </c>
      <c r="AY262" s="387">
        <f>0</f>
        <v>0</v>
      </c>
      <c r="AZ262" s="387">
        <f>0</f>
        <v>0</v>
      </c>
      <c r="BA262" s="387">
        <f>0</f>
        <v>0</v>
      </c>
      <c r="BB262" s="387">
        <f>0</f>
        <v>0</v>
      </c>
      <c r="BC262" s="387">
        <f>0</f>
        <v>0</v>
      </c>
      <c r="BD262" s="387">
        <f>0</f>
        <v>0</v>
      </c>
      <c r="BE262" s="387">
        <f>0</f>
        <v>0</v>
      </c>
      <c r="BF262" s="387">
        <f>0</f>
        <v>0</v>
      </c>
      <c r="BG262" s="387">
        <f>0</f>
        <v>0</v>
      </c>
      <c r="BH262" s="387">
        <f>0</f>
        <v>0</v>
      </c>
      <c r="BI262" s="387">
        <f>0</f>
        <v>0</v>
      </c>
      <c r="BJ262" s="387">
        <f>0</f>
        <v>0</v>
      </c>
      <c r="BK262" s="387">
        <f>0</f>
        <v>0</v>
      </c>
      <c r="BL262" s="387">
        <f>0</f>
        <v>0</v>
      </c>
      <c r="BM262" s="387">
        <f>0</f>
        <v>0</v>
      </c>
      <c r="BN262" s="387">
        <f>0</f>
        <v>0</v>
      </c>
      <c r="BO262" s="387">
        <f>0</f>
        <v>0</v>
      </c>
      <c r="BP262" s="387">
        <f>0</f>
        <v>0</v>
      </c>
      <c r="BQ262" s="387">
        <f>0</f>
        <v>0</v>
      </c>
      <c r="BR262" s="387">
        <f>0</f>
        <v>0</v>
      </c>
      <c r="BS262" s="387">
        <f>0</f>
        <v>0</v>
      </c>
      <c r="BT262" s="387">
        <f>0</f>
        <v>0</v>
      </c>
      <c r="BU262" s="387">
        <f>0</f>
        <v>0</v>
      </c>
      <c r="BV262" s="387">
        <f>0</f>
        <v>0</v>
      </c>
      <c r="BW262" s="1475">
        <f>0</f>
        <v>0</v>
      </c>
      <c r="BX262" s="1475">
        <f>0</f>
        <v>0</v>
      </c>
      <c r="BY262" s="1475">
        <f>0</f>
        <v>0</v>
      </c>
      <c r="BZ262" s="1475">
        <f>0</f>
        <v>0</v>
      </c>
      <c r="CA262" s="387">
        <f>0</f>
        <v>0</v>
      </c>
      <c r="CB262" s="387">
        <f>0</f>
        <v>0</v>
      </c>
      <c r="CC262" s="1475">
        <f>0</f>
        <v>0</v>
      </c>
      <c r="CD262" s="387">
        <f>0</f>
        <v>0</v>
      </c>
      <c r="CE262" s="387">
        <f>0</f>
        <v>0</v>
      </c>
      <c r="CF262" s="387">
        <f>0</f>
        <v>0</v>
      </c>
      <c r="CG262" s="387">
        <f>0</f>
        <v>0</v>
      </c>
      <c r="CH262" s="387">
        <f>0</f>
        <v>0</v>
      </c>
      <c r="CI262" s="387">
        <f>0</f>
        <v>0</v>
      </c>
      <c r="CJ262" s="387">
        <f>0</f>
        <v>0</v>
      </c>
      <c r="CK262" s="387">
        <f>0</f>
        <v>0</v>
      </c>
      <c r="CL262" s="387">
        <f>0</f>
        <v>0</v>
      </c>
      <c r="CM262" s="387">
        <f>0</f>
        <v>0</v>
      </c>
      <c r="CN262" s="387">
        <f>0</f>
        <v>0</v>
      </c>
      <c r="CO262" s="387">
        <f>0</f>
        <v>0</v>
      </c>
      <c r="CP262" s="387">
        <f>0</f>
        <v>0</v>
      </c>
      <c r="CQ262" s="387">
        <f>0</f>
        <v>0</v>
      </c>
      <c r="CR262" s="387">
        <f>0</f>
        <v>0</v>
      </c>
      <c r="CS262" s="388">
        <f>-Δ_atm</f>
        <v>-1</v>
      </c>
      <c r="CT262" s="2500">
        <f>k_LaGN2_sur*(S_GN2_sur_sat-S_N2)</f>
        <v>-8.19</v>
      </c>
      <c r="CV262" s="2502">
        <f>E266*E262+F266*F262+G266*G262+H266*H262+I266*I262+J266*J262+K266*K262+L266*L262+M266*M262+N266*N262+O266*O262+P266*P262+Q266*Q262+R266*R262+S266*S262+T266*T262+U266*U262+V266*V262+W266*W262+X266*X262+Y266*Y262+Z266*Z262+AA266*AA262+AB266*AB262+AC266*AC262+AD266*AD262+AE266*AE262+AF266*AF262+AG266*AG262+AH266*AH262+AI266*AI262+AJ266*AJ262+AK266*AK262+AL266*AL262+AM266*AM262+AN266*AN262+AO266*AO262+AP266*AP262+AQ266*AQ262+AR266*AR262+AS266*AS262+AT266*AT262+AU266*AU262+AV266*AV262+AW266*AW262+AX266*AX262+AY266*AY262+AZ266*AZ262+BA266*BA262+BB266*BB262+BC266*BC262+BD266*BD262+BE266*BE262+BF266*BF262+BG266*BG262+BH266*BH262+BI266*BI262+BJ266*BJ262+BK266*BK262+BL266*BL262+BM266*BM262+BN266*BN262+BO266*BO262+BP266*BP262+BQ266*BQ262+BR266*BR262+BS266*BS262+BT266*BT262+BU266*BU262+BV266*BV262+BW266*BW262+BX266*BX262+BY266*BY262+BZ266*BZ262+CA266*CA262+CB266*CB262+CC266*CC262+CD266*CD262+CE266*CE262+CF266*CF262+CG266*CG262+CH266*CH262+CI266*CI262+CJ266*CJ262+CK266*CK262+CL266*CL262+CM266*CM262+CN266*CN262+CO266*CO262+CP266*CP262+CQ266*CQ262+CR266*CR262+CS266*CS262</f>
        <v>0</v>
      </c>
      <c r="CW262" s="2502">
        <f>E267*E262+F267*F262+G267*G262+H267*H262+I267*I262+J267*J262+K267*K262+L267*L262+M267*M262+N267*N262+O267*O262+P267*P262+Q267*Q262+R267*R262+S267*S262+T267*T262+U267*U262+V267*V262+W267*W262+X267*X262+Y267*Y262+Z267*Z262+AA267*AA262+AB267*AB262+AC267*AC262+AD267*AD262+AE267*AE262+AF267*AF262+AG267*AG262+AH267*AH262+AI267*AI262+AJ267*AJ262+AK267*AK262+AL267*AL262+AM267*AM262+AN267*AN262+AO267*AO262+AP267*AP262+AQ267*AQ262+AR267*AR262+AS267*AS262+AT267*AT262+AU267*AU262+AV267*AV262+AW267*AW262+AX267*AX262+AY267*AY262+AZ267*AZ262+BA267*BA262+BB267*BB262+BC267*BC262+BD267*BD262+BE267*BE262+BF267*BF262+BG267*BG262+BH267*BH262+BI267*BI262+BJ267*BJ262+BK267*BK262+BL267*BL262+BM267*BM262+BN267*BN262+BO267*BO262+BP267*BP262+BQ267*BQ262+BR267*BR262+BS267*BS262+BT267*BT262+BU267*BU262+BV267*BV262+BW267*BW262+BX267*BX262+BY267*BY262+BZ267*BZ262+CA267*CA262+CB267*CB262+CC267*CC262+CD267*CD262+CE267*CE262+CF267*CF262+CG267*CG262+CH267*CH262+CI267*CI262+CJ267*CJ262+CK267*CK262+CL267*CL262+CM267*CM262+CN267*CN262+CO267*CO262+CP267*CP262+CQ267*CQ262+CR267*CR262+CS267*CS262</f>
        <v>0</v>
      </c>
      <c r="CX262" s="2503">
        <f>E268*E262+F268*F262+G268*G262+H268*H262+I268*I262+J268*J262+K268*K262+L268*L262+M268*M262+N268*N262+O268*O262+P268*P262+Q268*Q262+R268*R262+S268*S262+T268*T262+U268*U262+V268*V262+W268*W262+X268*X262+Y268*Y262+Z268*Z262+AA268*AA262+AB268*AB262+AC268*AC262+AD268*AD262+AE268*AE262+AF268*AF262+AG268*AG262+AH268*AH262+AI268*AI262+AJ268*AJ262+AK268*AK262+AL268*AL262+AM268*AM262+AN268*AN262+AO268*AO262+AP268*AP262+AQ268*AQ262+AR268*AR262+AS268*AS262+AT268*AT262+AU268*AU262+AV268*AV262+AW268*AW262+AX268*AX262+AY268*AY262+AZ268*AZ262+BA268*BA262+BB268*BB262+BC268*BC262+BD268*BD262+BE268*BE262+BF268*BF262+BG268*BG262+BH268*BH262+BI268*BI262+BJ268*BJ262+BK268*BK262+BL268*BL262+BM268*BM262+BN268*BN262+BO268*BO262+BP268*BP262+BQ268*BQ262+BR268*BR262+BS268*BS262+BT268*BT262+BU268*BU262+BV268*BV262+BW268*BW262+BX268*BX262+BY268*BY262+BZ268*BZ262+CA268*CA262+CB268*CB262+CC268*CC262+CD268*CD262+CE268*CE262+CF268*CF262+CG268*CG262+CH268*CH262+CI268*CI262+CJ268*CJ262+CK268*CK262+CL268*CL262+CM268*CM262+CN268*CN262+CO268*CO262+CP268*CP262+CQ268*CQ262+CR268*CR262+CS268*CS262</f>
        <v>0</v>
      </c>
      <c r="CY262" s="2504">
        <f>E269*E262+F269*F262+G269*G262+H269*H262+I269*I262+J269*J262+K269*K262+L269*L262+M269*M262+N269*N262+O269*O262+P269*P262+Q269*Q262+R269*R262+S269*S262+T269*T262+U269*U262+V269*V262+W269*W262+X269*X262+Y269*Y262+Z269*Z262+AA269*AA262+AB269*AB262+AC269*AC262+AD269*AD262+AE269*AE262+AF269*AF262+AG269*AG262+AH269*AH262+AI269*AI262+AJ269*AJ262+AK269*AK262+AL269*AL262+AM269*AM262+AN269*AN262+AO269*AO262+AP269*AP262+AQ269*AQ262+AR269*AR262+AS269*AS262+AT269*AT262+AU269*AU262+AV269*AV262+AW269*AW262+AX269*AX262+AY269*AY262+AZ269*AZ262+BA269*BA262+BB269*BB262+BC269*BC262+BD269*BD262+BE269*BE262+BF269*BF262+BG269*BG262+BH269*BH262+BI269*BI262+BJ269*BJ262+BK269*BK262+BL269*BL262+BM269*BM262+BN269*BN262+BO269*BO262+BP269*BP262+BQ269*BQ262+BR269*BR262+BS269*BS262+BT269*BT262+BU269*BU262+BV269*BV262+BW269*BW262+BX269*BX262+BY269*BY262+BZ269*BZ262+CA269*CA262+CB269*CB262+CC269*CC262+CD269*CD262+CE269*CE262+CF269*CF262+CG269*CG262+CH269*CH262+CI269*CI262+CJ269*CJ262+CK269*CK262+CL269*CL262+CM269*CM262+CN269*CN262+CO269*CO262+CP269*CP262+CQ269*CQ262+CR269*CR262+CS269*CS262</f>
        <v>0</v>
      </c>
      <c r="CZ262" s="2504">
        <f>E270*E262+F270*F262+G270*G262+H270*H262+I270*I262+J270*J262+K270*K262+L270*L262+M270*M262+N270*N262+O270*O262+P270*P262+Q270*Q262+R270*R262+S270*S262+T270*T262+U270*U262+V270*V262+W270*W262+X270*X262+Y270*Y262+Z270*Z262+AA270*AA262+AB270*AB262+AC270*AC262+AD270*AD262+AE270*AE262+AF270*AF262+AG270*AG262+AH270*AH262+AI270*AI262+AJ270*AJ262+AK270*AK262+AL270*AL262+AM270*AM262+AN270*AN262+AO270*AO262+AP270*AP262+AQ270*AQ262+AR270*AR262+AS270*AS262+AT270*AT262+AU270*AU262+AV270*AV262+AW270*AW262+AX270*AX262+AY270*AY262+AZ270*AZ262+BA270*BA262+BB270*BB262+BC270*BC262+BD270*BD262+BE270*BE262+BF270*BF262+BG270*BG262+BH270*BH262+BI270*BI262+BJ270*BJ262+BK270*BK262+BL270*BL262+BM270*BM262+BN270*BN262+BO270*BO262+BP270*BP262+BQ270*BQ262+BR270*BR262+BS270*BS262+BT270*BT262+BU270*BU262+BV270*BV262+BW270*BW262+BX270*BX262+BY270*BY262+BZ270*BZ262+CA270*CA262+CB270*CB262+CC270*CC262+CD270*CD262+CE270*CE262+CF270*CF262+CG270*CG262+CH270*CH262+CI270*CI262+CJ270*CJ262+CK270*CK262+CL270*CL262+CM270*CM262+CN270*CN262+CO270*CO262+CP270*CP262+CQ270*CQ262+CR270*CR262+CS270*CS262</f>
        <v>0</v>
      </c>
      <c r="DA262" s="2504">
        <f>E271*E262+F271*F262+G271*G262+H271*H262+I271*I262+J271*J262+K271*K262+L271*L262+M271*M262+N271*N262+O271*O262+P271*P262+Q271*Q262+R271*R262+S271*S262+T271*T262+U271*U262+V271*V262+W271*W262+X271*X262+Y271*Y262+Z271*Z262+AA271*AA262+AB271*AB262+AC271*AC262+AD271*AD262+AE271*AE262+AF271*AF262+AG271*AG262+AH271*AH262+AI271*AI262+AJ271*AJ262+AK271*AK262+AL271*AL262+AM271*AM262+AN271*AN262+AO271*AO262+AP271*AP262+AQ271*AQ262+AR271*AR262+AS271*AS262+AT271*AT262+AU271*AU262+AV271*AV262+AW271*AW262+AX271*AX262+AY271*AY262+AZ271*AZ262+BA271*BA262+BB271*BB262+BC271*BC262+BD271*BD262+BE271*BE262+BF271*BF262+BG271*BG262+BH271*BH262+BI271*BI262+BJ271*BJ262+BK271*BK262+BL271*BL262+BM271*BM262+BN271*BN262+BO271*BO262+BP271*BP262+BQ271*BQ262+BR271*BR262+BS271*BS262+BT271*BT262+BU271*BU262+BV271*BV262+BW271*BW262+BX271*BX262+BY271*BY262+BZ271*BZ262+CA271*CA262+CB271*CB262+CC271*CC262+CD271*CD262+CE271*CE262+CF271*CF262+CG271*CG262+CH271*CH262+CI271*CI262+CJ271*CJ262+CK271*CK262+CL271*CL262+CM271*CM262+CN271*CN262+CO271*CO262+CP271*CP262+CQ271*CQ262+CR271*CR262+CS271*CS262</f>
        <v>0</v>
      </c>
      <c r="DB262" s="2504">
        <f>E272*E262+F272*F262+G272*G262+H272*H262+I272*I262+J272*J262+K272*K262+L272*L262+M272*M262+N272*N262+O272*O262+P272*P262+Q272*Q262+R272*R262+S272*S262+T272*T262+U272*U262+V272*V262+W272*W262+X272*X262+Y272*Y262+Z272*Z262+AA272*AA262+AB272*AB262+AC272*AC262+AD272*AD262+AE272*AE262+AF272*AF262+AG272*AG262+AH272*AH262+AI272*AI262+AJ272*AJ262+AK272*AK262+AL272*AL262+AM272*AM262+AN272*AN262+AO272*AO262+AP272*AP262+AQ272*AQ262+AR272*AR262+AS272*AS262+AT272*AT262+AU272*AU262+AV272*AV262+AW272*AW262+AX272*AX262+AY272*AY262+AZ272*AZ262+BA272*BA262+BB272*BB262+BC272*BC262+BD272*BD262+BE272*BE262+BF272*BF262+BG272*BG262+BH272*BH262+BI272*BI262+BJ272*BJ262+BK272*BK262+BL272*BL262+BM272*BM262+BN272*BN262+BO272*BO262+BP272*BP262+BQ272*BQ262+BR272*BR262+BS272*BS262+BT272*BT262+BU272*BU262+BV272*BV262+BW272*BW262+BX272*BX262+BY272*BY262+BZ272*BZ262+CA272*CA262+CB272*CB262+CC272*CC262+CD272*CD262+CE272*CE262+CF272*CF262+CG272*CG262+CH272*CH262+CI272*CI262+CJ272*CJ262+CK272*CK262+CL272*CL262+CM272*CM262+CN272*CN262+CO272*CO262+CP272*CP262+CQ272*CQ262+CR272*CR262+CS272*CS262</f>
        <v>0</v>
      </c>
      <c r="DC262" s="2504">
        <f>E273*E262+F273*F262+G273*G262+H273*H262+I273*I262+J273*J262+K273*K262+L273*L262+M273*M262+N273*N262+O273*O262+P273*P262+Q273*Q262+R273*R262+S273*S262+T273*T262+U273*U262+V273*V262+W273*W262+X273*X262+Y273*Y262+Z273*Z262+AA273*AA262+AB273*AB262+AC273*AC262+AD273*AD262+AE273*AE262+AF273*AF262+AG273*AG262+AH273*AH262+AI273*AI262+AJ273*AJ262+AK273*AK262+AL273*AL262+AM273*AM262+AN273*AN262+AO273*AO262+AP273*AP262+AQ273*AQ262+AR273*AR262+AS273*AS262+AT273*AT262+AU273*AU262+AV273*AV262+AW273*AW262+AX273*AX262+AY273*AY262+AZ273*AZ262+BA273*BA262+BB273*BB262+BC273*BC262+BD273*BD262+BE273*BE262+BF273*BF262+BG273*BG262+BH273*BH262+BI273*BI262+BJ273*BJ262+BK273*BK262+BL273*BL262+BM273*BM262+BN273*BN262+BO273*BO262+BP273*BP262+BQ273*BQ262+BR273*BR262+BS273*BS262+BT273*BT262+BU273*BU262+BV273*BV262+BW273*BW262+BX273*BX262+BY273*BY262+BZ273*BZ262+CA273*CA262+CB273*CB262+CC273*CC262+CD273*CD262+CE273*CE262+CF273*CF262+CG273*CG262+CH273*CH262+CI273*CI262+CJ273*CJ262+CK273*CK262+CL273*CL262+CM273*CM262+CN273*CN262+CO273*CO262+CP273*CP262+CQ273*CQ262+CR273*CR262+CS273*CS262</f>
        <v>0</v>
      </c>
      <c r="DD262" s="2504">
        <f>E274*E262+F274*F262+G274*G262+H274*H262+I274*I262+J274*J262+K274*K262+L274*L262+M274*M262+N274*N262+O274*O262+P274*P262+Q274*Q262+R274*R262+S274*S262+T274*T262+U274*U262+V274*V262+W274*W262+X274*X262+Y274*Y262+Z274*Z262+AA274*AA262+AB274*AB262+AC274*AC262+AD274*AD262+AE274*AE262+AF274*AF262+AG274*AG262+AH274*AH262+AI274*AI262+AJ274*AJ262+AK274*AK262+AL274*AL262+AM274*AM262+AN274*AN262+AO274*AO262+AP274*AP262+AQ274*AQ262+AR274*AR262+AS274*AS262+AT274*AT262+AU274*AU262+AV274*AV262+AW274*AW262+AX274*AX262+AY274*AY262+AZ274*AZ262+BA274*BA262+BB274*BB262+BC274*BC262+BD274*BD262+BE274*BE262+BF274*BF262+BG274*BG262+BH274*BH262+BI274*BI262+BJ274*BJ262+BK274*BK262+BL274*BL262+BM274*BM262+BN274*BN262+BO274*BO262+BP274*BP262+BQ274*BQ262+BR274*BR262+BS274*BS262+BT274*BT262+BU274*BU262+BV274*BV262+BW274*BW262+BX274*BX262+BY274*BY262+BZ274*BZ262+CA274*CA262+CB274*CB262+CC274*CC262+CD274*CD262+CE274*CE262+CF274*CF262+CG274*CG262+CH274*CH262+CI274*CI262+CJ274*CJ262+CK274*CK262+CL274*CL262+CM274*CM262+CN274*CN262+CO274*CO262+CP274*CP262+CQ274*CQ262+CR274*CR262+CS274*CS262</f>
        <v>0</v>
      </c>
      <c r="DE262" s="2504">
        <f>E275*E262+F275*F262+G275*G262+H275*H262+I275*I262+J275*J262+K275*K262+L275*L262+M275*M262+N275*N262+O275*O262+P275*P262+Q275*Q262+R275*R262+S275*S262+T275*T262+U275*U262+V275*V262+W275*W262+X275*X262+Y275*Y262+Z275*Z262+AA275*AA262+AB275*AB262+AC275*AC262+AD275*AD262+AE275*AE262+AF275*AF262+AG275*AG262+AH275*AH262+AI275*AI262+AJ275*AJ262+AK275*AK262+AL275*AL262+AM275*AM262+AN275*AN262+AO275*AO262+AP275*AP262+AQ275*AQ262+AR275*AR262+AS275*AS262+AT275*AT262+AU275*AU262+AV275*AV262+AW275*AW262+AX275*AX262+AY275*AY262+AZ275*AZ262+BA275*BA262+BB275*BB262+BC275*BC262+BD275*BD262+BE275*BE262+BF275*BF262+BG275*BG262+BH275*BH262+BI275*BI262+BJ275*BJ262+BK275*BK262+BL275*BL262+BM275*BM262+BN275*BN262+BO275*BO262+BP275*BP262+BQ275*BQ262+BR275*BR262+BS275*BS262+BT275*BT262+BU275*BU262+BV275*BV262+BW275*BW262+BX275*BX262+BY275*BY262+BZ275*BZ262+CA275*CA262+CB275*CB262+CC275*CC262+CD275*CD262+CE275*CE262+CF275*CF262+CG275*CG262+CH275*CH262+CI275*CI262+CJ275*CJ262+CK275*CK262+CL275*CL262+CM275*CM262+CN275*CN262+CO275*CO262+CP275*CP262+CQ275*CQ262+CR275*CR262+CS275*CS262</f>
        <v>0</v>
      </c>
      <c r="DF262" s="2504">
        <f>E276*E262+F276*F262+G276*G262+H276*H262+I276*I262+J276*J262+K276*K262+L276*L262+M276*M262+N276*N262+O276*O262+P276*P262+Q276*Q262+R276*R262+S276*S262+T276*T262+U276*U262+V276*V262+W276*W262+X276*X262+Y276*Y262+Z276*Z262+AA276*AA262+AB276*AB262+AC276*AC262+AD276*AD262+AE276*AE262+AF276*AF262+AG276*AG262+AH276*AH262+AI276*AI262+AJ276*AJ262+AK276*AK262+AL276*AL262+AM276*AM262+AN276*AN262+AO276*AO262+AP276*AP262+AQ276*AQ262+AR276*AR262+AS276*AS262+AT276*AT262+AU276*AU262+AV276*AV262+AW276*AW262+AX276*AX262+AY276*AY262+AZ276*AZ262+BA276*BA262+BB276*BB262+BC276*BC262+BD276*BD262+BE276*BE262+BF276*BF262+BG276*BG262+BH276*BH262+BI276*BI262+BJ276*BJ262+BK276*BK262+BL276*BL262+BM276*BM262+BN276*BN262+BO276*BO262+BP276*BP262+BQ276*BQ262+BR276*BR262+BS276*BS262+BT276*BT262+BU276*BU262+BV276*BV262+BW276*BW262+BX276*BX262+BY276*BY262+BZ276*BZ262+CA276*CA262+CB276*CB262+CC276*CC262+CD276*CD262+CE276*CE262+CF276*CF262+CG276*CG262+CH276*CH262+CI276*CI262+CJ276*CJ262+CK276*CK262+CL276*CL262+CM276*CM262+CN276*CN262+CO276*CO262+CP276*CP262+CQ276*CQ262+CR276*CR262+CS276*CS262</f>
        <v>0</v>
      </c>
    </row>
    <row r="264" spans="2:110" ht="15.75" thickBot="1" x14ac:dyDescent="0.3"/>
    <row r="265" spans="2:110" ht="15.75" thickBot="1" x14ac:dyDescent="0.3">
      <c r="D265" s="53" t="s">
        <v>6</v>
      </c>
      <c r="E265" s="70"/>
      <c r="F265" s="70"/>
      <c r="G265" s="70"/>
      <c r="H265" s="70"/>
      <c r="I265" s="70"/>
      <c r="J265" s="70"/>
      <c r="K265" s="70"/>
      <c r="L265" s="70"/>
      <c r="M265" s="70"/>
      <c r="N265" s="70"/>
      <c r="O265" s="70"/>
      <c r="P265" s="70"/>
      <c r="Q265" s="70"/>
      <c r="R265" s="70"/>
      <c r="S265" s="70"/>
      <c r="T265" s="70"/>
      <c r="U265" s="70"/>
      <c r="V265" s="70"/>
      <c r="W265" s="70"/>
      <c r="X265" s="70"/>
      <c r="Y265" s="70"/>
      <c r="Z265" s="70"/>
      <c r="AA265" s="70"/>
      <c r="AB265" s="70"/>
      <c r="AC265" s="70"/>
      <c r="AD265" s="70"/>
      <c r="AE265" s="70"/>
      <c r="AF265" s="70"/>
      <c r="AG265" s="70"/>
      <c r="AH265" s="70"/>
      <c r="AI265" s="70"/>
      <c r="AJ265" s="70"/>
      <c r="AK265" s="70"/>
      <c r="AL265" s="70"/>
      <c r="AM265" s="70"/>
      <c r="AN265" s="70"/>
      <c r="AO265" s="70"/>
      <c r="AP265" s="70"/>
      <c r="AQ265" s="70"/>
      <c r="AR265" s="70"/>
      <c r="AS265" s="70"/>
      <c r="AT265" s="70"/>
      <c r="AU265" s="70"/>
      <c r="AV265" s="70"/>
      <c r="AW265" s="70"/>
      <c r="AX265" s="70"/>
      <c r="AY265" s="70"/>
      <c r="AZ265" s="70"/>
      <c r="BA265" s="70"/>
      <c r="BB265" s="70"/>
      <c r="BC265" s="70"/>
      <c r="BD265" s="70"/>
      <c r="BE265" s="70"/>
      <c r="BF265" s="70"/>
      <c r="BG265" s="70"/>
      <c r="BH265" s="70"/>
      <c r="BI265" s="70"/>
      <c r="BJ265" s="70"/>
      <c r="BK265" s="70"/>
      <c r="BL265" s="70"/>
      <c r="BM265" s="70"/>
      <c r="BN265" s="70"/>
      <c r="BO265" s="70"/>
      <c r="BP265" s="70"/>
      <c r="BQ265" s="70"/>
      <c r="BR265" s="70"/>
      <c r="BS265" s="70"/>
      <c r="BT265" s="70"/>
      <c r="BU265" s="70"/>
      <c r="BV265" s="70"/>
      <c r="BW265" s="70"/>
      <c r="BX265" s="70"/>
      <c r="BY265" s="70"/>
      <c r="BZ265" s="70"/>
      <c r="CA265" s="70"/>
      <c r="CB265" s="70"/>
      <c r="CC265" s="70"/>
      <c r="CD265" s="70"/>
      <c r="CE265" s="70"/>
      <c r="CF265" s="70"/>
      <c r="CG265" s="70"/>
      <c r="CH265" s="70"/>
      <c r="CI265" s="70"/>
      <c r="CJ265" s="70"/>
      <c r="CK265" s="70"/>
      <c r="CL265" s="70"/>
      <c r="CM265" s="70"/>
      <c r="CN265" s="70"/>
      <c r="CO265" s="70"/>
      <c r="CP265" s="70"/>
      <c r="CQ265" s="70"/>
      <c r="CR265" s="70"/>
      <c r="CS265" s="70"/>
    </row>
    <row r="266" spans="2:110" x14ac:dyDescent="0.25">
      <c r="D266" s="230" t="s">
        <v>148</v>
      </c>
      <c r="E266" s="231">
        <v>1</v>
      </c>
      <c r="F266" s="231">
        <v>1</v>
      </c>
      <c r="G266" s="231">
        <v>1</v>
      </c>
      <c r="H266" s="231">
        <v>1</v>
      </c>
      <c r="I266" s="231">
        <v>1</v>
      </c>
      <c r="J266" s="2422">
        <v>1</v>
      </c>
      <c r="K266" s="231">
        <v>1</v>
      </c>
      <c r="L266" s="231">
        <v>1</v>
      </c>
      <c r="M266" s="231">
        <v>1</v>
      </c>
      <c r="N266" s="231">
        <v>1</v>
      </c>
      <c r="O266" s="231">
        <v>1</v>
      </c>
      <c r="P266" s="231">
        <v>1</v>
      </c>
      <c r="Q266" s="231">
        <v>1</v>
      </c>
      <c r="R266" s="231">
        <v>1</v>
      </c>
      <c r="S266" s="231">
        <v>1</v>
      </c>
      <c r="T266" s="231">
        <v>1</v>
      </c>
      <c r="U266" s="231">
        <v>1</v>
      </c>
      <c r="V266" s="231">
        <v>1</v>
      </c>
      <c r="W266" s="231">
        <v>1</v>
      </c>
      <c r="X266" s="231">
        <v>1</v>
      </c>
      <c r="Y266" s="231">
        <v>1</v>
      </c>
      <c r="Z266" s="1653">
        <v>1</v>
      </c>
      <c r="AA266" s="231"/>
      <c r="AB266" s="232">
        <f>-E_EQNH2OH</f>
        <v>-1.1422676290632339</v>
      </c>
      <c r="AC266" s="232">
        <f>-E_EQNO3</f>
        <v>-4.5690705162529355</v>
      </c>
      <c r="AD266" s="232">
        <f>-E_EQNO2</f>
        <v>-3.4268028871897016</v>
      </c>
      <c r="AE266" s="484">
        <f>-E_EQNO</f>
        <v>-2.8556690726580851</v>
      </c>
      <c r="AF266" s="484">
        <f>-E_EQNO</f>
        <v>-2.8556690726580851</v>
      </c>
      <c r="AG266" s="484">
        <f>-E_EQN2O</f>
        <v>-2.2845352581264677</v>
      </c>
      <c r="AH266" s="232">
        <f>-E_EQN2</f>
        <v>-1.7134014435948508</v>
      </c>
      <c r="AI266" s="231"/>
      <c r="AJ266" s="231"/>
      <c r="AK266" s="2422"/>
      <c r="AL266" s="231"/>
      <c r="AM266" s="231"/>
      <c r="AN266" s="231"/>
      <c r="AO266" s="231"/>
      <c r="AP266" s="231"/>
      <c r="AQ266" s="2422"/>
      <c r="AR266" s="231"/>
      <c r="AS266" s="231">
        <v>-1</v>
      </c>
      <c r="AT266" s="231">
        <v>1</v>
      </c>
      <c r="AU266" s="231">
        <v>1</v>
      </c>
      <c r="AV266" s="231"/>
      <c r="AW266" s="231"/>
      <c r="AX266" s="231"/>
      <c r="AY266" s="231"/>
      <c r="AZ266" s="231"/>
      <c r="BA266" s="231"/>
      <c r="BB266" s="231"/>
      <c r="BC266" s="231">
        <f>E_EQFe2</f>
        <v>0.14325364849136002</v>
      </c>
      <c r="BD266" s="231"/>
      <c r="BE266" s="231"/>
      <c r="BF266" s="231"/>
      <c r="BG266" s="231"/>
      <c r="BH266" s="231"/>
      <c r="BI266" s="231"/>
      <c r="BJ266" s="231"/>
      <c r="BK266" s="231"/>
      <c r="BL266" s="231"/>
      <c r="BM266" s="231"/>
      <c r="BN266" s="231"/>
      <c r="BO266" s="231"/>
      <c r="BP266" s="231"/>
      <c r="BQ266" s="231"/>
      <c r="BR266" s="231"/>
      <c r="BS266" s="231"/>
      <c r="BT266" s="625"/>
      <c r="BU266" s="231"/>
      <c r="BV266" s="233">
        <f>3*A_MFe/M_MVivi*E_EQFe2</f>
        <v>4.7846893347985253E-2</v>
      </c>
      <c r="BW266" s="2375"/>
      <c r="BX266" s="2375"/>
      <c r="BY266" s="2375"/>
      <c r="BZ266" s="2375"/>
      <c r="CA266" s="233"/>
      <c r="CB266" s="629"/>
      <c r="CC266" s="1476"/>
      <c r="CD266" s="373"/>
      <c r="CE266" s="374" t="s">
        <v>3275</v>
      </c>
      <c r="CF266" s="374" t="s">
        <v>3275</v>
      </c>
      <c r="CG266" s="374" t="s">
        <v>1147</v>
      </c>
      <c r="CH266" s="373"/>
      <c r="CI266" s="374">
        <f>-E_EQNO</f>
        <v>-2.8556690726580851</v>
      </c>
      <c r="CJ266" s="374">
        <f>-E_EQN2O</f>
        <v>-2.2845352581264677</v>
      </c>
      <c r="CK266" s="374">
        <f>-E_EQN2</f>
        <v>-1.7134014435948508</v>
      </c>
      <c r="CL266" s="368"/>
      <c r="CM266" s="368">
        <f>1/Δ_atm</f>
        <v>1</v>
      </c>
      <c r="CN266" s="368">
        <f>1/Δ_atm</f>
        <v>1</v>
      </c>
      <c r="CO266" s="368">
        <f>-1/Δ_atm</f>
        <v>-1</v>
      </c>
      <c r="CP266" s="368"/>
      <c r="CQ266" s="374">
        <f>-E_EQNO/Δ_atm</f>
        <v>-2.8556690726580851</v>
      </c>
      <c r="CR266" s="374">
        <f>-E_EQN2O/Δ_atm</f>
        <v>-2.2845352581264677</v>
      </c>
      <c r="CS266" s="374">
        <f>-E_EQN2/Δ_atm</f>
        <v>-1.7134014435948508</v>
      </c>
    </row>
    <row r="267" spans="2:110" x14ac:dyDescent="0.25">
      <c r="D267" s="212" t="s">
        <v>259</v>
      </c>
      <c r="E267" s="185">
        <f>i_CIT_VFA</f>
        <v>0.375</v>
      </c>
      <c r="F267" s="185">
        <f>i_CIT_SB</f>
        <v>0.28599999999999998</v>
      </c>
      <c r="G267" s="185">
        <f>i_CIT_MEOL</f>
        <v>0.25</v>
      </c>
      <c r="H267" s="185">
        <f>i_CIT_SB</f>
        <v>0.28599999999999998</v>
      </c>
      <c r="I267" s="185">
        <f>i_CIT_SB</f>
        <v>0.28599999999999998</v>
      </c>
      <c r="J267" s="185">
        <f>i_CIT_XBe</f>
        <v>0.28599999999999998</v>
      </c>
      <c r="K267" s="185">
        <f>i_CIT_SB</f>
        <v>0.28599999999999998</v>
      </c>
      <c r="L267" s="185">
        <f>i_CIT_SB</f>
        <v>0.28599999999999998</v>
      </c>
      <c r="M267" s="185">
        <f>i_CIT_SB</f>
        <v>0.28599999999999998</v>
      </c>
      <c r="N267" s="185">
        <f>i_CIT_PHA</f>
        <v>0.33300000000000002</v>
      </c>
      <c r="O267" s="185">
        <f>i_CIT_PHA</f>
        <v>0.33300000000000002</v>
      </c>
      <c r="P267" s="185">
        <f t="shared" ref="P267:Y267" si="7">i_CIT_BIO</f>
        <v>0.35199999999999998</v>
      </c>
      <c r="Q267" s="185">
        <f t="shared" si="7"/>
        <v>0.35199999999999998</v>
      </c>
      <c r="R267" s="185">
        <f t="shared" si="7"/>
        <v>0.35199999999999998</v>
      </c>
      <c r="S267" s="185">
        <f t="shared" si="7"/>
        <v>0.35199999999999998</v>
      </c>
      <c r="T267" s="185">
        <f t="shared" si="7"/>
        <v>0.35199999999999998</v>
      </c>
      <c r="U267" s="185">
        <f t="shared" si="7"/>
        <v>0.35199999999999998</v>
      </c>
      <c r="V267" s="185">
        <f t="shared" si="7"/>
        <v>0.35199999999999998</v>
      </c>
      <c r="W267" s="185">
        <f t="shared" si="7"/>
        <v>0.35199999999999998</v>
      </c>
      <c r="X267" s="185">
        <f t="shared" si="7"/>
        <v>0.35199999999999998</v>
      </c>
      <c r="Y267" s="185">
        <f t="shared" si="7"/>
        <v>0.35199999999999998</v>
      </c>
      <c r="Z267" s="512">
        <f>i_CIT_ALGAE</f>
        <v>0.375</v>
      </c>
      <c r="AA267" s="185"/>
      <c r="AB267" s="512"/>
      <c r="AC267" s="229"/>
      <c r="AD267" s="229"/>
      <c r="AE267" s="481"/>
      <c r="AF267" s="481"/>
      <c r="AG267" s="481"/>
      <c r="AH267" s="229"/>
      <c r="AI267" s="185"/>
      <c r="AJ267" s="185"/>
      <c r="AK267" s="512"/>
      <c r="AL267" s="185"/>
      <c r="AM267" s="185"/>
      <c r="AN267" s="185"/>
      <c r="AO267" s="185"/>
      <c r="AP267" s="185"/>
      <c r="AQ267" s="512"/>
      <c r="AR267" s="185"/>
      <c r="AS267" s="185"/>
      <c r="AT267" s="185">
        <f>i_CIT_CH4</f>
        <v>0.188</v>
      </c>
      <c r="AU267" s="185"/>
      <c r="AV267" s="185">
        <v>1</v>
      </c>
      <c r="AW267" s="185"/>
      <c r="AX267" s="185"/>
      <c r="AY267" s="185"/>
      <c r="AZ267" s="185"/>
      <c r="BA267" s="185"/>
      <c r="BB267" s="185"/>
      <c r="BC267" s="185"/>
      <c r="BD267" s="185"/>
      <c r="BE267" s="185"/>
      <c r="BF267" s="185"/>
      <c r="BG267" s="185"/>
      <c r="BH267" s="185"/>
      <c r="BI267" s="185"/>
      <c r="BJ267" s="185"/>
      <c r="BK267" s="185"/>
      <c r="BL267" s="185"/>
      <c r="BM267" s="185"/>
      <c r="BN267" s="185"/>
      <c r="BO267" s="185"/>
      <c r="BP267" s="185"/>
      <c r="BQ267" s="185"/>
      <c r="BR267" s="185">
        <f>A_MC/M_MCaCO3</f>
        <v>0.12000271763837225</v>
      </c>
      <c r="BS267" s="185"/>
      <c r="BT267" s="479"/>
      <c r="BU267" s="185"/>
      <c r="BV267" s="186"/>
      <c r="BW267" s="2376"/>
      <c r="BX267" s="2376"/>
      <c r="BY267" s="2376"/>
      <c r="BZ267" s="2376"/>
      <c r="CA267" s="186"/>
      <c r="CB267" s="626"/>
      <c r="CC267" s="1468"/>
      <c r="CD267" s="375" t="s">
        <v>3275</v>
      </c>
      <c r="CE267" s="376">
        <f>i_CIT_CH4</f>
        <v>0.188</v>
      </c>
      <c r="CF267" s="376"/>
      <c r="CG267" s="375"/>
      <c r="CH267" s="376"/>
      <c r="CI267" s="479"/>
      <c r="CJ267" s="479"/>
      <c r="CK267" s="375"/>
      <c r="CL267" s="369">
        <f>1/Δ_atm</f>
        <v>1</v>
      </c>
      <c r="CM267" s="369">
        <f>i_CIT_CH4/Δ_atm</f>
        <v>0.188</v>
      </c>
      <c r="CN267" s="369"/>
      <c r="CO267" s="369"/>
      <c r="CP267" s="369"/>
      <c r="CQ267" s="479"/>
      <c r="CR267" s="479"/>
      <c r="CS267" s="479"/>
    </row>
    <row r="268" spans="2:110" x14ac:dyDescent="0.25">
      <c r="D268" s="212" t="s">
        <v>255</v>
      </c>
      <c r="E268" s="185"/>
      <c r="F268" s="185"/>
      <c r="G268" s="185"/>
      <c r="H268" s="185">
        <f>i_N_CB</f>
        <v>0.01</v>
      </c>
      <c r="I268" s="185"/>
      <c r="J268" s="512"/>
      <c r="K268" s="185">
        <f>i_N_SU</f>
        <v>0.01</v>
      </c>
      <c r="L268" s="185">
        <f>i_N_CU</f>
        <v>0.01</v>
      </c>
      <c r="M268" s="185"/>
      <c r="N268" s="185"/>
      <c r="O268" s="185"/>
      <c r="P268" s="185">
        <f>i_N_XE</f>
        <v>0.06</v>
      </c>
      <c r="Q268" s="185">
        <f>i_N_XE</f>
        <v>0.06</v>
      </c>
      <c r="R268" s="185">
        <f t="shared" ref="R268:Y268" si="8">i_N_BIO</f>
        <v>7.0000000000000007E-2</v>
      </c>
      <c r="S268" s="185">
        <f t="shared" si="8"/>
        <v>7.0000000000000007E-2</v>
      </c>
      <c r="T268" s="185">
        <f t="shared" si="8"/>
        <v>7.0000000000000007E-2</v>
      </c>
      <c r="U268" s="185">
        <f t="shared" si="8"/>
        <v>7.0000000000000007E-2</v>
      </c>
      <c r="V268" s="185">
        <f t="shared" si="8"/>
        <v>7.0000000000000007E-2</v>
      </c>
      <c r="W268" s="185">
        <f t="shared" si="8"/>
        <v>7.0000000000000007E-2</v>
      </c>
      <c r="X268" s="185">
        <f t="shared" si="8"/>
        <v>7.0000000000000007E-2</v>
      </c>
      <c r="Y268" s="185">
        <f t="shared" si="8"/>
        <v>7.0000000000000007E-2</v>
      </c>
      <c r="Z268" s="512">
        <f>i_N_ALGAE</f>
        <v>7.0000000000000007E-2</v>
      </c>
      <c r="AA268" s="185">
        <v>1</v>
      </c>
      <c r="AB268" s="512">
        <v>1</v>
      </c>
      <c r="AC268" s="185">
        <v>1</v>
      </c>
      <c r="AD268" s="185">
        <v>1</v>
      </c>
      <c r="AE268" s="485">
        <v>1</v>
      </c>
      <c r="AF268" s="485">
        <v>1</v>
      </c>
      <c r="AG268" s="485">
        <v>1</v>
      </c>
      <c r="AH268" s="185">
        <v>1</v>
      </c>
      <c r="AI268" s="185">
        <v>1</v>
      </c>
      <c r="AJ268" s="185">
        <v>1</v>
      </c>
      <c r="AK268" s="512">
        <v>1</v>
      </c>
      <c r="AL268" s="185">
        <v>1</v>
      </c>
      <c r="AM268" s="185"/>
      <c r="AN268" s="185"/>
      <c r="AO268" s="185"/>
      <c r="AP268" s="185"/>
      <c r="AQ268" s="512"/>
      <c r="AR268" s="185"/>
      <c r="AS268" s="185"/>
      <c r="AT268" s="185"/>
      <c r="AU268" s="185"/>
      <c r="AV268" s="185"/>
      <c r="AW268" s="185"/>
      <c r="AX268" s="185"/>
      <c r="AY268" s="185"/>
      <c r="AZ268" s="185"/>
      <c r="BA268" s="185"/>
      <c r="BB268" s="185"/>
      <c r="BC268" s="185"/>
      <c r="BD268" s="185"/>
      <c r="BE268" s="185"/>
      <c r="BF268" s="185"/>
      <c r="BG268" s="185"/>
      <c r="BH268" s="185"/>
      <c r="BI268" s="185"/>
      <c r="BJ268" s="185"/>
      <c r="BK268" s="185"/>
      <c r="BL268" s="185"/>
      <c r="BM268" s="185"/>
      <c r="BN268" s="185"/>
      <c r="BO268" s="185"/>
      <c r="BP268" s="185"/>
      <c r="BQ268" s="185"/>
      <c r="BR268" s="185"/>
      <c r="BS268" s="185"/>
      <c r="BT268" s="479"/>
      <c r="BU268" s="185">
        <f>A_MN/M_MSTR</f>
        <v>5.7075504823359977E-2</v>
      </c>
      <c r="BV268" s="185"/>
      <c r="BW268" s="2377"/>
      <c r="BX268" s="2377"/>
      <c r="BY268" s="2377"/>
      <c r="BZ268" s="2377"/>
      <c r="CA268" s="185"/>
      <c r="CB268" s="479"/>
      <c r="CC268" s="512"/>
      <c r="CD268" s="376"/>
      <c r="CE268" s="376"/>
      <c r="CF268" s="376"/>
      <c r="CG268" s="376"/>
      <c r="CH268" s="375" t="s">
        <v>3275</v>
      </c>
      <c r="CI268" s="481">
        <v>1</v>
      </c>
      <c r="CJ268" s="481">
        <v>1</v>
      </c>
      <c r="CK268" s="375" t="s">
        <v>3275</v>
      </c>
      <c r="CL268" s="370"/>
      <c r="CM268" s="370"/>
      <c r="CN268" s="370"/>
      <c r="CO268" s="370"/>
      <c r="CP268" s="370">
        <f>1/Δ_atm</f>
        <v>1</v>
      </c>
      <c r="CQ268" s="481">
        <f>1/Δ_atm</f>
        <v>1</v>
      </c>
      <c r="CR268" s="481">
        <f>1/Δ_atm</f>
        <v>1</v>
      </c>
      <c r="CS268" s="481">
        <f>1/Δ_atm</f>
        <v>1</v>
      </c>
    </row>
    <row r="269" spans="2:110" x14ac:dyDescent="0.25">
      <c r="D269" s="212" t="s">
        <v>256</v>
      </c>
      <c r="E269" s="185"/>
      <c r="F269" s="185"/>
      <c r="G269" s="185"/>
      <c r="H269" s="185">
        <f>i_P_CB</f>
        <v>2E-3</v>
      </c>
      <c r="I269" s="185"/>
      <c r="J269" s="512"/>
      <c r="K269" s="185">
        <f>i_P_SU</f>
        <v>2E-3</v>
      </c>
      <c r="L269" s="185">
        <f>i_P_CU</f>
        <v>2E-3</v>
      </c>
      <c r="M269" s="185"/>
      <c r="N269" s="185"/>
      <c r="O269" s="185"/>
      <c r="P269" s="185">
        <f t="shared" ref="P269:Y269" si="9">i_P_BIO</f>
        <v>0.02</v>
      </c>
      <c r="Q269" s="185">
        <f t="shared" si="9"/>
        <v>0.02</v>
      </c>
      <c r="R269" s="185">
        <f t="shared" si="9"/>
        <v>0.02</v>
      </c>
      <c r="S269" s="185">
        <f t="shared" si="9"/>
        <v>0.02</v>
      </c>
      <c r="T269" s="185">
        <f t="shared" si="9"/>
        <v>0.02</v>
      </c>
      <c r="U269" s="185">
        <f t="shared" si="9"/>
        <v>0.02</v>
      </c>
      <c r="V269" s="185">
        <f t="shared" si="9"/>
        <v>0.02</v>
      </c>
      <c r="W269" s="185">
        <f t="shared" si="9"/>
        <v>0.02</v>
      </c>
      <c r="X269" s="185">
        <f t="shared" si="9"/>
        <v>0.02</v>
      </c>
      <c r="Y269" s="185">
        <f t="shared" si="9"/>
        <v>0.02</v>
      </c>
      <c r="Z269" s="512">
        <f>i_P_ALGAE</f>
        <v>0.02</v>
      </c>
      <c r="AA269" s="185"/>
      <c r="AB269" s="512"/>
      <c r="AC269" s="185"/>
      <c r="AD269" s="185"/>
      <c r="AE269" s="479"/>
      <c r="AF269" s="479"/>
      <c r="AG269" s="479"/>
      <c r="AH269" s="185"/>
      <c r="AI269" s="185"/>
      <c r="AJ269" s="185"/>
      <c r="AK269" s="512"/>
      <c r="AL269" s="185"/>
      <c r="AM269" s="185">
        <v>1</v>
      </c>
      <c r="AN269" s="185">
        <v>1</v>
      </c>
      <c r="AO269" s="185">
        <v>1</v>
      </c>
      <c r="AP269" s="185">
        <v>1</v>
      </c>
      <c r="AQ269" s="512">
        <v>1</v>
      </c>
      <c r="AR269" s="185">
        <v>1</v>
      </c>
      <c r="AS269" s="185"/>
      <c r="AT269" s="185"/>
      <c r="AU269" s="185"/>
      <c r="AV269" s="185"/>
      <c r="AW269" s="185"/>
      <c r="AX269" s="185"/>
      <c r="AY269" s="185"/>
      <c r="AZ269" s="185"/>
      <c r="BA269" s="185"/>
      <c r="BB269" s="185"/>
      <c r="BC269" s="186"/>
      <c r="BD269" s="185"/>
      <c r="BE269" s="185"/>
      <c r="BF269" s="186"/>
      <c r="BG269" s="479">
        <f>A_SFHFO_H*(A_MP/A_MFe)</f>
        <v>0.66556566639806602</v>
      </c>
      <c r="BH269" s="479">
        <f>A_SFHFO_L*(A_MP/A_MFe)</f>
        <v>0.11092761106634436</v>
      </c>
      <c r="BI269" s="479">
        <f>A_SFHFO_H*(A_MP/A_MFe)</f>
        <v>0.66556566639806602</v>
      </c>
      <c r="BJ269" s="479">
        <f>A_SFHFO_L*(A_MP/A_MFe)</f>
        <v>0.11092761106634436</v>
      </c>
      <c r="BK269" s="479"/>
      <c r="BL269" s="479"/>
      <c r="BM269" s="626"/>
      <c r="BN269" s="479">
        <f>A_SFHAO_H*(A_MP/A_MAl)</f>
        <v>1.1479629449808202</v>
      </c>
      <c r="BO269" s="479">
        <f>A_SFHAO_L*(A_MP/A_MAl)</f>
        <v>0.11479629449808203</v>
      </c>
      <c r="BP269" s="479">
        <f>A_SFHAO_H*(A_MP/A_MAl)</f>
        <v>1.1479629449808202</v>
      </c>
      <c r="BQ269" s="479">
        <f>A_SFHAO_L*(A_MP/A_MAl)</f>
        <v>0.11479629449808203</v>
      </c>
      <c r="BR269" s="186"/>
      <c r="BS269" s="185">
        <f>2*A_MP/M_MACP</f>
        <v>0.16206538757887573</v>
      </c>
      <c r="BT269" s="479">
        <f>A_MP/M_MBSH</f>
        <v>0.17998807007087103</v>
      </c>
      <c r="BU269" s="185">
        <f>A_MP/M_MSTR</f>
        <v>0.12621410566683836</v>
      </c>
      <c r="BV269" s="186">
        <f>2*A_MP/M_MVivi</f>
        <v>0.1234998580474381</v>
      </c>
      <c r="BW269" s="2376"/>
      <c r="BX269" s="2376"/>
      <c r="BY269" s="2376"/>
      <c r="BZ269" s="2376"/>
      <c r="CA269" s="186"/>
      <c r="CB269" s="626"/>
      <c r="CC269" s="1468"/>
      <c r="CD269" s="376"/>
      <c r="CE269" s="376"/>
      <c r="CF269" s="376"/>
      <c r="CG269" s="376"/>
      <c r="CH269" s="376"/>
      <c r="CI269" s="479"/>
      <c r="CJ269" s="479"/>
      <c r="CK269" s="376"/>
      <c r="CL269" s="370"/>
      <c r="CM269" s="370"/>
      <c r="CN269" s="370"/>
      <c r="CO269" s="370"/>
      <c r="CP269" s="370"/>
      <c r="CQ269" s="479"/>
      <c r="CR269" s="479"/>
      <c r="CS269" s="479"/>
    </row>
    <row r="270" spans="2:110" x14ac:dyDescent="0.25">
      <c r="D270" s="212" t="s">
        <v>1112</v>
      </c>
      <c r="E270" s="185"/>
      <c r="F270" s="185"/>
      <c r="G270" s="185"/>
      <c r="H270" s="185"/>
      <c r="I270" s="185"/>
      <c r="J270" s="512"/>
      <c r="K270" s="185"/>
      <c r="L270" s="185"/>
      <c r="M270" s="185"/>
      <c r="N270" s="185"/>
      <c r="O270" s="185"/>
      <c r="P270" s="185"/>
      <c r="Q270" s="185"/>
      <c r="R270" s="185"/>
      <c r="S270" s="185"/>
      <c r="T270" s="185"/>
      <c r="U270" s="185"/>
      <c r="V270" s="185"/>
      <c r="W270" s="185"/>
      <c r="X270" s="185"/>
      <c r="Y270" s="185"/>
      <c r="Z270" s="512"/>
      <c r="AA270" s="185"/>
      <c r="AB270" s="512"/>
      <c r="AC270" s="185"/>
      <c r="AD270" s="185"/>
      <c r="AE270" s="479"/>
      <c r="AF270" s="479"/>
      <c r="AG270" s="479"/>
      <c r="AH270" s="185"/>
      <c r="AI270" s="185"/>
      <c r="AJ270" s="185"/>
      <c r="AK270" s="512"/>
      <c r="AL270" s="185"/>
      <c r="AM270" s="185"/>
      <c r="AN270" s="185"/>
      <c r="AO270" s="185"/>
      <c r="AP270" s="185"/>
      <c r="AQ270" s="512"/>
      <c r="AR270" s="185"/>
      <c r="AS270" s="185"/>
      <c r="AT270" s="185"/>
      <c r="AU270" s="185"/>
      <c r="AV270" s="185"/>
      <c r="AW270" s="459">
        <f>(1-i_Ca_INORG*(A_MCa+2*A_MCl)/A_MCa-i_Mg_INORG*(A_MMg+2*A_MCl)/A_MMg)*f_Na</f>
        <v>0.26185730529816786</v>
      </c>
      <c r="AX270" s="185">
        <v>1</v>
      </c>
      <c r="AY270" s="185"/>
      <c r="AZ270" s="185"/>
      <c r="BA270" s="185"/>
      <c r="BB270" s="185"/>
      <c r="BC270" s="186"/>
      <c r="BD270" s="185"/>
      <c r="BE270" s="185"/>
      <c r="BF270" s="186"/>
      <c r="BG270" s="186"/>
      <c r="BH270" s="185"/>
      <c r="BI270" s="186"/>
      <c r="BJ270" s="186"/>
      <c r="BK270" s="185"/>
      <c r="BL270" s="185"/>
      <c r="BM270" s="186"/>
      <c r="BN270" s="186"/>
      <c r="BO270" s="185"/>
      <c r="BP270" s="186"/>
      <c r="BQ270" s="186"/>
      <c r="BR270" s="186"/>
      <c r="BS270" s="186"/>
      <c r="BT270" s="626"/>
      <c r="BU270" s="185"/>
      <c r="BV270" s="186"/>
      <c r="BW270" s="2376"/>
      <c r="BX270" s="2376"/>
      <c r="BY270" s="2376"/>
      <c r="BZ270" s="2376"/>
      <c r="CA270" s="186"/>
      <c r="CB270" s="626"/>
      <c r="CC270" s="1468"/>
      <c r="CD270" s="376"/>
      <c r="CE270" s="376"/>
      <c r="CF270" s="376"/>
      <c r="CG270" s="376"/>
      <c r="CH270" s="376"/>
      <c r="CI270" s="479"/>
      <c r="CJ270" s="479"/>
      <c r="CK270" s="376"/>
      <c r="CL270" s="371"/>
      <c r="CM270" s="371"/>
      <c r="CN270" s="371"/>
      <c r="CO270" s="371"/>
      <c r="CP270" s="371"/>
      <c r="CQ270" s="479"/>
      <c r="CR270" s="479"/>
      <c r="CS270" s="479"/>
    </row>
    <row r="271" spans="2:110" x14ac:dyDescent="0.25">
      <c r="D271" s="212" t="s">
        <v>475</v>
      </c>
      <c r="E271" s="185"/>
      <c r="F271" s="185"/>
      <c r="G271" s="185"/>
      <c r="H271" s="185"/>
      <c r="I271" s="185"/>
      <c r="J271" s="512"/>
      <c r="K271" s="185"/>
      <c r="L271" s="185"/>
      <c r="M271" s="185"/>
      <c r="N271" s="185"/>
      <c r="O271" s="185"/>
      <c r="P271" s="185"/>
      <c r="Q271" s="185"/>
      <c r="R271" s="185"/>
      <c r="S271" s="185"/>
      <c r="T271" s="185"/>
      <c r="U271" s="185"/>
      <c r="V271" s="185"/>
      <c r="W271" s="185"/>
      <c r="X271" s="185"/>
      <c r="Y271" s="185"/>
      <c r="Z271" s="512"/>
      <c r="AA271" s="185"/>
      <c r="AB271" s="512"/>
      <c r="AC271" s="185"/>
      <c r="AD271" s="185"/>
      <c r="AE271" s="479"/>
      <c r="AF271" s="479"/>
      <c r="AG271" s="479"/>
      <c r="AH271" s="185"/>
      <c r="AI271" s="185"/>
      <c r="AJ271" s="185"/>
      <c r="AK271" s="512"/>
      <c r="AL271" s="185"/>
      <c r="AM271" s="185"/>
      <c r="AN271" s="185">
        <f>i_K_PP*A_MK/A_MP</f>
        <v>0.12623038734377579</v>
      </c>
      <c r="AO271" s="185"/>
      <c r="AP271" s="185"/>
      <c r="AQ271" s="512"/>
      <c r="AR271" s="185"/>
      <c r="AS271" s="185"/>
      <c r="AT271" s="185"/>
      <c r="AU271" s="185"/>
      <c r="AV271" s="185"/>
      <c r="AW271" s="459"/>
      <c r="AX271" s="185"/>
      <c r="AY271" s="185"/>
      <c r="AZ271" s="185"/>
      <c r="BA271" s="185"/>
      <c r="BB271" s="185">
        <v>1</v>
      </c>
      <c r="BC271" s="185"/>
      <c r="BD271" s="185"/>
      <c r="BE271" s="185"/>
      <c r="BF271" s="185"/>
      <c r="BG271" s="185"/>
      <c r="BH271" s="185"/>
      <c r="BI271" s="185"/>
      <c r="BJ271" s="185"/>
      <c r="BK271" s="185"/>
      <c r="BL271" s="185"/>
      <c r="BM271" s="185"/>
      <c r="BN271" s="185"/>
      <c r="BO271" s="185"/>
      <c r="BP271" s="185"/>
      <c r="BQ271" s="185"/>
      <c r="BR271" s="185"/>
      <c r="BS271" s="185"/>
      <c r="BT271" s="479"/>
      <c r="BU271" s="185"/>
      <c r="BV271" s="185"/>
      <c r="BW271" s="2377"/>
      <c r="BX271" s="2377"/>
      <c r="BY271" s="2377"/>
      <c r="BZ271" s="2377"/>
      <c r="CA271" s="185"/>
      <c r="CB271" s="479"/>
      <c r="CC271" s="512"/>
      <c r="CD271" s="185"/>
      <c r="CE271" s="185"/>
      <c r="CF271" s="185"/>
      <c r="CG271" s="185"/>
      <c r="CH271" s="185"/>
      <c r="CI271" s="482"/>
      <c r="CJ271" s="482"/>
      <c r="CK271" s="234"/>
      <c r="CL271" s="371"/>
      <c r="CM271" s="371"/>
      <c r="CN271" s="371"/>
      <c r="CO271" s="371"/>
      <c r="CP271" s="371"/>
      <c r="CQ271" s="482"/>
      <c r="CR271" s="482"/>
      <c r="CS271" s="482"/>
    </row>
    <row r="272" spans="2:110" x14ac:dyDescent="0.25">
      <c r="D272" s="212" t="s">
        <v>985</v>
      </c>
      <c r="E272" s="185"/>
      <c r="F272" s="185"/>
      <c r="G272" s="185"/>
      <c r="H272" s="185"/>
      <c r="I272" s="185"/>
      <c r="J272" s="512"/>
      <c r="K272" s="185"/>
      <c r="L272" s="185"/>
      <c r="M272" s="185"/>
      <c r="N272" s="185"/>
      <c r="O272" s="185"/>
      <c r="P272" s="185"/>
      <c r="Q272" s="185"/>
      <c r="R272" s="185"/>
      <c r="S272" s="185"/>
      <c r="T272" s="185"/>
      <c r="U272" s="185"/>
      <c r="V272" s="185"/>
      <c r="W272" s="185"/>
      <c r="X272" s="185"/>
      <c r="Y272" s="185"/>
      <c r="Z272" s="512"/>
      <c r="AA272" s="185"/>
      <c r="AB272" s="512"/>
      <c r="AC272" s="185"/>
      <c r="AD272" s="185"/>
      <c r="AE272" s="479"/>
      <c r="AF272" s="479"/>
      <c r="AG272" s="479"/>
      <c r="AH272" s="185"/>
      <c r="AI272" s="185"/>
      <c r="AJ272" s="185"/>
      <c r="AK272" s="512"/>
      <c r="AL272" s="185"/>
      <c r="AM272" s="185"/>
      <c r="AN272" s="185">
        <f>i_Ca_PP*A_MCa/A_MP</f>
        <v>0.12939338702613273</v>
      </c>
      <c r="AO272" s="185"/>
      <c r="AP272" s="185"/>
      <c r="AQ272" s="512"/>
      <c r="AR272" s="185"/>
      <c r="AS272" s="185"/>
      <c r="AT272" s="185"/>
      <c r="AU272" s="185"/>
      <c r="AV272" s="185"/>
      <c r="AW272" s="459">
        <f>i_Ca_INORG</f>
        <v>0.05</v>
      </c>
      <c r="AX272" s="185"/>
      <c r="AY272" s="185"/>
      <c r="AZ272" s="185">
        <v>1</v>
      </c>
      <c r="BA272" s="185"/>
      <c r="BB272" s="185"/>
      <c r="BC272" s="185"/>
      <c r="BD272" s="185"/>
      <c r="BE272" s="185"/>
      <c r="BF272" s="185"/>
      <c r="BG272" s="185"/>
      <c r="BH272" s="185"/>
      <c r="BI272" s="185"/>
      <c r="BJ272" s="185"/>
      <c r="BK272" s="185"/>
      <c r="BL272" s="185"/>
      <c r="BM272" s="185"/>
      <c r="BN272" s="185"/>
      <c r="BO272" s="185"/>
      <c r="BP272" s="185"/>
      <c r="BQ272" s="185"/>
      <c r="BR272" s="185">
        <f>A_MCa/M_MCaCO3</f>
        <v>0.40043202457064814</v>
      </c>
      <c r="BS272" s="185">
        <f>3*A_MCa/M_MACP</f>
        <v>0.31455284127800509</v>
      </c>
      <c r="BT272" s="479">
        <f>A_MCa/M_MBSH</f>
        <v>0.2328926601076691</v>
      </c>
      <c r="BU272" s="185"/>
      <c r="BV272" s="185"/>
      <c r="BW272" s="2377"/>
      <c r="BX272" s="2377"/>
      <c r="BY272" s="2377"/>
      <c r="BZ272" s="2377"/>
      <c r="CA272" s="185"/>
      <c r="CB272" s="479"/>
      <c r="CC272" s="512"/>
      <c r="CD272" s="185"/>
      <c r="CE272" s="185"/>
      <c r="CF272" s="185"/>
      <c r="CG272" s="185"/>
      <c r="CH272" s="185"/>
      <c r="CI272" s="482"/>
      <c r="CJ272" s="482"/>
      <c r="CK272" s="234"/>
      <c r="CL272" s="371"/>
      <c r="CM272" s="371"/>
      <c r="CN272" s="371"/>
      <c r="CO272" s="371"/>
      <c r="CP272" s="371"/>
      <c r="CQ272" s="482"/>
      <c r="CR272" s="482"/>
      <c r="CS272" s="482"/>
    </row>
    <row r="273" spans="4:97" x14ac:dyDescent="0.25">
      <c r="D273" s="212" t="s">
        <v>986</v>
      </c>
      <c r="E273" s="185"/>
      <c r="F273" s="185"/>
      <c r="G273" s="185"/>
      <c r="H273" s="185"/>
      <c r="I273" s="185"/>
      <c r="J273" s="512"/>
      <c r="K273" s="185"/>
      <c r="L273" s="185"/>
      <c r="M273" s="185"/>
      <c r="N273" s="185"/>
      <c r="O273" s="185"/>
      <c r="P273" s="185"/>
      <c r="Q273" s="185"/>
      <c r="R273" s="185"/>
      <c r="S273" s="185"/>
      <c r="T273" s="185"/>
      <c r="U273" s="185"/>
      <c r="V273" s="185"/>
      <c r="W273" s="185"/>
      <c r="X273" s="185"/>
      <c r="Y273" s="185"/>
      <c r="Z273" s="512"/>
      <c r="AA273" s="185"/>
      <c r="AB273" s="512"/>
      <c r="AC273" s="185"/>
      <c r="AD273" s="185"/>
      <c r="AE273" s="479"/>
      <c r="AF273" s="479"/>
      <c r="AG273" s="479"/>
      <c r="AH273" s="185"/>
      <c r="AI273" s="185"/>
      <c r="AJ273" s="185"/>
      <c r="AK273" s="512"/>
      <c r="AL273" s="185"/>
      <c r="AM273" s="185"/>
      <c r="AN273" s="185">
        <f>i_Mg_PP*A_MMg/A_MP</f>
        <v>0.27464374347136938</v>
      </c>
      <c r="AO273" s="185"/>
      <c r="AP273" s="185"/>
      <c r="AQ273" s="512"/>
      <c r="AR273" s="185"/>
      <c r="AS273" s="185"/>
      <c r="AT273" s="185"/>
      <c r="AU273" s="185"/>
      <c r="AV273" s="185"/>
      <c r="AW273" s="459">
        <f>i_Mg_INORG</f>
        <v>0.05</v>
      </c>
      <c r="AX273" s="185"/>
      <c r="AY273" s="185"/>
      <c r="AZ273" s="185"/>
      <c r="BA273" s="185">
        <v>1</v>
      </c>
      <c r="BB273" s="185"/>
      <c r="BC273" s="185"/>
      <c r="BD273" s="185"/>
      <c r="BE273" s="185"/>
      <c r="BF273" s="185"/>
      <c r="BG273" s="185"/>
      <c r="BH273" s="185"/>
      <c r="BI273" s="185"/>
      <c r="BJ273" s="185"/>
      <c r="BK273" s="185"/>
      <c r="BL273" s="185"/>
      <c r="BM273" s="185"/>
      <c r="BN273" s="185"/>
      <c r="BO273" s="185"/>
      <c r="BP273" s="185"/>
      <c r="BQ273" s="185"/>
      <c r="BR273" s="185"/>
      <c r="BS273" s="185"/>
      <c r="BT273" s="479"/>
      <c r="BU273" s="185">
        <f>A_MMg/M_MSTR</f>
        <v>9.9039755597804202E-2</v>
      </c>
      <c r="BV273" s="185"/>
      <c r="BW273" s="2377"/>
      <c r="BX273" s="2377"/>
      <c r="BY273" s="2377"/>
      <c r="BZ273" s="2377"/>
      <c r="CA273" s="185"/>
      <c r="CB273" s="479"/>
      <c r="CC273" s="512"/>
      <c r="CD273" s="185"/>
      <c r="CE273" s="185"/>
      <c r="CF273" s="185"/>
      <c r="CG273" s="185"/>
      <c r="CH273" s="185"/>
      <c r="CI273" s="482"/>
      <c r="CJ273" s="482"/>
      <c r="CK273" s="234"/>
      <c r="CL273" s="371"/>
      <c r="CM273" s="371"/>
      <c r="CN273" s="371"/>
      <c r="CO273" s="371"/>
      <c r="CP273" s="371"/>
      <c r="CQ273" s="482"/>
      <c r="CR273" s="482"/>
      <c r="CS273" s="482"/>
    </row>
    <row r="274" spans="4:97" x14ac:dyDescent="0.25">
      <c r="D274" s="212" t="s">
        <v>142</v>
      </c>
      <c r="E274" s="185"/>
      <c r="F274" s="185"/>
      <c r="G274" s="185"/>
      <c r="H274" s="185"/>
      <c r="I274" s="185"/>
      <c r="J274" s="512"/>
      <c r="K274" s="185"/>
      <c r="L274" s="185"/>
      <c r="M274" s="185"/>
      <c r="N274" s="185"/>
      <c r="O274" s="185"/>
      <c r="P274" s="185"/>
      <c r="Q274" s="185"/>
      <c r="R274" s="185"/>
      <c r="S274" s="185"/>
      <c r="T274" s="185"/>
      <c r="U274" s="185"/>
      <c r="V274" s="185"/>
      <c r="W274" s="185"/>
      <c r="X274" s="185"/>
      <c r="Y274" s="185"/>
      <c r="Z274" s="512"/>
      <c r="AA274" s="185"/>
      <c r="AB274" s="512"/>
      <c r="AC274" s="185"/>
      <c r="AD274" s="185"/>
      <c r="AE274" s="479"/>
      <c r="AF274" s="479"/>
      <c r="AG274" s="479"/>
      <c r="AH274" s="185"/>
      <c r="AI274" s="185"/>
      <c r="AJ274" s="185"/>
      <c r="AK274" s="512"/>
      <c r="AL274" s="185"/>
      <c r="AM274" s="185"/>
      <c r="AN274" s="185"/>
      <c r="AO274" s="185"/>
      <c r="AP274" s="185"/>
      <c r="AQ274" s="512"/>
      <c r="AR274" s="185"/>
      <c r="AS274" s="185"/>
      <c r="AT274" s="185"/>
      <c r="AU274" s="185"/>
      <c r="AV274" s="185"/>
      <c r="AW274" s="459">
        <f>(i_Ca_INORG*(2*A_MCl)/A_MCa+i_Mg_INORG*(2*A_MCl)/A_MMg)+(1-i_Ca_INORG*(A_MCa+2*A_MCl)/A_MCa-i_Mg_INORG*(A_MMg+2*A_MCl)/A_MMg)*(1-f_Na)</f>
        <v>0.63814269470183216</v>
      </c>
      <c r="AX274" s="185"/>
      <c r="AY274" s="185">
        <v>1</v>
      </c>
      <c r="AZ274" s="185"/>
      <c r="BA274" s="185"/>
      <c r="BB274" s="185"/>
      <c r="BC274" s="185"/>
      <c r="BD274" s="185"/>
      <c r="BE274" s="185"/>
      <c r="BF274" s="185"/>
      <c r="BG274" s="185"/>
      <c r="BH274" s="185"/>
      <c r="BI274" s="185"/>
      <c r="BJ274" s="185"/>
      <c r="BK274" s="185"/>
      <c r="BL274" s="185"/>
      <c r="BM274" s="185"/>
      <c r="BN274" s="185"/>
      <c r="BO274" s="185"/>
      <c r="BP274" s="185"/>
      <c r="BQ274" s="185"/>
      <c r="BR274" s="185"/>
      <c r="BS274" s="185"/>
      <c r="BT274" s="479"/>
      <c r="BU274" s="185"/>
      <c r="BV274" s="185"/>
      <c r="BW274" s="2377"/>
      <c r="BX274" s="2377"/>
      <c r="BY274" s="2377"/>
      <c r="BZ274" s="2377"/>
      <c r="CA274" s="185"/>
      <c r="CB274" s="479"/>
      <c r="CC274" s="512"/>
      <c r="CD274" s="185"/>
      <c r="CE274" s="185"/>
      <c r="CF274" s="185"/>
      <c r="CG274" s="185"/>
      <c r="CH274" s="185"/>
      <c r="CI274" s="482"/>
      <c r="CJ274" s="482"/>
      <c r="CK274" s="234"/>
      <c r="CL274" s="371"/>
      <c r="CM274" s="371"/>
      <c r="CN274" s="371"/>
      <c r="CO274" s="371"/>
      <c r="CP274" s="371"/>
      <c r="CQ274" s="482"/>
      <c r="CR274" s="482"/>
      <c r="CS274" s="482"/>
    </row>
    <row r="275" spans="4:97" x14ac:dyDescent="0.25">
      <c r="D275" s="212" t="s">
        <v>2933</v>
      </c>
      <c r="E275" s="185"/>
      <c r="F275" s="185"/>
      <c r="G275" s="185"/>
      <c r="H275" s="185"/>
      <c r="I275" s="185"/>
      <c r="J275" s="512"/>
      <c r="K275" s="185"/>
      <c r="L275" s="185"/>
      <c r="M275" s="185"/>
      <c r="N275" s="185"/>
      <c r="O275" s="185"/>
      <c r="P275" s="185"/>
      <c r="Q275" s="185"/>
      <c r="R275" s="185"/>
      <c r="S275" s="185"/>
      <c r="T275" s="185"/>
      <c r="U275" s="185"/>
      <c r="V275" s="185"/>
      <c r="W275" s="185"/>
      <c r="X275" s="185"/>
      <c r="Y275" s="185"/>
      <c r="Z275" s="512"/>
      <c r="AA275" s="185"/>
      <c r="AB275" s="512"/>
      <c r="AC275" s="185"/>
      <c r="AD275" s="185"/>
      <c r="AE275" s="479"/>
      <c r="AF275" s="479"/>
      <c r="AG275" s="479"/>
      <c r="AH275" s="185"/>
      <c r="AI275" s="185"/>
      <c r="AJ275" s="185"/>
      <c r="AK275" s="512"/>
      <c r="AL275" s="185"/>
      <c r="AM275" s="185"/>
      <c r="AN275" s="185"/>
      <c r="AO275" s="185"/>
      <c r="AP275" s="185"/>
      <c r="AQ275" s="512"/>
      <c r="AR275" s="185"/>
      <c r="AS275" s="185"/>
      <c r="AT275" s="185"/>
      <c r="AU275" s="185"/>
      <c r="AV275" s="185"/>
      <c r="AW275" s="185"/>
      <c r="AX275" s="185"/>
      <c r="AY275" s="185"/>
      <c r="AZ275" s="185"/>
      <c r="BA275" s="185"/>
      <c r="BB275" s="185"/>
      <c r="BC275" s="185">
        <v>1</v>
      </c>
      <c r="BD275" s="185">
        <v>1</v>
      </c>
      <c r="BE275" s="185">
        <v>1</v>
      </c>
      <c r="BF275" s="185">
        <v>1</v>
      </c>
      <c r="BG275" s="185">
        <v>1</v>
      </c>
      <c r="BH275" s="185">
        <v>1</v>
      </c>
      <c r="BI275" s="185">
        <v>1</v>
      </c>
      <c r="BJ275" s="185">
        <v>1</v>
      </c>
      <c r="BK275" s="185"/>
      <c r="BL275" s="185"/>
      <c r="BM275" s="185"/>
      <c r="BN275" s="185"/>
      <c r="BO275" s="185"/>
      <c r="BP275" s="185"/>
      <c r="BQ275" s="185"/>
      <c r="BR275" s="185"/>
      <c r="BS275" s="185"/>
      <c r="BT275" s="479"/>
      <c r="BU275" s="185"/>
      <c r="BV275" s="185">
        <f>3*A_MFe/M_MVivi</f>
        <v>0.33400121987727954</v>
      </c>
      <c r="BW275" s="2377"/>
      <c r="BX275" s="2377"/>
      <c r="BY275" s="2377"/>
      <c r="BZ275" s="2377"/>
      <c r="CA275" s="185"/>
      <c r="CB275" s="479"/>
      <c r="CC275" s="512"/>
      <c r="CD275" s="185"/>
      <c r="CE275" s="185"/>
      <c r="CF275" s="185"/>
      <c r="CG275" s="185"/>
      <c r="CH275" s="185"/>
      <c r="CI275" s="482"/>
      <c r="CJ275" s="482"/>
      <c r="CK275" s="234"/>
      <c r="CL275" s="371"/>
      <c r="CM275" s="371"/>
      <c r="CN275" s="371"/>
      <c r="CO275" s="371"/>
      <c r="CP275" s="371"/>
      <c r="CQ275" s="482"/>
      <c r="CR275" s="482"/>
      <c r="CS275" s="482"/>
    </row>
    <row r="276" spans="4:97" ht="15.75" thickBot="1" x14ac:dyDescent="0.3">
      <c r="D276" s="213" t="s">
        <v>2934</v>
      </c>
      <c r="E276" s="214"/>
      <c r="F276" s="214"/>
      <c r="G276" s="214"/>
      <c r="H276" s="214"/>
      <c r="I276" s="214"/>
      <c r="J276" s="1654"/>
      <c r="K276" s="214"/>
      <c r="L276" s="214"/>
      <c r="M276" s="214"/>
      <c r="N276" s="214"/>
      <c r="O276" s="214"/>
      <c r="P276" s="214"/>
      <c r="Q276" s="214"/>
      <c r="R276" s="214"/>
      <c r="S276" s="214"/>
      <c r="T276" s="214"/>
      <c r="U276" s="214"/>
      <c r="V276" s="214"/>
      <c r="W276" s="214"/>
      <c r="X276" s="214"/>
      <c r="Y276" s="214"/>
      <c r="Z276" s="1654"/>
      <c r="AA276" s="214"/>
      <c r="AB276" s="480"/>
      <c r="AC276" s="214"/>
      <c r="AD276" s="214"/>
      <c r="AE276" s="480"/>
      <c r="AF276" s="480"/>
      <c r="AG276" s="480"/>
      <c r="AH276" s="214"/>
      <c r="AI276" s="214"/>
      <c r="AJ276" s="214"/>
      <c r="AK276" s="1654"/>
      <c r="AL276" s="214"/>
      <c r="AM276" s="214"/>
      <c r="AN276" s="214"/>
      <c r="AO276" s="214"/>
      <c r="AP276" s="214"/>
      <c r="AQ276" s="1654"/>
      <c r="AR276" s="214"/>
      <c r="AS276" s="214"/>
      <c r="AT276" s="214"/>
      <c r="AU276" s="214"/>
      <c r="AV276" s="214"/>
      <c r="AW276" s="214"/>
      <c r="AX276" s="214"/>
      <c r="AY276" s="214"/>
      <c r="AZ276" s="214"/>
      <c r="BA276" s="214"/>
      <c r="BB276" s="214"/>
      <c r="BC276" s="215"/>
      <c r="BD276" s="214"/>
      <c r="BE276" s="214"/>
      <c r="BF276" s="215"/>
      <c r="BG276" s="215"/>
      <c r="BH276" s="214"/>
      <c r="BI276" s="215"/>
      <c r="BJ276" s="215"/>
      <c r="BK276" s="214">
        <v>1</v>
      </c>
      <c r="BL276" s="214">
        <v>1</v>
      </c>
      <c r="BM276" s="215">
        <v>1</v>
      </c>
      <c r="BN276" s="215">
        <v>1</v>
      </c>
      <c r="BO276" s="214">
        <v>1</v>
      </c>
      <c r="BP276" s="215">
        <v>1</v>
      </c>
      <c r="BQ276" s="215">
        <v>1</v>
      </c>
      <c r="BR276" s="215"/>
      <c r="BS276" s="215"/>
      <c r="BT276" s="627"/>
      <c r="BU276" s="214"/>
      <c r="BV276" s="215"/>
      <c r="BW276" s="1477"/>
      <c r="BX276" s="1477"/>
      <c r="BY276" s="1477"/>
      <c r="BZ276" s="1477"/>
      <c r="CA276" s="215"/>
      <c r="CB276" s="627"/>
      <c r="CC276" s="1477"/>
      <c r="CD276" s="214"/>
      <c r="CE276" s="214"/>
      <c r="CF276" s="214"/>
      <c r="CG276" s="214"/>
      <c r="CH276" s="214"/>
      <c r="CI276" s="483"/>
      <c r="CJ276" s="483"/>
      <c r="CK276" s="235"/>
      <c r="CL276" s="372"/>
      <c r="CM276" s="372"/>
      <c r="CN276" s="372"/>
      <c r="CO276" s="372"/>
      <c r="CP276" s="372"/>
      <c r="CQ276" s="483"/>
      <c r="CR276" s="483"/>
      <c r="CS276" s="483"/>
    </row>
  </sheetData>
  <phoneticPr fontId="30" type="noConversion"/>
  <pageMargins left="0.7" right="0.7" top="0.75" bottom="0.75" header="0.3" footer="0.3"/>
  <pageSetup orientation="portrait" r:id="rId1"/>
  <ignoredErrors>
    <ignoredError sqref="BC92" numberStoredAsText="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4"/>
  <dimension ref="A1:AF46"/>
  <sheetViews>
    <sheetView showGridLines="0" zoomScaleNormal="100" workbookViewId="0">
      <pane xSplit="3" ySplit="3" topLeftCell="D4" activePane="bottomRight" state="frozen"/>
      <selection pane="topRight" activeCell="D1" sqref="D1"/>
      <selection pane="bottomLeft" activeCell="A4" sqref="A4"/>
      <selection pane="bottomRight" activeCell="B43" sqref="B43:AF46"/>
    </sheetView>
  </sheetViews>
  <sheetFormatPr baseColWidth="10" defaultColWidth="9.140625" defaultRowHeight="15" x14ac:dyDescent="0.25"/>
  <cols>
    <col min="1" max="1" width="6" customWidth="1"/>
    <col min="2" max="2" width="17.7109375" bestFit="1" customWidth="1"/>
    <col min="3" max="3" width="34.7109375" customWidth="1"/>
    <col min="4" max="4" width="20.140625" bestFit="1" customWidth="1"/>
    <col min="5" max="5" width="9.85546875" bestFit="1" customWidth="1"/>
    <col min="6" max="6" width="34" customWidth="1"/>
    <col min="7" max="7" width="32.85546875" bestFit="1" customWidth="1"/>
    <col min="8" max="9" width="32.85546875" customWidth="1"/>
    <col min="10" max="10" width="16" bestFit="1" customWidth="1"/>
    <col min="11" max="11" width="48.140625" bestFit="1" customWidth="1"/>
    <col min="12" max="12" width="49.7109375" bestFit="1" customWidth="1"/>
    <col min="13" max="13" width="49" bestFit="1" customWidth="1"/>
    <col min="14" max="14" width="63.7109375" bestFit="1" customWidth="1"/>
    <col min="15" max="15" width="67.28515625" bestFit="1" customWidth="1"/>
    <col min="16" max="16" width="69" bestFit="1" customWidth="1"/>
    <col min="17" max="17" width="68.140625" bestFit="1" customWidth="1"/>
    <col min="18" max="18" width="35.85546875" customWidth="1"/>
    <col min="19" max="19" width="36.28515625" customWidth="1"/>
    <col min="20" max="20" width="20.28515625" customWidth="1"/>
    <col min="21" max="21" width="19.28515625" customWidth="1"/>
    <col min="22" max="22" width="16.85546875" customWidth="1"/>
    <col min="23" max="24" width="15.28515625" bestFit="1" customWidth="1"/>
    <col min="25" max="25" width="20.140625" customWidth="1"/>
    <col min="26" max="26" width="15.85546875" customWidth="1"/>
    <col min="27" max="27" width="7" bestFit="1" customWidth="1"/>
    <col min="28" max="28" width="9" bestFit="1" customWidth="1"/>
    <col min="29" max="29" width="5" bestFit="1" customWidth="1"/>
    <col min="30" max="30" width="18.28515625" bestFit="1" customWidth="1"/>
  </cols>
  <sheetData>
    <row r="1" spans="1:30" s="45" customFormat="1" ht="48" customHeight="1" thickBot="1" x14ac:dyDescent="0.3">
      <c r="A1" s="47"/>
    </row>
    <row r="2" spans="1:30" ht="21" customHeight="1" thickBot="1" x14ac:dyDescent="0.3">
      <c r="A2" t="s">
        <v>1120</v>
      </c>
      <c r="C2" s="54" t="s">
        <v>4</v>
      </c>
      <c r="D2" s="119" t="s">
        <v>319</v>
      </c>
      <c r="J2" s="1"/>
      <c r="K2" s="1"/>
    </row>
    <row r="3" spans="1:30" s="8" customFormat="1" ht="18.75" thickBot="1" x14ac:dyDescent="0.3">
      <c r="B3" s="247" t="s">
        <v>0</v>
      </c>
      <c r="C3" s="242" t="s">
        <v>1</v>
      </c>
      <c r="D3" s="390" t="s">
        <v>396</v>
      </c>
      <c r="E3" s="390" t="s">
        <v>398</v>
      </c>
      <c r="F3" s="390" t="s">
        <v>400</v>
      </c>
      <c r="G3" s="390" t="s">
        <v>402</v>
      </c>
      <c r="H3" s="391" t="s">
        <v>2191</v>
      </c>
      <c r="I3" s="391" t="s">
        <v>2193</v>
      </c>
      <c r="J3" s="390" t="s">
        <v>423</v>
      </c>
      <c r="K3" s="390" t="s">
        <v>404</v>
      </c>
      <c r="L3" s="390" t="s">
        <v>406</v>
      </c>
      <c r="M3" s="390" t="s">
        <v>408</v>
      </c>
      <c r="N3" s="390" t="s">
        <v>410</v>
      </c>
      <c r="O3" s="390" t="s">
        <v>412</v>
      </c>
      <c r="P3" s="390" t="s">
        <v>414</v>
      </c>
      <c r="Q3" s="390" t="s">
        <v>416</v>
      </c>
      <c r="R3" s="390" t="s">
        <v>418</v>
      </c>
      <c r="S3" s="390" t="s">
        <v>420</v>
      </c>
      <c r="T3" s="390" t="s">
        <v>993</v>
      </c>
      <c r="U3" s="390" t="s">
        <v>994</v>
      </c>
      <c r="V3" s="390" t="s">
        <v>1250</v>
      </c>
      <c r="W3" s="392" t="s">
        <v>1052</v>
      </c>
      <c r="X3" s="392" t="s">
        <v>1249</v>
      </c>
      <c r="Y3" s="392" t="s">
        <v>1054</v>
      </c>
      <c r="Z3" s="248" t="s">
        <v>152</v>
      </c>
      <c r="AA3" s="248" t="s">
        <v>2</v>
      </c>
      <c r="AB3" s="248" t="s">
        <v>300</v>
      </c>
      <c r="AC3" s="248" t="s">
        <v>116</v>
      </c>
      <c r="AD3" s="249" t="s">
        <v>117</v>
      </c>
    </row>
    <row r="4" spans="1:30" ht="18.75" x14ac:dyDescent="0.25">
      <c r="B4" s="204" t="s">
        <v>424</v>
      </c>
      <c r="C4" s="202" t="s">
        <v>308</v>
      </c>
      <c r="D4" s="202" t="s">
        <v>309</v>
      </c>
      <c r="E4" s="202" t="s">
        <v>425</v>
      </c>
      <c r="F4" s="202"/>
      <c r="G4" s="202"/>
      <c r="H4" s="297"/>
      <c r="I4" s="297"/>
      <c r="J4" s="202"/>
      <c r="K4" s="202"/>
      <c r="L4" s="202"/>
      <c r="M4" s="202"/>
      <c r="N4" s="202"/>
      <c r="O4" s="202"/>
      <c r="P4" s="202"/>
      <c r="Q4" s="202"/>
      <c r="R4" s="202"/>
      <c r="S4" s="202"/>
      <c r="T4" s="202"/>
      <c r="U4" s="202"/>
      <c r="V4" s="202"/>
      <c r="W4" s="202"/>
      <c r="X4" s="202"/>
      <c r="Y4" s="202"/>
      <c r="Z4" s="203"/>
      <c r="AA4" s="201" t="s">
        <v>842</v>
      </c>
      <c r="AB4" s="203"/>
      <c r="AC4" s="203" t="s">
        <v>11</v>
      </c>
      <c r="AD4" s="205"/>
    </row>
    <row r="5" spans="1:30" ht="21" customHeight="1" x14ac:dyDescent="0.25">
      <c r="B5" s="317" t="s">
        <v>2424</v>
      </c>
      <c r="C5" s="198" t="s">
        <v>310</v>
      </c>
      <c r="D5" s="198"/>
      <c r="E5" s="198"/>
      <c r="F5" s="198" t="s">
        <v>2420</v>
      </c>
      <c r="G5" s="198" t="s">
        <v>2421</v>
      </c>
      <c r="H5" s="198"/>
      <c r="I5" s="198"/>
      <c r="J5" s="198"/>
      <c r="K5" s="198"/>
      <c r="L5" s="198"/>
      <c r="M5" s="198"/>
      <c r="N5" s="198"/>
      <c r="O5" s="198"/>
      <c r="P5" s="198"/>
      <c r="Q5" s="198"/>
      <c r="R5" s="198"/>
      <c r="S5" s="198"/>
      <c r="T5" s="198"/>
      <c r="U5" s="198"/>
      <c r="V5" s="198"/>
      <c r="W5" s="198"/>
      <c r="X5" s="198"/>
      <c r="Y5" s="198"/>
      <c r="Z5" s="199"/>
      <c r="AA5" s="197" t="s">
        <v>842</v>
      </c>
      <c r="AB5" s="199"/>
      <c r="AC5" s="203" t="s">
        <v>11</v>
      </c>
      <c r="AD5" s="251"/>
    </row>
    <row r="6" spans="1:30" ht="21" customHeight="1" x14ac:dyDescent="0.25">
      <c r="B6" s="250" t="s">
        <v>2195</v>
      </c>
      <c r="C6" s="198" t="s">
        <v>758</v>
      </c>
      <c r="D6" s="198"/>
      <c r="E6" s="198"/>
      <c r="F6" s="198"/>
      <c r="G6" s="198"/>
      <c r="H6" s="198" t="s">
        <v>2418</v>
      </c>
      <c r="I6" s="198" t="s">
        <v>2419</v>
      </c>
      <c r="J6" s="198"/>
      <c r="K6" s="198"/>
      <c r="L6" s="198"/>
      <c r="M6" s="198"/>
      <c r="N6" s="198"/>
      <c r="O6" s="198"/>
      <c r="P6" s="198"/>
      <c r="Q6" s="198"/>
      <c r="R6" s="198"/>
      <c r="S6" s="198"/>
      <c r="T6" s="198"/>
      <c r="U6" s="198"/>
      <c r="V6" s="198"/>
      <c r="W6" s="198"/>
      <c r="X6" s="198"/>
      <c r="Y6" s="198"/>
      <c r="Z6" s="199"/>
      <c r="AA6" s="197" t="s">
        <v>842</v>
      </c>
      <c r="AB6" s="199"/>
      <c r="AC6" s="203" t="s">
        <v>11</v>
      </c>
      <c r="AD6" s="251"/>
    </row>
    <row r="7" spans="1:30" ht="21" customHeight="1" x14ac:dyDescent="0.25">
      <c r="B7" s="250" t="s">
        <v>1103</v>
      </c>
      <c r="C7" s="198" t="s">
        <v>311</v>
      </c>
      <c r="D7" s="198"/>
      <c r="E7" s="198"/>
      <c r="F7" s="198"/>
      <c r="G7" s="198"/>
      <c r="H7" s="198"/>
      <c r="I7" s="198"/>
      <c r="J7" s="198" t="s">
        <v>3357</v>
      </c>
      <c r="K7" s="198"/>
      <c r="L7" s="198"/>
      <c r="M7" s="198"/>
      <c r="N7" s="198"/>
      <c r="O7" s="198"/>
      <c r="P7" s="198"/>
      <c r="Q7" s="198"/>
      <c r="R7" s="198"/>
      <c r="S7" s="198"/>
      <c r="T7" s="198"/>
      <c r="U7" s="198"/>
      <c r="V7" s="198"/>
      <c r="W7" s="198"/>
      <c r="X7" s="198"/>
      <c r="Y7" s="198"/>
      <c r="Z7" s="199"/>
      <c r="AA7" s="197" t="s">
        <v>842</v>
      </c>
      <c r="AB7" s="199"/>
      <c r="AC7" s="203" t="s">
        <v>11</v>
      </c>
      <c r="AD7" s="251"/>
    </row>
    <row r="8" spans="1:30" ht="21" customHeight="1" x14ac:dyDescent="0.25">
      <c r="B8" s="250" t="s">
        <v>426</v>
      </c>
      <c r="C8" s="198" t="s">
        <v>314</v>
      </c>
      <c r="D8" s="198"/>
      <c r="E8" s="198"/>
      <c r="F8" s="198"/>
      <c r="G8" s="198"/>
      <c r="H8" s="198"/>
      <c r="I8" s="198"/>
      <c r="J8" s="198"/>
      <c r="K8" s="198" t="s">
        <v>2417</v>
      </c>
      <c r="L8" s="198" t="s">
        <v>2422</v>
      </c>
      <c r="M8" s="198" t="s">
        <v>2423</v>
      </c>
      <c r="N8" s="198"/>
      <c r="O8" s="198"/>
      <c r="P8" s="198"/>
      <c r="Q8" s="198"/>
      <c r="R8" s="198"/>
      <c r="S8" s="198"/>
      <c r="T8" s="198"/>
      <c r="U8" s="198"/>
      <c r="V8" s="198"/>
      <c r="W8" s="198"/>
      <c r="X8" s="198"/>
      <c r="Y8" s="198"/>
      <c r="Z8" s="199"/>
      <c r="AA8" s="197" t="s">
        <v>842</v>
      </c>
      <c r="AB8" s="199"/>
      <c r="AC8" s="203" t="s">
        <v>11</v>
      </c>
      <c r="AD8" s="251"/>
    </row>
    <row r="9" spans="1:30" ht="21" customHeight="1" x14ac:dyDescent="0.25">
      <c r="B9" s="250" t="s">
        <v>427</v>
      </c>
      <c r="C9" s="198" t="s">
        <v>315</v>
      </c>
      <c r="D9" s="198"/>
      <c r="E9" s="198"/>
      <c r="F9" s="198"/>
      <c r="G9" s="198"/>
      <c r="H9" s="198"/>
      <c r="I9" s="198"/>
      <c r="J9" s="198"/>
      <c r="K9" s="198"/>
      <c r="L9" s="198"/>
      <c r="M9" s="198"/>
      <c r="N9" s="198" t="s">
        <v>428</v>
      </c>
      <c r="O9" s="198" t="s">
        <v>429</v>
      </c>
      <c r="P9" s="198" t="s">
        <v>430</v>
      </c>
      <c r="Q9" s="198" t="s">
        <v>431</v>
      </c>
      <c r="R9" s="198"/>
      <c r="S9" s="198"/>
      <c r="T9" s="198"/>
      <c r="U9" s="198"/>
      <c r="V9" s="198"/>
      <c r="W9" s="198"/>
      <c r="X9" s="198"/>
      <c r="Y9" s="198"/>
      <c r="Z9" s="199"/>
      <c r="AA9" s="197" t="s">
        <v>842</v>
      </c>
      <c r="AB9" s="199"/>
      <c r="AC9" s="203" t="s">
        <v>11</v>
      </c>
      <c r="AD9" s="251"/>
    </row>
    <row r="10" spans="1:30" ht="21" customHeight="1" x14ac:dyDescent="0.25">
      <c r="B10" s="250" t="s">
        <v>432</v>
      </c>
      <c r="C10" s="198" t="s">
        <v>316</v>
      </c>
      <c r="D10" s="198"/>
      <c r="E10" s="198"/>
      <c r="F10" s="198"/>
      <c r="G10" s="198"/>
      <c r="H10" s="198"/>
      <c r="I10" s="198"/>
      <c r="J10" s="198"/>
      <c r="K10" s="198"/>
      <c r="L10" s="198"/>
      <c r="M10" s="198"/>
      <c r="N10" s="198"/>
      <c r="O10" s="198"/>
      <c r="P10" s="198"/>
      <c r="Q10" s="198"/>
      <c r="R10" s="198" t="s">
        <v>2834</v>
      </c>
      <c r="S10" s="198" t="s">
        <v>2835</v>
      </c>
      <c r="T10" s="198"/>
      <c r="U10" s="198"/>
      <c r="V10" s="198"/>
      <c r="W10" s="198"/>
      <c r="X10" s="198"/>
      <c r="Y10" s="198"/>
      <c r="Z10" s="199"/>
      <c r="AA10" s="197" t="s">
        <v>842</v>
      </c>
      <c r="AB10" s="199"/>
      <c r="AC10" s="203" t="s">
        <v>11</v>
      </c>
      <c r="AD10" s="251"/>
    </row>
    <row r="11" spans="1:30" ht="21" customHeight="1" x14ac:dyDescent="0.25">
      <c r="B11" s="250" t="s">
        <v>987</v>
      </c>
      <c r="C11" s="198" t="s">
        <v>989</v>
      </c>
      <c r="D11" s="198"/>
      <c r="E11" s="198"/>
      <c r="F11" s="198"/>
      <c r="G11" s="198"/>
      <c r="H11" s="198"/>
      <c r="I11" s="198"/>
      <c r="J11" s="198"/>
      <c r="K11" s="198"/>
      <c r="L11" s="198"/>
      <c r="M11" s="198"/>
      <c r="N11" s="198"/>
      <c r="O11" s="198"/>
      <c r="P11" s="198"/>
      <c r="Q11" s="198"/>
      <c r="R11" s="198"/>
      <c r="S11" s="198"/>
      <c r="T11" s="198" t="s">
        <v>991</v>
      </c>
      <c r="U11" s="198"/>
      <c r="V11" s="198"/>
      <c r="W11" s="198"/>
      <c r="X11" s="198"/>
      <c r="Y11" s="198"/>
      <c r="Z11" s="199"/>
      <c r="AA11" s="197" t="s">
        <v>843</v>
      </c>
      <c r="AB11" s="199"/>
      <c r="AC11" s="203" t="s">
        <v>11</v>
      </c>
      <c r="AD11" s="251"/>
    </row>
    <row r="12" spans="1:30" ht="21" customHeight="1" x14ac:dyDescent="0.25">
      <c r="B12" s="250" t="s">
        <v>988</v>
      </c>
      <c r="C12" s="198" t="s">
        <v>990</v>
      </c>
      <c r="D12" s="198"/>
      <c r="E12" s="198"/>
      <c r="F12" s="198"/>
      <c r="G12" s="198"/>
      <c r="H12" s="198"/>
      <c r="I12" s="198"/>
      <c r="J12" s="198"/>
      <c r="K12" s="198"/>
      <c r="L12" s="198"/>
      <c r="M12" s="198"/>
      <c r="N12" s="198"/>
      <c r="O12" s="198"/>
      <c r="P12" s="198"/>
      <c r="Q12" s="198"/>
      <c r="R12" s="198"/>
      <c r="S12" s="198"/>
      <c r="T12" s="198"/>
      <c r="U12" s="198" t="s">
        <v>992</v>
      </c>
      <c r="V12" s="198"/>
      <c r="W12" s="198"/>
      <c r="X12" s="198"/>
      <c r="Y12" s="198"/>
      <c r="Z12" s="199"/>
      <c r="AA12" s="197" t="s">
        <v>843</v>
      </c>
      <c r="AB12" s="199"/>
      <c r="AC12" s="203" t="s">
        <v>11</v>
      </c>
      <c r="AD12" s="251"/>
    </row>
    <row r="13" spans="1:30" ht="21" customHeight="1" x14ac:dyDescent="0.25">
      <c r="B13" s="250" t="s">
        <v>433</v>
      </c>
      <c r="C13" s="198" t="s">
        <v>312</v>
      </c>
      <c r="D13" s="198"/>
      <c r="E13" s="198"/>
      <c r="F13" s="198"/>
      <c r="G13" s="198"/>
      <c r="H13" s="198"/>
      <c r="I13" s="198"/>
      <c r="J13" s="198"/>
      <c r="K13" s="198"/>
      <c r="L13" s="198"/>
      <c r="M13" s="198"/>
      <c r="N13" s="197"/>
      <c r="O13" s="198"/>
      <c r="P13" s="198"/>
      <c r="Q13" s="198"/>
      <c r="R13" s="198"/>
      <c r="S13" s="198"/>
      <c r="T13" s="198"/>
      <c r="U13" s="198"/>
      <c r="V13" s="198" t="s">
        <v>1160</v>
      </c>
      <c r="W13" s="198"/>
      <c r="X13" s="198"/>
      <c r="Y13" s="198"/>
      <c r="Z13" s="199"/>
      <c r="AA13" s="197" t="s">
        <v>843</v>
      </c>
      <c r="AB13" s="199"/>
      <c r="AC13" s="203" t="s">
        <v>11</v>
      </c>
      <c r="AD13" s="251"/>
    </row>
    <row r="14" spans="1:30" ht="18" x14ac:dyDescent="0.25">
      <c r="B14" s="250" t="s">
        <v>1102</v>
      </c>
      <c r="C14" s="198" t="s">
        <v>1104</v>
      </c>
      <c r="D14" s="198"/>
      <c r="E14" s="198"/>
      <c r="F14" s="198"/>
      <c r="G14" s="198"/>
      <c r="H14" s="198"/>
      <c r="I14" s="198"/>
      <c r="J14" s="198"/>
      <c r="K14" s="198"/>
      <c r="L14" s="198"/>
      <c r="M14" s="198"/>
      <c r="N14" s="197"/>
      <c r="O14" s="198"/>
      <c r="P14" s="198"/>
      <c r="Q14" s="198"/>
      <c r="R14" s="198"/>
      <c r="S14" s="198"/>
      <c r="T14" s="198"/>
      <c r="U14" s="198"/>
      <c r="V14" s="198"/>
      <c r="W14" s="198" t="s">
        <v>1101</v>
      </c>
      <c r="X14" s="198"/>
      <c r="Y14" s="198"/>
      <c r="Z14" s="199"/>
      <c r="AA14" s="197" t="s">
        <v>843</v>
      </c>
      <c r="AB14" s="199"/>
      <c r="AC14" s="203" t="s">
        <v>11</v>
      </c>
      <c r="AD14" s="251"/>
    </row>
    <row r="15" spans="1:30" ht="18" x14ac:dyDescent="0.25">
      <c r="B15" s="250" t="s">
        <v>434</v>
      </c>
      <c r="C15" s="198" t="s">
        <v>313</v>
      </c>
      <c r="D15" s="198"/>
      <c r="E15" s="198"/>
      <c r="F15" s="198"/>
      <c r="G15" s="198"/>
      <c r="H15" s="198"/>
      <c r="I15" s="198"/>
      <c r="J15" s="198"/>
      <c r="K15" s="198"/>
      <c r="L15" s="198"/>
      <c r="M15" s="198"/>
      <c r="N15" s="198"/>
      <c r="O15" s="198"/>
      <c r="P15" s="198"/>
      <c r="Q15" s="198"/>
      <c r="R15" s="198"/>
      <c r="S15" s="198"/>
      <c r="T15" s="198"/>
      <c r="U15" s="198"/>
      <c r="V15" s="198"/>
      <c r="W15" s="200"/>
      <c r="X15" s="198" t="s">
        <v>1161</v>
      </c>
      <c r="Y15" s="198"/>
      <c r="Z15" s="199"/>
      <c r="AA15" s="197" t="s">
        <v>843</v>
      </c>
      <c r="AB15" s="199"/>
      <c r="AC15" s="203" t="s">
        <v>11</v>
      </c>
      <c r="AD15" s="251"/>
    </row>
    <row r="16" spans="1:30" ht="18.75" thickBot="1" x14ac:dyDescent="0.3">
      <c r="B16" s="206" t="s">
        <v>1105</v>
      </c>
      <c r="C16" s="207" t="s">
        <v>1979</v>
      </c>
      <c r="D16" s="207"/>
      <c r="E16" s="207"/>
      <c r="F16" s="207"/>
      <c r="G16" s="207"/>
      <c r="H16" s="207"/>
      <c r="I16" s="207"/>
      <c r="J16" s="207"/>
      <c r="K16" s="207"/>
      <c r="L16" s="207"/>
      <c r="M16" s="207"/>
      <c r="N16" s="207"/>
      <c r="O16" s="207"/>
      <c r="P16" s="207"/>
      <c r="Q16" s="207"/>
      <c r="R16" s="207"/>
      <c r="S16" s="207"/>
      <c r="T16" s="207"/>
      <c r="U16" s="207"/>
      <c r="V16" s="207"/>
      <c r="W16" s="207"/>
      <c r="X16" s="207"/>
      <c r="Y16" s="207" t="s">
        <v>1597</v>
      </c>
      <c r="Z16" s="208"/>
      <c r="AA16" s="252" t="s">
        <v>843</v>
      </c>
      <c r="AB16" s="208"/>
      <c r="AC16" s="253" t="s">
        <v>11</v>
      </c>
      <c r="AD16" s="209"/>
    </row>
    <row r="17" spans="2:32" ht="15.75" thickBot="1" x14ac:dyDescent="0.3">
      <c r="B17" s="114"/>
      <c r="C17" s="122"/>
      <c r="D17" s="122"/>
      <c r="E17" s="122"/>
      <c r="F17" s="122"/>
      <c r="G17" s="122"/>
      <c r="H17" s="122"/>
      <c r="I17" s="122"/>
      <c r="J17" s="122"/>
      <c r="K17" s="122"/>
      <c r="L17" s="122"/>
      <c r="M17" s="122"/>
      <c r="N17" s="122"/>
      <c r="O17" s="122"/>
      <c r="P17" s="85"/>
      <c r="Q17" s="122"/>
      <c r="R17" s="122"/>
      <c r="S17" s="122"/>
      <c r="T17" s="122"/>
      <c r="U17" s="122"/>
      <c r="V17" s="122"/>
      <c r="W17" s="122"/>
      <c r="X17" s="122"/>
      <c r="Y17" s="122"/>
      <c r="Z17" s="79"/>
      <c r="AA17" s="114"/>
      <c r="AB17" s="79"/>
      <c r="AC17" s="79"/>
      <c r="AD17" s="79"/>
    </row>
    <row r="18" spans="2:32" ht="22.5" customHeight="1" thickBot="1" x14ac:dyDescent="0.3">
      <c r="B18" s="3"/>
      <c r="C18" s="123" t="s">
        <v>393</v>
      </c>
      <c r="D18" s="119" t="s">
        <v>1217</v>
      </c>
      <c r="E18" s="237"/>
      <c r="F18" s="237"/>
      <c r="G18" s="237"/>
      <c r="H18" s="237"/>
      <c r="I18" s="237"/>
      <c r="J18" s="237"/>
      <c r="K18" s="237"/>
      <c r="L18" s="237"/>
      <c r="M18" s="237"/>
      <c r="N18" s="237"/>
      <c r="O18" s="237"/>
      <c r="P18" s="237"/>
      <c r="Q18" s="237"/>
      <c r="R18" s="237"/>
      <c r="S18" s="237"/>
      <c r="T18" s="237"/>
      <c r="U18" s="237"/>
      <c r="V18" s="237"/>
      <c r="W18" s="238"/>
      <c r="X18" s="238"/>
      <c r="Y18" s="238"/>
    </row>
    <row r="19" spans="2:32" s="8" customFormat="1" ht="18.75" thickBot="1" x14ac:dyDescent="0.3">
      <c r="B19" s="247" t="s">
        <v>0</v>
      </c>
      <c r="C19" s="242" t="s">
        <v>1</v>
      </c>
      <c r="D19" s="390" t="s">
        <v>396</v>
      </c>
      <c r="E19" s="390" t="s">
        <v>398</v>
      </c>
      <c r="F19" s="390" t="s">
        <v>400</v>
      </c>
      <c r="G19" s="390" t="s">
        <v>402</v>
      </c>
      <c r="H19" s="391" t="s">
        <v>2191</v>
      </c>
      <c r="I19" s="391" t="s">
        <v>2193</v>
      </c>
      <c r="J19" s="390" t="s">
        <v>423</v>
      </c>
      <c r="K19" s="390" t="s">
        <v>404</v>
      </c>
      <c r="L19" s="390" t="s">
        <v>406</v>
      </c>
      <c r="M19" s="390" t="s">
        <v>408</v>
      </c>
      <c r="N19" s="390" t="s">
        <v>410</v>
      </c>
      <c r="O19" s="390" t="s">
        <v>412</v>
      </c>
      <c r="P19" s="390" t="s">
        <v>414</v>
      </c>
      <c r="Q19" s="390" t="s">
        <v>416</v>
      </c>
      <c r="R19" s="390" t="s">
        <v>418</v>
      </c>
      <c r="S19" s="390" t="s">
        <v>420</v>
      </c>
      <c r="T19" s="390" t="s">
        <v>993</v>
      </c>
      <c r="U19" s="390" t="s">
        <v>994</v>
      </c>
      <c r="V19" s="390" t="s">
        <v>1250</v>
      </c>
      <c r="W19" s="392" t="s">
        <v>1052</v>
      </c>
      <c r="X19" s="392" t="s">
        <v>1249</v>
      </c>
      <c r="Y19" s="392" t="s">
        <v>1054</v>
      </c>
      <c r="Z19" s="248" t="s">
        <v>152</v>
      </c>
      <c r="AA19" s="248" t="s">
        <v>2</v>
      </c>
      <c r="AB19" s="248" t="s">
        <v>300</v>
      </c>
      <c r="AC19" s="248" t="s">
        <v>116</v>
      </c>
      <c r="AD19" s="249" t="s">
        <v>117</v>
      </c>
    </row>
    <row r="20" spans="2:32" ht="22.5" customHeight="1" x14ac:dyDescent="0.25">
      <c r="B20" s="254" t="s">
        <v>389</v>
      </c>
      <c r="C20" s="255" t="s">
        <v>318</v>
      </c>
      <c r="D20" s="255">
        <v>1</v>
      </c>
      <c r="E20" s="255">
        <v>-1</v>
      </c>
      <c r="F20" s="255">
        <v>0</v>
      </c>
      <c r="G20" s="255">
        <v>1</v>
      </c>
      <c r="H20" s="296">
        <v>0</v>
      </c>
      <c r="I20" s="296">
        <v>-1</v>
      </c>
      <c r="J20" s="255">
        <v>-1</v>
      </c>
      <c r="K20" s="255">
        <v>0</v>
      </c>
      <c r="L20" s="255">
        <v>-1</v>
      </c>
      <c r="M20" s="255">
        <v>-2</v>
      </c>
      <c r="N20" s="255">
        <v>0</v>
      </c>
      <c r="O20" s="255">
        <v>-1</v>
      </c>
      <c r="P20" s="255">
        <v>-2</v>
      </c>
      <c r="Q20" s="255">
        <v>-3</v>
      </c>
      <c r="R20" s="255">
        <v>0</v>
      </c>
      <c r="S20" s="255">
        <v>-1</v>
      </c>
      <c r="T20" s="255">
        <v>2</v>
      </c>
      <c r="U20" s="255">
        <v>2</v>
      </c>
      <c r="V20" s="255">
        <v>1</v>
      </c>
      <c r="W20" s="255">
        <v>1</v>
      </c>
      <c r="X20" s="255">
        <v>-1</v>
      </c>
      <c r="Y20" s="255">
        <v>2</v>
      </c>
      <c r="Z20" s="256">
        <f>SUM(pH!D45:Y45)</f>
        <v>5.5681718888531996E-4</v>
      </c>
      <c r="AA20" s="256" t="s">
        <v>843</v>
      </c>
      <c r="AB20" s="256"/>
      <c r="AC20" s="256" t="s">
        <v>11</v>
      </c>
      <c r="AD20" s="257"/>
    </row>
    <row r="21" spans="2:32" ht="22.5" customHeight="1" thickBot="1" x14ac:dyDescent="0.3">
      <c r="B21" s="206" t="s">
        <v>844</v>
      </c>
      <c r="C21" s="207" t="s">
        <v>379</v>
      </c>
      <c r="D21" s="207" t="s">
        <v>1280</v>
      </c>
      <c r="E21" s="207" t="s">
        <v>1281</v>
      </c>
      <c r="F21" s="207">
        <v>0</v>
      </c>
      <c r="G21" s="207" t="s">
        <v>1280</v>
      </c>
      <c r="H21" s="207">
        <v>0</v>
      </c>
      <c r="I21" s="207" t="s">
        <v>1281</v>
      </c>
      <c r="J21" s="207" t="s">
        <v>1281</v>
      </c>
      <c r="K21" s="207">
        <v>0</v>
      </c>
      <c r="L21" s="207" t="s">
        <v>1281</v>
      </c>
      <c r="M21" s="207" t="s">
        <v>1282</v>
      </c>
      <c r="N21" s="207">
        <v>0</v>
      </c>
      <c r="O21" s="207" t="s">
        <v>1281</v>
      </c>
      <c r="P21" s="207" t="s">
        <v>1282</v>
      </c>
      <c r="Q21" s="207" t="s">
        <v>1283</v>
      </c>
      <c r="R21" s="207">
        <v>0</v>
      </c>
      <c r="S21" s="207" t="s">
        <v>1281</v>
      </c>
      <c r="T21" s="207" t="s">
        <v>1284</v>
      </c>
      <c r="U21" s="207" t="s">
        <v>1284</v>
      </c>
      <c r="V21" s="207" t="s">
        <v>1280</v>
      </c>
      <c r="W21" s="207" t="s">
        <v>1280</v>
      </c>
      <c r="X21" s="207" t="s">
        <v>1281</v>
      </c>
      <c r="Y21" s="207" t="s">
        <v>1284</v>
      </c>
      <c r="Z21" s="208">
        <f>SUM(pH!D46:Y46)</f>
        <v>1.47943558411052E-2</v>
      </c>
      <c r="AA21" s="208" t="s">
        <v>843</v>
      </c>
      <c r="AB21" s="208"/>
      <c r="AC21" s="253" t="s">
        <v>11</v>
      </c>
      <c r="AD21" s="209"/>
    </row>
    <row r="22" spans="2:32" x14ac:dyDescent="0.25">
      <c r="B22" s="7"/>
    </row>
    <row r="23" spans="2:32" x14ac:dyDescent="0.25">
      <c r="B23" s="70"/>
      <c r="C23" s="70"/>
      <c r="D23" s="70"/>
      <c r="E23" s="70"/>
      <c r="F23" s="70"/>
    </row>
    <row r="25" spans="2:32" ht="15.75" thickBot="1" x14ac:dyDescent="0.3"/>
    <row r="26" spans="2:32" ht="15.75" thickBot="1" x14ac:dyDescent="0.3">
      <c r="C26" s="54" t="s">
        <v>4</v>
      </c>
      <c r="D26" s="119" t="s">
        <v>319</v>
      </c>
      <c r="J26" s="1"/>
      <c r="K26" s="1"/>
    </row>
    <row r="27" spans="2:32" ht="18.75" thickBot="1" x14ac:dyDescent="0.3">
      <c r="B27" s="247"/>
      <c r="C27" s="242" t="s">
        <v>1</v>
      </c>
      <c r="D27" s="390" t="s">
        <v>396</v>
      </c>
      <c r="E27" s="390" t="s">
        <v>398</v>
      </c>
      <c r="F27" s="390" t="s">
        <v>400</v>
      </c>
      <c r="G27" s="390" t="s">
        <v>402</v>
      </c>
      <c r="H27" s="391" t="s">
        <v>2191</v>
      </c>
      <c r="I27" s="391" t="s">
        <v>2193</v>
      </c>
      <c r="J27" s="390" t="s">
        <v>423</v>
      </c>
      <c r="K27" s="390" t="s">
        <v>404</v>
      </c>
      <c r="L27" s="390" t="s">
        <v>406</v>
      </c>
      <c r="M27" s="390" t="s">
        <v>408</v>
      </c>
      <c r="N27" s="390" t="s">
        <v>410</v>
      </c>
      <c r="O27" s="390" t="s">
        <v>412</v>
      </c>
      <c r="P27" s="390" t="s">
        <v>414</v>
      </c>
      <c r="Q27" s="390" t="s">
        <v>416</v>
      </c>
      <c r="R27" s="390" t="s">
        <v>418</v>
      </c>
      <c r="S27" s="390" t="s">
        <v>420</v>
      </c>
      <c r="T27" s="390" t="s">
        <v>993</v>
      </c>
      <c r="U27" s="390" t="s">
        <v>994</v>
      </c>
      <c r="V27" s="390" t="s">
        <v>1250</v>
      </c>
      <c r="W27" s="392" t="s">
        <v>1052</v>
      </c>
      <c r="X27" s="392" t="s">
        <v>1249</v>
      </c>
      <c r="Y27" s="392" t="s">
        <v>1054</v>
      </c>
      <c r="Z27" s="248" t="s">
        <v>152</v>
      </c>
      <c r="AA27" s="248" t="s">
        <v>2</v>
      </c>
      <c r="AB27" s="248" t="s">
        <v>300</v>
      </c>
      <c r="AC27" s="248" t="s">
        <v>116</v>
      </c>
      <c r="AD27" s="249" t="s">
        <v>117</v>
      </c>
      <c r="AE27" s="8"/>
      <c r="AF27" s="8"/>
    </row>
    <row r="28" spans="2:32" ht="18" x14ac:dyDescent="0.25">
      <c r="B28" s="204" t="s">
        <v>424</v>
      </c>
      <c r="C28" s="202" t="s">
        <v>308</v>
      </c>
      <c r="D28" s="202">
        <f>10^(-p_H)</f>
        <v>6.3095734448019177E-8</v>
      </c>
      <c r="E28" s="202">
        <f>K_W/conc_Hp_I</f>
        <v>1.384875770636308E-7</v>
      </c>
      <c r="F28" s="202">
        <f>0</f>
        <v>0</v>
      </c>
      <c r="G28" s="202">
        <f>0</f>
        <v>0</v>
      </c>
      <c r="H28" s="297">
        <f>0</f>
        <v>0</v>
      </c>
      <c r="I28" s="297">
        <f>0</f>
        <v>0</v>
      </c>
      <c r="J28" s="202">
        <f>0</f>
        <v>0</v>
      </c>
      <c r="K28" s="202">
        <f>0</f>
        <v>0</v>
      </c>
      <c r="L28" s="202">
        <f>0</f>
        <v>0</v>
      </c>
      <c r="M28" s="202">
        <f>0</f>
        <v>0</v>
      </c>
      <c r="N28" s="202">
        <f>0</f>
        <v>0</v>
      </c>
      <c r="O28" s="202">
        <f>0</f>
        <v>0</v>
      </c>
      <c r="P28" s="202">
        <f>0</f>
        <v>0</v>
      </c>
      <c r="Q28" s="202">
        <f>0</f>
        <v>0</v>
      </c>
      <c r="R28" s="202">
        <f>0</f>
        <v>0</v>
      </c>
      <c r="S28" s="202">
        <f>0</f>
        <v>0</v>
      </c>
      <c r="T28" s="202">
        <f>0</f>
        <v>0</v>
      </c>
      <c r="U28" s="202">
        <f>0</f>
        <v>0</v>
      </c>
      <c r="V28" s="202">
        <f>0</f>
        <v>0</v>
      </c>
      <c r="W28" s="202">
        <f>0</f>
        <v>0</v>
      </c>
      <c r="X28" s="202">
        <f>0</f>
        <v>0</v>
      </c>
      <c r="Y28" s="202">
        <f>0</f>
        <v>0</v>
      </c>
      <c r="Z28" s="203"/>
      <c r="AA28" s="201" t="s">
        <v>842</v>
      </c>
      <c r="AB28" s="203"/>
      <c r="AC28" s="203" t="s">
        <v>11</v>
      </c>
      <c r="AD28" s="205"/>
    </row>
    <row r="29" spans="2:32" ht="18" x14ac:dyDescent="0.25">
      <c r="B29" s="317" t="s">
        <v>2424</v>
      </c>
      <c r="C29" s="198" t="s">
        <v>310</v>
      </c>
      <c r="D29" s="198">
        <f>0</f>
        <v>0</v>
      </c>
      <c r="E29" s="198">
        <f>0</f>
        <v>0</v>
      </c>
      <c r="F29" s="198">
        <f>(S_NHx/(A_MN*1000))*K_NH3/(conc_Hp_I+K_NH3)</f>
        <v>4.456809975059031E-7</v>
      </c>
      <c r="G29" s="198">
        <f>(S_NHx/(A_MN*1000))*conc_Hp_I/(conc_Hp_I+K_NH3)</f>
        <v>7.0948723109100212E-5</v>
      </c>
      <c r="H29" s="198">
        <f>0</f>
        <v>0</v>
      </c>
      <c r="I29" s="198">
        <f>0</f>
        <v>0</v>
      </c>
      <c r="J29" s="198">
        <f>0</f>
        <v>0</v>
      </c>
      <c r="K29" s="198">
        <f>0</f>
        <v>0</v>
      </c>
      <c r="L29" s="198">
        <f>0</f>
        <v>0</v>
      </c>
      <c r="M29" s="198">
        <f>0</f>
        <v>0</v>
      </c>
      <c r="N29" s="198">
        <f>0</f>
        <v>0</v>
      </c>
      <c r="O29" s="198">
        <f>0</f>
        <v>0</v>
      </c>
      <c r="P29" s="198">
        <f>0</f>
        <v>0</v>
      </c>
      <c r="Q29" s="198">
        <f>0</f>
        <v>0</v>
      </c>
      <c r="R29" s="198">
        <f>0</f>
        <v>0</v>
      </c>
      <c r="S29" s="198">
        <f>0</f>
        <v>0</v>
      </c>
      <c r="T29" s="198">
        <f>0</f>
        <v>0</v>
      </c>
      <c r="U29" s="198">
        <f>0</f>
        <v>0</v>
      </c>
      <c r="V29" s="198">
        <f>0</f>
        <v>0</v>
      </c>
      <c r="W29" s="198">
        <f>0</f>
        <v>0</v>
      </c>
      <c r="X29" s="198">
        <f>0</f>
        <v>0</v>
      </c>
      <c r="Y29" s="198">
        <f>0</f>
        <v>0</v>
      </c>
      <c r="Z29" s="199"/>
      <c r="AA29" s="197" t="s">
        <v>842</v>
      </c>
      <c r="AB29" s="199"/>
      <c r="AC29" s="203" t="s">
        <v>11</v>
      </c>
      <c r="AD29" s="251"/>
    </row>
    <row r="30" spans="2:32" ht="18" x14ac:dyDescent="0.25">
      <c r="B30" s="250" t="s">
        <v>2195</v>
      </c>
      <c r="C30" s="198" t="s">
        <v>758</v>
      </c>
      <c r="D30" s="198">
        <f>0</f>
        <v>0</v>
      </c>
      <c r="E30" s="198">
        <f>0</f>
        <v>0</v>
      </c>
      <c r="F30" s="198">
        <f>0</f>
        <v>0</v>
      </c>
      <c r="G30" s="198">
        <f>0</f>
        <v>0</v>
      </c>
      <c r="H30" s="198">
        <f>(S_NO2/(A_MN*1000))*conc_Hp_I/(conc_Hp_I+K_NO2)</f>
        <v>8.600116917741957E-10</v>
      </c>
      <c r="I30" s="198">
        <f>(K_NO2*S_NO2/(A_MN*1000))/(conc_Hp_I+K_NO2)</f>
        <v>7.1385803989688371E-6</v>
      </c>
      <c r="J30" s="198">
        <f>0</f>
        <v>0</v>
      </c>
      <c r="K30" s="198">
        <f>0</f>
        <v>0</v>
      </c>
      <c r="L30" s="198">
        <f>0</f>
        <v>0</v>
      </c>
      <c r="M30" s="198">
        <f>0</f>
        <v>0</v>
      </c>
      <c r="N30" s="198">
        <f>0</f>
        <v>0</v>
      </c>
      <c r="O30" s="198">
        <f>0</f>
        <v>0</v>
      </c>
      <c r="P30" s="198">
        <f>0</f>
        <v>0</v>
      </c>
      <c r="Q30" s="198">
        <f>0</f>
        <v>0</v>
      </c>
      <c r="R30" s="198">
        <f>0</f>
        <v>0</v>
      </c>
      <c r="S30" s="198">
        <f>0</f>
        <v>0</v>
      </c>
      <c r="T30" s="198">
        <f>0</f>
        <v>0</v>
      </c>
      <c r="U30" s="198">
        <f>0</f>
        <v>0</v>
      </c>
      <c r="V30" s="198">
        <f>0</f>
        <v>0</v>
      </c>
      <c r="W30" s="198">
        <f>0</f>
        <v>0</v>
      </c>
      <c r="X30" s="198">
        <f>0</f>
        <v>0</v>
      </c>
      <c r="Y30" s="198">
        <f>0</f>
        <v>0</v>
      </c>
      <c r="Z30" s="199"/>
      <c r="AA30" s="197" t="s">
        <v>842</v>
      </c>
      <c r="AB30" s="199"/>
      <c r="AC30" s="203" t="s">
        <v>11</v>
      </c>
      <c r="AD30" s="251"/>
    </row>
    <row r="31" spans="2:32" ht="18" x14ac:dyDescent="0.25">
      <c r="B31" s="250" t="s">
        <v>1103</v>
      </c>
      <c r="C31" s="198" t="s">
        <v>311</v>
      </c>
      <c r="D31" s="198">
        <f>0</f>
        <v>0</v>
      </c>
      <c r="E31" s="198">
        <f>0</f>
        <v>0</v>
      </c>
      <c r="F31" s="198">
        <f>0</f>
        <v>0</v>
      </c>
      <c r="G31" s="198">
        <f>0</f>
        <v>0</v>
      </c>
      <c r="H31" s="198">
        <f>0</f>
        <v>0</v>
      </c>
      <c r="I31" s="198">
        <f>0</f>
        <v>0</v>
      </c>
      <c r="J31" s="198">
        <f>S_NO3/(A_MN*1000)</f>
        <v>3.5697202053303062E-4</v>
      </c>
      <c r="K31" s="198">
        <f>0</f>
        <v>0</v>
      </c>
      <c r="L31" s="198">
        <f>0</f>
        <v>0</v>
      </c>
      <c r="M31" s="198">
        <f>0</f>
        <v>0</v>
      </c>
      <c r="N31" s="198">
        <f>0</f>
        <v>0</v>
      </c>
      <c r="O31" s="198">
        <f>0</f>
        <v>0</v>
      </c>
      <c r="P31" s="198">
        <f>0</f>
        <v>0</v>
      </c>
      <c r="Q31" s="198">
        <f>0</f>
        <v>0</v>
      </c>
      <c r="R31" s="198">
        <f>0</f>
        <v>0</v>
      </c>
      <c r="S31" s="198">
        <f>0</f>
        <v>0</v>
      </c>
      <c r="T31" s="198">
        <f>0</f>
        <v>0</v>
      </c>
      <c r="U31" s="198">
        <f>0</f>
        <v>0</v>
      </c>
      <c r="V31" s="198">
        <f>0</f>
        <v>0</v>
      </c>
      <c r="W31" s="198">
        <f>0</f>
        <v>0</v>
      </c>
      <c r="X31" s="198">
        <f>0</f>
        <v>0</v>
      </c>
      <c r="Y31" s="198">
        <f>0</f>
        <v>0</v>
      </c>
      <c r="Z31" s="199"/>
      <c r="AA31" s="197" t="s">
        <v>842</v>
      </c>
      <c r="AB31" s="199"/>
      <c r="AC31" s="203" t="s">
        <v>11</v>
      </c>
      <c r="AD31" s="251"/>
    </row>
    <row r="32" spans="2:32" ht="18" x14ac:dyDescent="0.25">
      <c r="B32" s="250" t="s">
        <v>426</v>
      </c>
      <c r="C32" s="198" t="s">
        <v>314</v>
      </c>
      <c r="D32" s="198">
        <f>0</f>
        <v>0</v>
      </c>
      <c r="E32" s="198">
        <f>0</f>
        <v>0</v>
      </c>
      <c r="F32" s="198">
        <f>0</f>
        <v>0</v>
      </c>
      <c r="G32" s="198">
        <f>0</f>
        <v>0</v>
      </c>
      <c r="H32" s="198">
        <f>0</f>
        <v>0</v>
      </c>
      <c r="I32" s="198">
        <f>0</f>
        <v>0</v>
      </c>
      <c r="J32" s="198">
        <f>0</f>
        <v>0</v>
      </c>
      <c r="K32" s="198">
        <f>S_CO2/(A_MC*1000)*conc_Hp_I^2/(conc_Hp_I^2+conc_Hp_I*K_C1+K_C1*K_C2)</f>
        <v>6.4880908822408209E-4</v>
      </c>
      <c r="L32" s="198">
        <f>conc_Hp_I*K_C1*S_CO2/(A_MC*1000)/(conc_Hp_I^2+conc_Hp_I*K_C1+K_C1*K_C2)</f>
        <v>5.5062302620906018E-3</v>
      </c>
      <c r="M32" s="198">
        <f>K_C2*K_C1*S_CO2/(A_MC*1000)/(conc_Hp_I^2+conc_Hp_I*K_C1+K_C1*K_C2)</f>
        <v>6.1336038012281396E-6</v>
      </c>
      <c r="N32" s="198">
        <f>0</f>
        <v>0</v>
      </c>
      <c r="O32" s="198">
        <f>0</f>
        <v>0</v>
      </c>
      <c r="P32" s="198">
        <f>0</f>
        <v>0</v>
      </c>
      <c r="Q32" s="198">
        <f>0</f>
        <v>0</v>
      </c>
      <c r="R32" s="198">
        <f>0</f>
        <v>0</v>
      </c>
      <c r="S32" s="198">
        <f>0</f>
        <v>0</v>
      </c>
      <c r="T32" s="198">
        <f>0</f>
        <v>0</v>
      </c>
      <c r="U32" s="198">
        <f>0</f>
        <v>0</v>
      </c>
      <c r="V32" s="198">
        <f>0</f>
        <v>0</v>
      </c>
      <c r="W32" s="198">
        <f>0</f>
        <v>0</v>
      </c>
      <c r="X32" s="198">
        <f>0</f>
        <v>0</v>
      </c>
      <c r="Y32" s="198">
        <f>0</f>
        <v>0</v>
      </c>
      <c r="Z32" s="199"/>
      <c r="AA32" s="197" t="s">
        <v>842</v>
      </c>
      <c r="AB32" s="199"/>
      <c r="AC32" s="203" t="s">
        <v>11</v>
      </c>
      <c r="AD32" s="251"/>
    </row>
    <row r="33" spans="2:32" ht="18" x14ac:dyDescent="0.25">
      <c r="B33" s="250" t="s">
        <v>427</v>
      </c>
      <c r="C33" s="198" t="s">
        <v>315</v>
      </c>
      <c r="D33" s="198">
        <f>0</f>
        <v>0</v>
      </c>
      <c r="E33" s="198">
        <f>0</f>
        <v>0</v>
      </c>
      <c r="F33" s="198">
        <f>0</f>
        <v>0</v>
      </c>
      <c r="G33" s="198">
        <f>0</f>
        <v>0</v>
      </c>
      <c r="H33" s="198">
        <f>0</f>
        <v>0</v>
      </c>
      <c r="I33" s="198">
        <f>0</f>
        <v>0</v>
      </c>
      <c r="J33" s="198">
        <f>0</f>
        <v>0</v>
      </c>
      <c r="K33" s="198">
        <f>0</f>
        <v>0</v>
      </c>
      <c r="L33" s="198">
        <f>0</f>
        <v>0</v>
      </c>
      <c r="M33" s="198">
        <f>0</f>
        <v>0</v>
      </c>
      <c r="N33" s="198">
        <f>S_PO4/(A_MP*1000)*conc_Hp_I^3/(conc_Hp_I^3+conc_Hp_I^2*K_P1+K_P2*conc_Hp_I*K_P1+K_P2*K_P1*K_P3)</f>
        <v>4.0344172931174842E-11</v>
      </c>
      <c r="O33" s="198">
        <f>conc_Hp_I^2*K_P1*S_PO4/(A_MP*1000)/(conc_Hp_I^3+conc_Hp_I^2*K_P1+K_P2*conc_Hp_I*K_P1+K_P2*K_P1*K_P3)</f>
        <v>6.1647215595877176E-6</v>
      </c>
      <c r="P33" s="198">
        <f>conc_Hp_I*K_P2/(conc_Hp_I^3+conc_Hp_I^2*K_P1+K_P2*conc_Hp_I*K_P1+K_P2*K_P1*K_P3)*K_P1*S_PO4/(A_MP*1000)</f>
        <v>9.9778036227837607E-6</v>
      </c>
      <c r="Q33" s="198">
        <f>K_P3*K_P2/(conc_Hp_I^3+conc_Hp_I^2*K_P1+K_P2*conc_Hp_I*K_P1+K_P2*K_P1*K_P3)*K_P1*S_PO4/(A_MP*1000)</f>
        <v>1.2959623276590366E-10</v>
      </c>
      <c r="R33" s="198">
        <f>0</f>
        <v>0</v>
      </c>
      <c r="S33" s="198">
        <f>0</f>
        <v>0</v>
      </c>
      <c r="T33" s="198">
        <f>0</f>
        <v>0</v>
      </c>
      <c r="U33" s="198">
        <f>0</f>
        <v>0</v>
      </c>
      <c r="V33" s="198">
        <f>0</f>
        <v>0</v>
      </c>
      <c r="W33" s="198">
        <f>0</f>
        <v>0</v>
      </c>
      <c r="X33" s="198">
        <f>0</f>
        <v>0</v>
      </c>
      <c r="Y33" s="198">
        <f>0</f>
        <v>0</v>
      </c>
      <c r="Z33" s="199"/>
      <c r="AA33" s="197" t="s">
        <v>842</v>
      </c>
      <c r="AB33" s="199"/>
      <c r="AC33" s="203" t="s">
        <v>11</v>
      </c>
      <c r="AD33" s="251"/>
    </row>
    <row r="34" spans="2:32" ht="18" x14ac:dyDescent="0.25">
      <c r="B34" s="250" t="s">
        <v>432</v>
      </c>
      <c r="C34" s="198" t="s">
        <v>316</v>
      </c>
      <c r="D34" s="198">
        <f>0</f>
        <v>0</v>
      </c>
      <c r="E34" s="198">
        <f>0</f>
        <v>0</v>
      </c>
      <c r="F34" s="198">
        <f>0</f>
        <v>0</v>
      </c>
      <c r="G34" s="198">
        <f>0</f>
        <v>0</v>
      </c>
      <c r="H34" s="198">
        <f>0</f>
        <v>0</v>
      </c>
      <c r="I34" s="198">
        <f>0</f>
        <v>0</v>
      </c>
      <c r="J34" s="198">
        <f>0</f>
        <v>0</v>
      </c>
      <c r="K34" s="198">
        <f>0</f>
        <v>0</v>
      </c>
      <c r="L34" s="198">
        <f>0</f>
        <v>0</v>
      </c>
      <c r="M34" s="198">
        <f>0</f>
        <v>0</v>
      </c>
      <c r="N34" s="198">
        <f>0</f>
        <v>0</v>
      </c>
      <c r="O34" s="198">
        <f>0</f>
        <v>0</v>
      </c>
      <c r="P34" s="198">
        <f>0</f>
        <v>0</v>
      </c>
      <c r="Q34" s="198">
        <f>0</f>
        <v>0</v>
      </c>
      <c r="R34" s="198">
        <f>conc_Hp_I*S_VFA/(4*A_MO*1000)/(conc_Hp_I+K_Ac)</f>
        <v>4.3337108963713439E-10</v>
      </c>
      <c r="S34" s="198">
        <f>S_VFA/(4*A_MO*1000)*K_Ac/(conc_Hp_I+K_Ac)</f>
        <v>1.5582248850509766E-7</v>
      </c>
      <c r="T34" s="198">
        <f>0</f>
        <v>0</v>
      </c>
      <c r="U34" s="198">
        <f>0</f>
        <v>0</v>
      </c>
      <c r="V34" s="198">
        <f>0</f>
        <v>0</v>
      </c>
      <c r="W34" s="198">
        <f>0</f>
        <v>0</v>
      </c>
      <c r="X34" s="198">
        <f>0</f>
        <v>0</v>
      </c>
      <c r="Y34" s="198">
        <f>0</f>
        <v>0</v>
      </c>
      <c r="Z34" s="199"/>
      <c r="AA34" s="197" t="s">
        <v>842</v>
      </c>
      <c r="AB34" s="199"/>
      <c r="AC34" s="203" t="s">
        <v>11</v>
      </c>
      <c r="AD34" s="251"/>
    </row>
    <row r="35" spans="2:32" ht="18" x14ac:dyDescent="0.25">
      <c r="B35" s="250" t="s">
        <v>987</v>
      </c>
      <c r="C35" s="198" t="s">
        <v>989</v>
      </c>
      <c r="D35" s="198">
        <f>0</f>
        <v>0</v>
      </c>
      <c r="E35" s="198">
        <f>0</f>
        <v>0</v>
      </c>
      <c r="F35" s="198">
        <f>0</f>
        <v>0</v>
      </c>
      <c r="G35" s="198">
        <f>0</f>
        <v>0</v>
      </c>
      <c r="H35" s="198">
        <f>0</f>
        <v>0</v>
      </c>
      <c r="I35" s="198">
        <f>0</f>
        <v>0</v>
      </c>
      <c r="J35" s="198">
        <f>0</f>
        <v>0</v>
      </c>
      <c r="K35" s="198">
        <f>0</f>
        <v>0</v>
      </c>
      <c r="L35" s="198">
        <f>0</f>
        <v>0</v>
      </c>
      <c r="M35" s="198">
        <f>0</f>
        <v>0</v>
      </c>
      <c r="N35" s="198">
        <f>0</f>
        <v>0</v>
      </c>
      <c r="O35" s="198">
        <f>0</f>
        <v>0</v>
      </c>
      <c r="P35" s="198">
        <f>0</f>
        <v>0</v>
      </c>
      <c r="Q35" s="198">
        <f>0</f>
        <v>0</v>
      </c>
      <c r="R35" s="198">
        <f>0</f>
        <v>0</v>
      </c>
      <c r="S35" s="198">
        <f>0</f>
        <v>0</v>
      </c>
      <c r="T35" s="198">
        <f>S_Ca/(A_MCa*1000)</f>
        <v>3.7427017316233346E-3</v>
      </c>
      <c r="U35" s="198">
        <f>0</f>
        <v>0</v>
      </c>
      <c r="V35" s="198">
        <f>0</f>
        <v>0</v>
      </c>
      <c r="W35" s="198">
        <f>0</f>
        <v>0</v>
      </c>
      <c r="X35" s="198">
        <f>0</f>
        <v>0</v>
      </c>
      <c r="Y35" s="198">
        <f>0</f>
        <v>0</v>
      </c>
      <c r="Z35" s="199"/>
      <c r="AA35" s="197" t="s">
        <v>843</v>
      </c>
      <c r="AB35" s="199"/>
      <c r="AC35" s="203" t="s">
        <v>11</v>
      </c>
      <c r="AD35" s="251"/>
    </row>
    <row r="36" spans="2:32" ht="18" x14ac:dyDescent="0.25">
      <c r="B36" s="250" t="s">
        <v>988</v>
      </c>
      <c r="C36" s="198" t="s">
        <v>990</v>
      </c>
      <c r="D36" s="198">
        <f>0</f>
        <v>0</v>
      </c>
      <c r="E36" s="198">
        <f>0</f>
        <v>0</v>
      </c>
      <c r="F36" s="198">
        <f>0</f>
        <v>0</v>
      </c>
      <c r="G36" s="198">
        <f>0</f>
        <v>0</v>
      </c>
      <c r="H36" s="198">
        <f>0</f>
        <v>0</v>
      </c>
      <c r="I36" s="198">
        <f>0</f>
        <v>0</v>
      </c>
      <c r="J36" s="198">
        <f>0</f>
        <v>0</v>
      </c>
      <c r="K36" s="198">
        <f>0</f>
        <v>0</v>
      </c>
      <c r="L36" s="198">
        <f>0</f>
        <v>0</v>
      </c>
      <c r="M36" s="198">
        <f>0</f>
        <v>0</v>
      </c>
      <c r="N36" s="198">
        <f>0</f>
        <v>0</v>
      </c>
      <c r="O36" s="198">
        <f>0</f>
        <v>0</v>
      </c>
      <c r="P36" s="198">
        <f>0</f>
        <v>0</v>
      </c>
      <c r="Q36" s="198">
        <f>0</f>
        <v>0</v>
      </c>
      <c r="R36" s="198">
        <f>0</f>
        <v>0</v>
      </c>
      <c r="S36" s="198">
        <f>0</f>
        <v>0</v>
      </c>
      <c r="T36" s="198">
        <f>0</f>
        <v>0</v>
      </c>
      <c r="U36" s="198">
        <f>S_Mg/(A_MMg*1000)</f>
        <v>6.1715696358773911E-4</v>
      </c>
      <c r="V36" s="198">
        <f>0</f>
        <v>0</v>
      </c>
      <c r="W36" s="198">
        <f>0</f>
        <v>0</v>
      </c>
      <c r="X36" s="198">
        <f>0</f>
        <v>0</v>
      </c>
      <c r="Y36" s="198">
        <f>0</f>
        <v>0</v>
      </c>
      <c r="Z36" s="199"/>
      <c r="AA36" s="197" t="s">
        <v>843</v>
      </c>
      <c r="AB36" s="199"/>
      <c r="AC36" s="203" t="s">
        <v>11</v>
      </c>
      <c r="AD36" s="251"/>
    </row>
    <row r="37" spans="2:32" ht="18" x14ac:dyDescent="0.25">
      <c r="B37" s="250" t="s">
        <v>433</v>
      </c>
      <c r="C37" s="198" t="s">
        <v>312</v>
      </c>
      <c r="D37" s="198">
        <f>0</f>
        <v>0</v>
      </c>
      <c r="E37" s="198">
        <f>0</f>
        <v>0</v>
      </c>
      <c r="F37" s="198">
        <f>0</f>
        <v>0</v>
      </c>
      <c r="G37" s="198">
        <f>0</f>
        <v>0</v>
      </c>
      <c r="H37" s="198">
        <f>0</f>
        <v>0</v>
      </c>
      <c r="I37" s="198">
        <f>0</f>
        <v>0</v>
      </c>
      <c r="J37" s="198">
        <f>0</f>
        <v>0</v>
      </c>
      <c r="K37" s="198">
        <f>0</f>
        <v>0</v>
      </c>
      <c r="L37" s="198">
        <f>0</f>
        <v>0</v>
      </c>
      <c r="M37" s="198">
        <f>0</f>
        <v>0</v>
      </c>
      <c r="N37" s="197">
        <f>0</f>
        <v>0</v>
      </c>
      <c r="O37" s="198">
        <f>0</f>
        <v>0</v>
      </c>
      <c r="P37" s="198">
        <f>0</f>
        <v>0</v>
      </c>
      <c r="Q37" s="198">
        <f>0</f>
        <v>0</v>
      </c>
      <c r="R37" s="198">
        <f>0</f>
        <v>0</v>
      </c>
      <c r="S37" s="198">
        <f>0</f>
        <v>0</v>
      </c>
      <c r="T37" s="198">
        <f>0</f>
        <v>0</v>
      </c>
      <c r="U37" s="198">
        <f>0</f>
        <v>0</v>
      </c>
      <c r="V37" s="198">
        <f>S_CAT/(A_MNa*1000)</f>
        <v>1.5224163409384409E-3</v>
      </c>
      <c r="W37" s="198">
        <f>0</f>
        <v>0</v>
      </c>
      <c r="X37" s="198">
        <f>0</f>
        <v>0</v>
      </c>
      <c r="Y37" s="198">
        <f>0</f>
        <v>0</v>
      </c>
      <c r="Z37" s="199"/>
      <c r="AA37" s="197" t="s">
        <v>843</v>
      </c>
      <c r="AB37" s="199"/>
      <c r="AC37" s="203" t="s">
        <v>11</v>
      </c>
      <c r="AD37" s="251"/>
    </row>
    <row r="38" spans="2:32" ht="18" x14ac:dyDescent="0.25">
      <c r="B38" s="250" t="s">
        <v>1102</v>
      </c>
      <c r="C38" s="198" t="s">
        <v>1104</v>
      </c>
      <c r="D38" s="198">
        <f>0</f>
        <v>0</v>
      </c>
      <c r="E38" s="198">
        <f>0</f>
        <v>0</v>
      </c>
      <c r="F38" s="198">
        <f>0</f>
        <v>0</v>
      </c>
      <c r="G38" s="198">
        <f>0</f>
        <v>0</v>
      </c>
      <c r="H38" s="198">
        <f>0</f>
        <v>0</v>
      </c>
      <c r="I38" s="198">
        <f>0</f>
        <v>0</v>
      </c>
      <c r="J38" s="198">
        <f>0</f>
        <v>0</v>
      </c>
      <c r="K38" s="198">
        <f>0</f>
        <v>0</v>
      </c>
      <c r="L38" s="198">
        <f>0</f>
        <v>0</v>
      </c>
      <c r="M38" s="198">
        <f>0</f>
        <v>0</v>
      </c>
      <c r="N38" s="197">
        <f>0</f>
        <v>0</v>
      </c>
      <c r="O38" s="198">
        <f>0</f>
        <v>0</v>
      </c>
      <c r="P38" s="198">
        <f>0</f>
        <v>0</v>
      </c>
      <c r="Q38" s="198">
        <f>0</f>
        <v>0</v>
      </c>
      <c r="R38" s="198">
        <f>0</f>
        <v>0</v>
      </c>
      <c r="S38" s="198">
        <f>0</f>
        <v>0</v>
      </c>
      <c r="T38" s="198">
        <f>0</f>
        <v>0</v>
      </c>
      <c r="U38" s="198">
        <f>0</f>
        <v>0</v>
      </c>
      <c r="V38" s="198">
        <f>0</f>
        <v>0</v>
      </c>
      <c r="W38" s="198">
        <f>S_K/(A_MK*1000)</f>
        <v>3.8364839391994023E-4</v>
      </c>
      <c r="X38" s="198">
        <f>0</f>
        <v>0</v>
      </c>
      <c r="Y38" s="198">
        <f>0</f>
        <v>0</v>
      </c>
      <c r="Z38" s="199"/>
      <c r="AA38" s="197" t="s">
        <v>843</v>
      </c>
      <c r="AB38" s="199"/>
      <c r="AC38" s="203" t="s">
        <v>11</v>
      </c>
      <c r="AD38" s="251"/>
    </row>
    <row r="39" spans="2:32" ht="18" x14ac:dyDescent="0.25">
      <c r="B39" s="250" t="s">
        <v>434</v>
      </c>
      <c r="C39" s="198" t="s">
        <v>313</v>
      </c>
      <c r="D39" s="198">
        <f>0</f>
        <v>0</v>
      </c>
      <c r="E39" s="198">
        <f>0</f>
        <v>0</v>
      </c>
      <c r="F39" s="198">
        <f>0</f>
        <v>0</v>
      </c>
      <c r="G39" s="198">
        <f>0</f>
        <v>0</v>
      </c>
      <c r="H39" s="198">
        <f>0</f>
        <v>0</v>
      </c>
      <c r="I39" s="198">
        <f>0</f>
        <v>0</v>
      </c>
      <c r="J39" s="198">
        <f>0</f>
        <v>0</v>
      </c>
      <c r="K39" s="198">
        <f>0</f>
        <v>0</v>
      </c>
      <c r="L39" s="198">
        <f>0</f>
        <v>0</v>
      </c>
      <c r="M39" s="198">
        <f>0</f>
        <v>0</v>
      </c>
      <c r="N39" s="198">
        <f>0</f>
        <v>0</v>
      </c>
      <c r="O39" s="198">
        <f>0</f>
        <v>0</v>
      </c>
      <c r="P39" s="198">
        <f>0</f>
        <v>0</v>
      </c>
      <c r="Q39" s="198">
        <f>0</f>
        <v>0</v>
      </c>
      <c r="R39" s="198">
        <f>0</f>
        <v>0</v>
      </c>
      <c r="S39" s="198">
        <f>0</f>
        <v>0</v>
      </c>
      <c r="T39" s="198">
        <f>0</f>
        <v>0</v>
      </c>
      <c r="U39" s="198">
        <f>0</f>
        <v>0</v>
      </c>
      <c r="V39" s="198">
        <f>0</f>
        <v>0</v>
      </c>
      <c r="W39" s="200">
        <f>0</f>
        <v>0</v>
      </c>
      <c r="X39" s="198">
        <f>S_AN/(A_MCl*1000)</f>
        <v>4.2309536569542774E-3</v>
      </c>
      <c r="Y39" s="198">
        <f>0</f>
        <v>0</v>
      </c>
      <c r="Z39" s="199"/>
      <c r="AA39" s="197" t="s">
        <v>843</v>
      </c>
      <c r="AB39" s="199"/>
      <c r="AC39" s="203" t="s">
        <v>11</v>
      </c>
      <c r="AD39" s="251"/>
    </row>
    <row r="40" spans="2:32" ht="18.75" thickBot="1" x14ac:dyDescent="0.3">
      <c r="B40" s="206" t="s">
        <v>1105</v>
      </c>
      <c r="C40" s="207" t="s">
        <v>1979</v>
      </c>
      <c r="D40" s="207">
        <f>0</f>
        <v>0</v>
      </c>
      <c r="E40" s="207">
        <f>0</f>
        <v>0</v>
      </c>
      <c r="F40" s="207">
        <f>0</f>
        <v>0</v>
      </c>
      <c r="G40" s="207">
        <f>0</f>
        <v>0</v>
      </c>
      <c r="H40" s="207">
        <f>0</f>
        <v>0</v>
      </c>
      <c r="I40" s="207">
        <f>0</f>
        <v>0</v>
      </c>
      <c r="J40" s="207">
        <f>0</f>
        <v>0</v>
      </c>
      <c r="K40" s="207">
        <f>0</f>
        <v>0</v>
      </c>
      <c r="L40" s="207">
        <f>0</f>
        <v>0</v>
      </c>
      <c r="M40" s="207">
        <f>0</f>
        <v>0</v>
      </c>
      <c r="N40" s="207">
        <f>0</f>
        <v>0</v>
      </c>
      <c r="O40" s="207">
        <f>0</f>
        <v>0</v>
      </c>
      <c r="P40" s="207">
        <f>0</f>
        <v>0</v>
      </c>
      <c r="Q40" s="207">
        <f>0</f>
        <v>0</v>
      </c>
      <c r="R40" s="207">
        <f>0</f>
        <v>0</v>
      </c>
      <c r="S40" s="207">
        <f>0</f>
        <v>0</v>
      </c>
      <c r="T40" s="207">
        <f>0</f>
        <v>0</v>
      </c>
      <c r="U40" s="207">
        <f>0</f>
        <v>0</v>
      </c>
      <c r="V40" s="207">
        <f>0</f>
        <v>0</v>
      </c>
      <c r="W40" s="207">
        <f>0</f>
        <v>0</v>
      </c>
      <c r="X40" s="207">
        <f>0</f>
        <v>0</v>
      </c>
      <c r="Y40" s="207">
        <f>S_Fe2/(A_MFe*1000)</f>
        <v>1.7906706061420003E-55</v>
      </c>
      <c r="Z40" s="208"/>
      <c r="AA40" s="252" t="s">
        <v>843</v>
      </c>
      <c r="AB40" s="208"/>
      <c r="AC40" s="253" t="s">
        <v>11</v>
      </c>
      <c r="AD40" s="209"/>
    </row>
    <row r="42" spans="2:32" ht="15.75" thickBot="1" x14ac:dyDescent="0.3"/>
    <row r="43" spans="2:32" ht="15.75" thickBot="1" x14ac:dyDescent="0.3">
      <c r="B43" s="3"/>
      <c r="C43" s="123" t="s">
        <v>393</v>
      </c>
      <c r="D43" s="119" t="s">
        <v>1217</v>
      </c>
      <c r="E43" s="237"/>
      <c r="F43" s="237"/>
      <c r="G43" s="237"/>
      <c r="H43" s="237"/>
      <c r="I43" s="237"/>
      <c r="J43" s="237"/>
      <c r="K43" s="237"/>
      <c r="L43" s="237"/>
      <c r="M43" s="237"/>
      <c r="N43" s="237"/>
      <c r="O43" s="237"/>
      <c r="P43" s="237"/>
      <c r="Q43" s="237"/>
      <c r="R43" s="237"/>
      <c r="S43" s="237"/>
      <c r="T43" s="237"/>
      <c r="U43" s="237"/>
      <c r="V43" s="237"/>
      <c r="W43" s="238"/>
      <c r="X43" s="238"/>
      <c r="Y43" s="238"/>
    </row>
    <row r="44" spans="2:32" ht="18.75" thickBot="1" x14ac:dyDescent="0.3">
      <c r="B44" s="247"/>
      <c r="C44" s="242" t="s">
        <v>1</v>
      </c>
      <c r="D44" s="390" t="s">
        <v>396</v>
      </c>
      <c r="E44" s="390" t="s">
        <v>398</v>
      </c>
      <c r="F44" s="390" t="s">
        <v>400</v>
      </c>
      <c r="G44" s="390" t="s">
        <v>402</v>
      </c>
      <c r="H44" s="391" t="s">
        <v>2191</v>
      </c>
      <c r="I44" s="391" t="s">
        <v>2193</v>
      </c>
      <c r="J44" s="390" t="s">
        <v>423</v>
      </c>
      <c r="K44" s="390" t="s">
        <v>404</v>
      </c>
      <c r="L44" s="390" t="s">
        <v>406</v>
      </c>
      <c r="M44" s="390" t="s">
        <v>408</v>
      </c>
      <c r="N44" s="390" t="s">
        <v>410</v>
      </c>
      <c r="O44" s="390" t="s">
        <v>412</v>
      </c>
      <c r="P44" s="390" t="s">
        <v>414</v>
      </c>
      <c r="Q44" s="390" t="s">
        <v>416</v>
      </c>
      <c r="R44" s="390" t="s">
        <v>418</v>
      </c>
      <c r="S44" s="390" t="s">
        <v>420</v>
      </c>
      <c r="T44" s="390" t="s">
        <v>993</v>
      </c>
      <c r="U44" s="390" t="s">
        <v>994</v>
      </c>
      <c r="V44" s="390" t="s">
        <v>1250</v>
      </c>
      <c r="W44" s="392" t="s">
        <v>1052</v>
      </c>
      <c r="X44" s="392" t="s">
        <v>1249</v>
      </c>
      <c r="Y44" s="392" t="s">
        <v>1054</v>
      </c>
      <c r="Z44" s="248" t="s">
        <v>152</v>
      </c>
      <c r="AA44" s="248" t="s">
        <v>2</v>
      </c>
      <c r="AB44" s="248" t="s">
        <v>300</v>
      </c>
      <c r="AC44" s="248" t="s">
        <v>116</v>
      </c>
      <c r="AD44" s="249" t="s">
        <v>117</v>
      </c>
      <c r="AE44" s="8"/>
      <c r="AF44" s="8"/>
    </row>
    <row r="45" spans="2:32" ht="17.25" x14ac:dyDescent="0.25">
      <c r="B45" s="254" t="s">
        <v>389</v>
      </c>
      <c r="C45" s="255" t="s">
        <v>318</v>
      </c>
      <c r="D45" s="255">
        <f>(1)*conc_Hp_I</f>
        <v>6.3095734448019177E-8</v>
      </c>
      <c r="E45" s="255">
        <f>(-1)*conc_OHm_I</f>
        <v>-1.384875770636308E-7</v>
      </c>
      <c r="F45" s="255">
        <f>(0)*conc_NH3_I</f>
        <v>0</v>
      </c>
      <c r="G45" s="255">
        <f>(1)*conc_NH4p_I</f>
        <v>7.0948723109100212E-5</v>
      </c>
      <c r="H45" s="296">
        <f>(0)*conc_HNO2_I</f>
        <v>0</v>
      </c>
      <c r="I45" s="296">
        <f>(-1)*conc_NO2m_I</f>
        <v>-7.1385803989688371E-6</v>
      </c>
      <c r="J45" s="255">
        <f>(-1)*conc_NO3m_I</f>
        <v>-3.5697202053303062E-4</v>
      </c>
      <c r="K45" s="255">
        <f>(0)*conc_H2CO3_I</f>
        <v>0</v>
      </c>
      <c r="L45" s="255">
        <f>(-1)*conc_HCO3m_I</f>
        <v>-5.5062302620906018E-3</v>
      </c>
      <c r="M45" s="255">
        <f>(-2)*conc_CO32m_I</f>
        <v>-1.2267207602456279E-5</v>
      </c>
      <c r="N45" s="255">
        <f>(0)*conc_H3PO4_I</f>
        <v>0</v>
      </c>
      <c r="O45" s="255">
        <f>(-1)*conc_H2PO4m_I</f>
        <v>-6.1647215595877176E-6</v>
      </c>
      <c r="P45" s="255">
        <f>(-2)*conc_HPO42m_I</f>
        <v>-1.9955607245567521E-5</v>
      </c>
      <c r="Q45" s="255">
        <f>(-3)*conc_PO43m_I</f>
        <v>-3.8878869829771096E-10</v>
      </c>
      <c r="R45" s="255">
        <f>(0)*conc_HAc_I</f>
        <v>0</v>
      </c>
      <c r="S45" s="255">
        <f>(-1)*conc_Acm_I</f>
        <v>-1.5582248850509766E-7</v>
      </c>
      <c r="T45" s="255">
        <f>(2)*conc_Ca2p_I</f>
        <v>7.4854034632466692E-3</v>
      </c>
      <c r="U45" s="255">
        <f>(2)*conc_Mg2p_I</f>
        <v>1.2343139271754782E-3</v>
      </c>
      <c r="V45" s="255">
        <f>(1)*conc_CATp_I</f>
        <v>1.5224163409384409E-3</v>
      </c>
      <c r="W45" s="255">
        <f>(1)*conc_Kp_I</f>
        <v>3.8364839391994023E-4</v>
      </c>
      <c r="X45" s="255">
        <f>(-1)*conc_ANm_I</f>
        <v>-4.2309536569542774E-3</v>
      </c>
      <c r="Y45" s="255">
        <f>(2)*conc_Fe2p_I</f>
        <v>3.5813412122840006E-55</v>
      </c>
      <c r="Z45" s="256" t="e">
        <f>SUM(pH!#REF!)</f>
        <v>#REF!</v>
      </c>
      <c r="AA45" s="256" t="s">
        <v>843</v>
      </c>
      <c r="AB45" s="256"/>
      <c r="AC45" s="256" t="s">
        <v>11</v>
      </c>
      <c r="AD45" s="257"/>
    </row>
    <row r="46" spans="2:32" ht="18.75" thickBot="1" x14ac:dyDescent="0.3">
      <c r="B46" s="206" t="s">
        <v>844</v>
      </c>
      <c r="C46" s="207" t="s">
        <v>379</v>
      </c>
      <c r="D46" s="207">
        <f>(f_mono_IS_cat)*conc_Hp_I</f>
        <v>3.1547867224009589E-8</v>
      </c>
      <c r="E46" s="207">
        <f>(f_mono_IS_an)*conc_OHm_I</f>
        <v>6.92437885318154E-8</v>
      </c>
      <c r="F46" s="207">
        <f>(0)*conc_NH3_I</f>
        <v>0</v>
      </c>
      <c r="G46" s="207">
        <f>(f_mono_IS_cat)*conc_NH4p_I</f>
        <v>3.5474361554550106E-5</v>
      </c>
      <c r="H46" s="207">
        <f>(0)*conc_HNO2_I</f>
        <v>0</v>
      </c>
      <c r="I46" s="207">
        <f>(f_mono_IS_an)*conc_NO2m_I</f>
        <v>3.5692901994844186E-6</v>
      </c>
      <c r="J46" s="207">
        <f>(f_mono_IS_an)*conc_NO3m_I</f>
        <v>1.7848601026651531E-4</v>
      </c>
      <c r="K46" s="207">
        <f>(0)*conc_H2CO3_I</f>
        <v>0</v>
      </c>
      <c r="L46" s="207">
        <f>(f_mono_IS_an)*conc_HCO3m_I</f>
        <v>2.7531151310453009E-3</v>
      </c>
      <c r="M46" s="207">
        <f>(f_di_IS_an)*conc_CO32m_I</f>
        <v>1.2267207602456279E-5</v>
      </c>
      <c r="N46" s="207">
        <f>(0)*conc_H3PO4_I</f>
        <v>0</v>
      </c>
      <c r="O46" s="207">
        <f>(f_mono_IS_an)*conc_H2PO4m_I</f>
        <v>3.0823607797938588E-6</v>
      </c>
      <c r="P46" s="207">
        <f>(f_di_IS_an)*conc_HPO42m_I</f>
        <v>1.9955607245567521E-5</v>
      </c>
      <c r="Q46" s="207">
        <f>(f_tri_IS_an)*conc_PO43m_I</f>
        <v>5.8318304744656643E-10</v>
      </c>
      <c r="R46" s="207">
        <f>(0)*conc_HAc_I</f>
        <v>0</v>
      </c>
      <c r="S46" s="207">
        <f>(f_mono_IS_an)*conc_Acm_I</f>
        <v>7.7911244252548829E-8</v>
      </c>
      <c r="T46" s="207">
        <f>(f_di_IS_cat)*conc_Ca2p_I</f>
        <v>7.4854034632466692E-3</v>
      </c>
      <c r="U46" s="207">
        <f>(f_di_IS_cat)*conc_Mg2p_I</f>
        <v>1.2343139271754782E-3</v>
      </c>
      <c r="V46" s="207">
        <f>(f_mono_IS_cat)*conc_CATp_I</f>
        <v>7.6120817046922043E-4</v>
      </c>
      <c r="W46" s="207">
        <f>(f_mono_IS_cat)*conc_Kp_I</f>
        <v>1.9182419695997011E-4</v>
      </c>
      <c r="X46" s="207">
        <f>(f_mono_IS_an)*conc_ANm_I</f>
        <v>2.1154768284771387E-3</v>
      </c>
      <c r="Y46" s="207">
        <f>(f_di_IS_cat)*conc_Fe2p_I</f>
        <v>3.5813412122840006E-55</v>
      </c>
      <c r="Z46" s="208" t="e">
        <f>SUM(pH!#REF!)</f>
        <v>#REF!</v>
      </c>
      <c r="AA46" s="208" t="s">
        <v>843</v>
      </c>
      <c r="AB46" s="208"/>
      <c r="AC46" s="253" t="s">
        <v>11</v>
      </c>
      <c r="AD46" s="209"/>
    </row>
  </sheetData>
  <phoneticPr fontId="30"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23"/>
  <dimension ref="B1:H25"/>
  <sheetViews>
    <sheetView showGridLines="0" zoomScaleNormal="100" workbookViewId="0">
      <selection activeCell="B25" sqref="B25:D25"/>
    </sheetView>
  </sheetViews>
  <sheetFormatPr baseColWidth="10" defaultColWidth="9.140625" defaultRowHeight="15" x14ac:dyDescent="0.25"/>
  <cols>
    <col min="3" max="3" width="24.85546875" bestFit="1" customWidth="1"/>
    <col min="4" max="4" width="12" bestFit="1" customWidth="1"/>
    <col min="6" max="6" width="12" customWidth="1"/>
    <col min="7" max="7" width="14.85546875" style="136" customWidth="1"/>
    <col min="8" max="8" width="20.85546875" customWidth="1"/>
  </cols>
  <sheetData>
    <row r="1" spans="2:8" s="45" customFormat="1" ht="48" customHeight="1" thickBot="1" x14ac:dyDescent="0.3">
      <c r="G1" s="134"/>
    </row>
    <row r="2" spans="2:8" ht="15.75" thickBot="1" x14ac:dyDescent="0.3">
      <c r="B2" s="102"/>
      <c r="C2" s="116" t="s">
        <v>395</v>
      </c>
      <c r="D2" s="102"/>
      <c r="E2" s="102"/>
      <c r="F2" s="102"/>
      <c r="G2" s="135"/>
      <c r="H2" s="115"/>
    </row>
    <row r="3" spans="2:8" ht="15.75" thickBot="1" x14ac:dyDescent="0.3">
      <c r="B3" s="239" t="s">
        <v>0</v>
      </c>
      <c r="C3" s="240" t="s">
        <v>1</v>
      </c>
      <c r="D3" s="120" t="s">
        <v>152</v>
      </c>
      <c r="E3" s="240" t="s">
        <v>2</v>
      </c>
      <c r="F3" s="240" t="s">
        <v>300</v>
      </c>
      <c r="G3" s="240" t="s">
        <v>116</v>
      </c>
      <c r="H3" s="241" t="s">
        <v>117</v>
      </c>
    </row>
    <row r="4" spans="2:8" ht="17.25" x14ac:dyDescent="0.25">
      <c r="B4" s="137" t="s">
        <v>396</v>
      </c>
      <c r="C4" s="87" t="s">
        <v>397</v>
      </c>
      <c r="D4" s="81">
        <f>SUM(pH!D28:D40)</f>
        <v>6.3095734448019177E-8</v>
      </c>
      <c r="E4" s="90" t="s">
        <v>384</v>
      </c>
      <c r="F4" s="85">
        <v>2</v>
      </c>
      <c r="G4" s="85" t="s">
        <v>11</v>
      </c>
      <c r="H4" s="88"/>
    </row>
    <row r="5" spans="2:8" ht="17.25" x14ac:dyDescent="0.25">
      <c r="B5" s="89" t="s">
        <v>398</v>
      </c>
      <c r="C5" s="80" t="s">
        <v>399</v>
      </c>
      <c r="D5" s="90">
        <f>SUM(pH!E28:E40)</f>
        <v>1.384875770636308E-7</v>
      </c>
      <c r="E5" s="90" t="s">
        <v>384</v>
      </c>
      <c r="F5" s="90">
        <v>2</v>
      </c>
      <c r="G5" s="90" t="s">
        <v>11</v>
      </c>
      <c r="H5" s="91"/>
    </row>
    <row r="6" spans="2:8" ht="18" x14ac:dyDescent="0.25">
      <c r="B6" s="89" t="s">
        <v>400</v>
      </c>
      <c r="C6" s="80" t="s">
        <v>401</v>
      </c>
      <c r="D6" s="90">
        <f>SUM(pH!F28:F40)</f>
        <v>4.456809975059031E-7</v>
      </c>
      <c r="E6" s="90" t="s">
        <v>384</v>
      </c>
      <c r="F6" s="90">
        <v>2</v>
      </c>
      <c r="G6" s="90" t="s">
        <v>1246</v>
      </c>
      <c r="H6" s="91"/>
    </row>
    <row r="7" spans="2:8" ht="18" x14ac:dyDescent="0.25">
      <c r="B7" s="89" t="s">
        <v>402</v>
      </c>
      <c r="C7" s="80" t="s">
        <v>403</v>
      </c>
      <c r="D7" s="90">
        <f>SUM(pH!G28:G40)</f>
        <v>7.0948723109100212E-5</v>
      </c>
      <c r="E7" s="90" t="s">
        <v>384</v>
      </c>
      <c r="F7" s="90">
        <v>2</v>
      </c>
      <c r="G7" s="90" t="s">
        <v>1246</v>
      </c>
      <c r="H7" s="91"/>
    </row>
    <row r="8" spans="2:8" ht="18" x14ac:dyDescent="0.25">
      <c r="B8" s="89" t="s">
        <v>2191</v>
      </c>
      <c r="C8" s="82" t="s">
        <v>2192</v>
      </c>
      <c r="D8" s="90">
        <f>SUM(pH!H28:H40)</f>
        <v>8.600116917741957E-10</v>
      </c>
      <c r="E8" s="90" t="s">
        <v>384</v>
      </c>
      <c r="F8" s="90">
        <v>2</v>
      </c>
      <c r="G8" s="90" t="s">
        <v>11</v>
      </c>
      <c r="H8" s="91"/>
    </row>
    <row r="9" spans="2:8" ht="18" x14ac:dyDescent="0.25">
      <c r="B9" s="89" t="s">
        <v>2193</v>
      </c>
      <c r="C9" s="80" t="s">
        <v>2194</v>
      </c>
      <c r="D9" s="90">
        <f>SUM(pH!I28:I40)</f>
        <v>7.1385803989688371E-6</v>
      </c>
      <c r="E9" s="90" t="s">
        <v>384</v>
      </c>
      <c r="F9" s="90">
        <v>2</v>
      </c>
      <c r="G9" s="90" t="s">
        <v>11</v>
      </c>
      <c r="H9" s="91"/>
    </row>
    <row r="10" spans="2:8" ht="18" x14ac:dyDescent="0.25">
      <c r="B10" s="89" t="s">
        <v>423</v>
      </c>
      <c r="C10" s="80" t="s">
        <v>422</v>
      </c>
      <c r="D10" s="82">
        <f>SUM(pH!J28:J40)</f>
        <v>3.5697202053303062E-4</v>
      </c>
      <c r="E10" s="90" t="s">
        <v>384</v>
      </c>
      <c r="F10" s="90">
        <v>2</v>
      </c>
      <c r="G10" s="90" t="s">
        <v>11</v>
      </c>
      <c r="H10" s="91"/>
    </row>
    <row r="11" spans="2:8" ht="18" x14ac:dyDescent="0.25">
      <c r="B11" s="89" t="s">
        <v>404</v>
      </c>
      <c r="C11" s="80" t="s">
        <v>405</v>
      </c>
      <c r="D11" s="90">
        <f>SUM(pH!K28:K40)</f>
        <v>6.4880908822408209E-4</v>
      </c>
      <c r="E11" s="90" t="s">
        <v>384</v>
      </c>
      <c r="F11" s="90">
        <v>2</v>
      </c>
      <c r="G11" s="90" t="s">
        <v>1219</v>
      </c>
      <c r="H11" s="91"/>
    </row>
    <row r="12" spans="2:8" ht="18" x14ac:dyDescent="0.25">
      <c r="B12" s="89" t="s">
        <v>406</v>
      </c>
      <c r="C12" s="80" t="s">
        <v>407</v>
      </c>
      <c r="D12" s="90">
        <f>SUM(pH!L28:L40)</f>
        <v>5.5062302620906018E-3</v>
      </c>
      <c r="E12" s="90" t="s">
        <v>384</v>
      </c>
      <c r="F12" s="90">
        <v>2</v>
      </c>
      <c r="G12" s="90" t="s">
        <v>1219</v>
      </c>
      <c r="H12" s="91"/>
    </row>
    <row r="13" spans="2:8" ht="18" x14ac:dyDescent="0.25">
      <c r="B13" s="89" t="s">
        <v>408</v>
      </c>
      <c r="C13" s="80" t="s">
        <v>409</v>
      </c>
      <c r="D13" s="90">
        <f>SUM(pH!M28:M40)</f>
        <v>6.1336038012281396E-6</v>
      </c>
      <c r="E13" s="90" t="s">
        <v>384</v>
      </c>
      <c r="F13" s="90">
        <v>2</v>
      </c>
      <c r="G13" s="90" t="s">
        <v>1219</v>
      </c>
      <c r="H13" s="91"/>
    </row>
    <row r="14" spans="2:8" ht="18" x14ac:dyDescent="0.25">
      <c r="B14" s="89" t="s">
        <v>410</v>
      </c>
      <c r="C14" s="80" t="s">
        <v>411</v>
      </c>
      <c r="D14" s="90">
        <f>SUM(pH!N28:N40)</f>
        <v>4.0344172931174842E-11</v>
      </c>
      <c r="E14" s="90" t="s">
        <v>384</v>
      </c>
      <c r="F14" s="90">
        <v>2</v>
      </c>
      <c r="G14" s="90" t="s">
        <v>1220</v>
      </c>
      <c r="H14" s="91"/>
    </row>
    <row r="15" spans="2:8" ht="18" x14ac:dyDescent="0.25">
      <c r="B15" s="89" t="s">
        <v>412</v>
      </c>
      <c r="C15" s="80" t="s">
        <v>413</v>
      </c>
      <c r="D15" s="90">
        <f>SUM(pH!O28:O40)</f>
        <v>6.1647215595877176E-6</v>
      </c>
      <c r="E15" s="90" t="s">
        <v>384</v>
      </c>
      <c r="F15" s="90">
        <v>2</v>
      </c>
      <c r="G15" s="90" t="s">
        <v>1220</v>
      </c>
      <c r="H15" s="91"/>
    </row>
    <row r="16" spans="2:8" ht="18" x14ac:dyDescent="0.25">
      <c r="B16" s="89" t="s">
        <v>414</v>
      </c>
      <c r="C16" s="80" t="s">
        <v>415</v>
      </c>
      <c r="D16" s="90">
        <f>SUM(pH!P28:P40)</f>
        <v>9.9778036227837607E-6</v>
      </c>
      <c r="E16" s="90" t="s">
        <v>384</v>
      </c>
      <c r="F16" s="90">
        <v>2</v>
      </c>
      <c r="G16" s="90" t="s">
        <v>1220</v>
      </c>
      <c r="H16" s="83"/>
    </row>
    <row r="17" spans="2:8" ht="18" x14ac:dyDescent="0.25">
      <c r="B17" s="89" t="s">
        <v>416</v>
      </c>
      <c r="C17" s="82" t="s">
        <v>417</v>
      </c>
      <c r="D17" s="82">
        <f>SUM(pH!Q28:Q40)</f>
        <v>1.2959623276590366E-10</v>
      </c>
      <c r="E17" s="90" t="s">
        <v>384</v>
      </c>
      <c r="F17" s="90">
        <v>2</v>
      </c>
      <c r="G17" s="90" t="s">
        <v>1220</v>
      </c>
      <c r="H17" s="83"/>
    </row>
    <row r="18" spans="2:8" ht="18" x14ac:dyDescent="0.35">
      <c r="B18" s="92" t="s">
        <v>418</v>
      </c>
      <c r="C18" s="82" t="s">
        <v>419</v>
      </c>
      <c r="D18" s="82">
        <f>SUM(pH!R28:R40)</f>
        <v>4.3337108963713439E-10</v>
      </c>
      <c r="E18" s="90" t="s">
        <v>384</v>
      </c>
      <c r="F18" s="90">
        <v>2</v>
      </c>
      <c r="G18" s="96" t="s">
        <v>1603</v>
      </c>
      <c r="H18" s="83"/>
    </row>
    <row r="19" spans="2:8" ht="18" x14ac:dyDescent="0.35">
      <c r="B19" s="92" t="s">
        <v>420</v>
      </c>
      <c r="C19" s="82" t="s">
        <v>421</v>
      </c>
      <c r="D19" s="82">
        <f>SUM(pH!S28:S40)</f>
        <v>1.5582248850509766E-7</v>
      </c>
      <c r="E19" s="90" t="s">
        <v>384</v>
      </c>
      <c r="F19" s="90">
        <v>2</v>
      </c>
      <c r="G19" s="96" t="s">
        <v>1603</v>
      </c>
      <c r="H19" s="83"/>
    </row>
    <row r="20" spans="2:8" ht="18" x14ac:dyDescent="0.25">
      <c r="B20" s="89" t="s">
        <v>993</v>
      </c>
      <c r="C20" s="82" t="s">
        <v>995</v>
      </c>
      <c r="D20" s="82">
        <f>SUM(pH!T28:T40)</f>
        <v>3.7427017316233346E-3</v>
      </c>
      <c r="E20" s="90" t="s">
        <v>384</v>
      </c>
      <c r="F20" s="90">
        <v>2</v>
      </c>
      <c r="G20" s="90" t="s">
        <v>1221</v>
      </c>
      <c r="H20" s="83"/>
    </row>
    <row r="21" spans="2:8" ht="18" x14ac:dyDescent="0.35">
      <c r="B21" s="89" t="s">
        <v>994</v>
      </c>
      <c r="C21" s="82" t="s">
        <v>996</v>
      </c>
      <c r="D21" s="82">
        <f>SUM(pH!U28:U40)</f>
        <v>6.1715696358773911E-4</v>
      </c>
      <c r="E21" s="90" t="s">
        <v>384</v>
      </c>
      <c r="F21" s="90">
        <v>2</v>
      </c>
      <c r="G21" s="96" t="s">
        <v>1222</v>
      </c>
      <c r="H21" s="83"/>
    </row>
    <row r="22" spans="2:8" ht="18" x14ac:dyDescent="0.35">
      <c r="B22" s="92" t="s">
        <v>1250</v>
      </c>
      <c r="C22" s="82" t="s">
        <v>1051</v>
      </c>
      <c r="D22" s="82">
        <f>SUM(pH!V28:V40)</f>
        <v>1.5224163409384409E-3</v>
      </c>
      <c r="E22" s="90" t="s">
        <v>384</v>
      </c>
      <c r="F22" s="90">
        <v>2</v>
      </c>
      <c r="G22" s="96" t="s">
        <v>1223</v>
      </c>
      <c r="H22" s="83"/>
    </row>
    <row r="23" spans="2:8" ht="18" x14ac:dyDescent="0.35">
      <c r="B23" s="92" t="s">
        <v>1052</v>
      </c>
      <c r="C23" s="82" t="s">
        <v>1044</v>
      </c>
      <c r="D23" s="82">
        <f>SUM(pH!W28:W40)</f>
        <v>3.8364839391994023E-4</v>
      </c>
      <c r="E23" s="90" t="s">
        <v>384</v>
      </c>
      <c r="F23" s="90">
        <v>2</v>
      </c>
      <c r="G23" s="96" t="s">
        <v>1224</v>
      </c>
      <c r="H23" s="83"/>
    </row>
    <row r="24" spans="2:8" ht="18" x14ac:dyDescent="0.35">
      <c r="B24" s="92" t="s">
        <v>1249</v>
      </c>
      <c r="C24" s="82" t="s">
        <v>1053</v>
      </c>
      <c r="D24" s="82">
        <f>SUM(pH!X28:X40)</f>
        <v>4.2309536569542774E-3</v>
      </c>
      <c r="E24" s="90" t="s">
        <v>384</v>
      </c>
      <c r="F24" s="90">
        <v>2</v>
      </c>
      <c r="G24" s="96" t="s">
        <v>1225</v>
      </c>
      <c r="H24" s="83"/>
    </row>
    <row r="25" spans="2:8" ht="18.75" thickBot="1" x14ac:dyDescent="0.4">
      <c r="B25" s="93" t="s">
        <v>1054</v>
      </c>
      <c r="C25" s="94" t="s">
        <v>1049</v>
      </c>
      <c r="D25" s="94">
        <f>SUM(pH!Y28:Y40)</f>
        <v>1.7906706061420003E-55</v>
      </c>
      <c r="E25" s="90" t="s">
        <v>384</v>
      </c>
      <c r="F25" s="95">
        <v>2</v>
      </c>
      <c r="G25" s="97" t="s">
        <v>1613</v>
      </c>
      <c r="H25" s="84"/>
    </row>
  </sheetData>
  <pageMargins left="0.7" right="0.7" top="0.75" bottom="0.75" header="0.3" footer="0.3"/>
  <pageSetup paperSize="9" orientation="portrait"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13"/>
  <dimension ref="B1:I13"/>
  <sheetViews>
    <sheetView showGridLines="0" workbookViewId="0">
      <selection activeCell="L12" sqref="L12"/>
    </sheetView>
  </sheetViews>
  <sheetFormatPr baseColWidth="10" defaultColWidth="9.140625" defaultRowHeight="15" x14ac:dyDescent="0.25"/>
  <cols>
    <col min="1" max="1" width="4" style="21" customWidth="1"/>
    <col min="2" max="2" width="22" style="20" customWidth="1"/>
    <col min="3" max="3" width="9.5703125" style="21" customWidth="1"/>
    <col min="4" max="16384" width="9.140625" style="21"/>
  </cols>
  <sheetData>
    <row r="1" spans="2:9" ht="56.25" customHeight="1" thickBot="1" x14ac:dyDescent="0.3"/>
    <row r="2" spans="2:9" s="20" customFormat="1" ht="15.75" thickBot="1" x14ac:dyDescent="0.3">
      <c r="B2" s="22" t="s">
        <v>134</v>
      </c>
      <c r="C2" s="23" t="s">
        <v>135</v>
      </c>
      <c r="D2" s="23" t="s">
        <v>136</v>
      </c>
      <c r="E2" s="23" t="s">
        <v>137</v>
      </c>
      <c r="F2" s="23" t="s">
        <v>138</v>
      </c>
      <c r="G2" s="23" t="s">
        <v>139</v>
      </c>
      <c r="H2" s="23" t="s">
        <v>140</v>
      </c>
      <c r="I2" s="24" t="s">
        <v>141</v>
      </c>
    </row>
    <row r="3" spans="2:9" ht="15.75" thickBot="1" x14ac:dyDescent="0.3">
      <c r="B3" s="25" t="s">
        <v>8</v>
      </c>
      <c r="C3" s="26">
        <v>1</v>
      </c>
      <c r="D3" s="26">
        <v>0</v>
      </c>
      <c r="E3" s="26">
        <v>-1</v>
      </c>
      <c r="F3" s="26">
        <v>-1</v>
      </c>
      <c r="G3" s="26">
        <v>1</v>
      </c>
      <c r="H3" s="27">
        <v>-1</v>
      </c>
      <c r="I3" s="28"/>
    </row>
    <row r="4" spans="2:9" x14ac:dyDescent="0.25">
      <c r="B4" s="29" t="s">
        <v>135</v>
      </c>
      <c r="C4" s="30">
        <v>1</v>
      </c>
      <c r="D4" s="30"/>
      <c r="E4" s="30"/>
      <c r="F4" s="30"/>
      <c r="G4" s="30"/>
      <c r="H4" s="31"/>
      <c r="I4" s="28"/>
    </row>
    <row r="5" spans="2:9" x14ac:dyDescent="0.25">
      <c r="B5" s="29" t="s">
        <v>136</v>
      </c>
      <c r="C5" s="30"/>
      <c r="D5" s="30">
        <v>1</v>
      </c>
      <c r="E5" s="30"/>
      <c r="F5" s="30"/>
      <c r="G5" s="30"/>
      <c r="H5" s="31"/>
      <c r="I5" s="28"/>
    </row>
    <row r="6" spans="2:9" x14ac:dyDescent="0.25">
      <c r="B6" s="29" t="s">
        <v>142</v>
      </c>
      <c r="C6" s="30"/>
      <c r="D6" s="30"/>
      <c r="E6" s="30">
        <v>1</v>
      </c>
      <c r="F6" s="30"/>
      <c r="G6" s="30"/>
      <c r="H6" s="31"/>
      <c r="I6" s="28"/>
    </row>
    <row r="7" spans="2:9" x14ac:dyDescent="0.25">
      <c r="B7" s="29" t="s">
        <v>143</v>
      </c>
      <c r="C7" s="30"/>
      <c r="D7" s="30"/>
      <c r="E7" s="30"/>
      <c r="F7" s="30">
        <v>1</v>
      </c>
      <c r="G7" s="30"/>
      <c r="H7" s="31"/>
      <c r="I7" s="28"/>
    </row>
    <row r="8" spans="2:9" x14ac:dyDescent="0.25">
      <c r="B8" s="29" t="s">
        <v>139</v>
      </c>
      <c r="C8" s="30"/>
      <c r="D8" s="30"/>
      <c r="E8" s="30"/>
      <c r="F8" s="30"/>
      <c r="G8" s="30">
        <v>1</v>
      </c>
      <c r="H8" s="31"/>
      <c r="I8" s="28"/>
    </row>
    <row r="9" spans="2:9" ht="15.75" thickBot="1" x14ac:dyDescent="0.3">
      <c r="B9" s="32" t="s">
        <v>140</v>
      </c>
      <c r="C9" s="33"/>
      <c r="D9" s="33"/>
      <c r="E9" s="33"/>
      <c r="F9" s="33"/>
      <c r="G9" s="33"/>
      <c r="H9" s="34">
        <v>1</v>
      </c>
    </row>
    <row r="10" spans="2:9" x14ac:dyDescent="0.25">
      <c r="B10" s="29" t="s">
        <v>144</v>
      </c>
      <c r="C10" s="30">
        <v>-1</v>
      </c>
      <c r="D10" s="30">
        <v>0</v>
      </c>
      <c r="E10" s="30">
        <v>0</v>
      </c>
      <c r="F10" s="30">
        <v>0</v>
      </c>
      <c r="G10" s="30">
        <v>0</v>
      </c>
      <c r="H10" s="30">
        <v>0</v>
      </c>
      <c r="I10" s="35">
        <v>-14.163232949999999</v>
      </c>
    </row>
    <row r="11" spans="2:9" ht="15.75" thickBot="1" x14ac:dyDescent="0.3">
      <c r="B11" s="29" t="s">
        <v>145</v>
      </c>
      <c r="C11" s="30">
        <v>1</v>
      </c>
      <c r="D11" s="30">
        <v>1</v>
      </c>
      <c r="E11" s="30">
        <v>0</v>
      </c>
      <c r="F11" s="30">
        <v>0</v>
      </c>
      <c r="G11" s="30">
        <v>0</v>
      </c>
      <c r="H11" s="30">
        <v>0</v>
      </c>
      <c r="I11" s="36">
        <v>9.4016472899999997</v>
      </c>
    </row>
    <row r="12" spans="2:9" x14ac:dyDescent="0.25">
      <c r="B12" s="37" t="s">
        <v>146</v>
      </c>
      <c r="C12" s="40"/>
      <c r="D12" s="40">
        <v>1E-3</v>
      </c>
      <c r="E12" s="40">
        <v>1E-3</v>
      </c>
      <c r="F12" s="40">
        <v>1E-3</v>
      </c>
      <c r="G12" s="40">
        <v>1E-3</v>
      </c>
      <c r="H12" s="38">
        <v>1E-3</v>
      </c>
      <c r="I12" s="28"/>
    </row>
    <row r="13" spans="2:9" ht="15.75" thickBot="1" x14ac:dyDescent="0.3">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7"/>
  <dimension ref="A1:Z96"/>
  <sheetViews>
    <sheetView showGridLines="0" zoomScaleNormal="100" workbookViewId="0">
      <pane xSplit="2" ySplit="3" topLeftCell="C4" activePane="bottomRight" state="frozen"/>
      <selection pane="topRight" activeCell="C1" sqref="C1"/>
      <selection pane="bottomLeft" activeCell="A4" sqref="A4"/>
      <selection pane="bottomRight" activeCell="B96" sqref="B96:E96"/>
    </sheetView>
  </sheetViews>
  <sheetFormatPr baseColWidth="10" defaultColWidth="9.140625" defaultRowHeight="15" x14ac:dyDescent="0.25"/>
  <cols>
    <col min="1" max="1" width="8.140625" customWidth="1"/>
    <col min="2" max="2" width="18.28515625" customWidth="1"/>
    <col min="3" max="3" width="53.5703125" style="68" bestFit="1" customWidth="1"/>
    <col min="4" max="15" width="19.140625" customWidth="1"/>
    <col min="16" max="16" width="9.7109375" customWidth="1"/>
    <col min="17" max="18" width="10.140625" customWidth="1"/>
    <col min="19" max="19" width="13" customWidth="1"/>
    <col min="20" max="20" width="12" customWidth="1"/>
    <col min="21" max="21" width="13" style="136" customWidth="1"/>
    <col min="22" max="22" width="28" bestFit="1" customWidth="1"/>
    <col min="23" max="23" width="74.140625" bestFit="1" customWidth="1"/>
    <col min="24" max="24" width="19.28515625" customWidth="1"/>
    <col min="26" max="26" width="10.28515625" bestFit="1" customWidth="1"/>
  </cols>
  <sheetData>
    <row r="1" spans="1:26" s="45" customFormat="1" ht="48" customHeight="1" thickBot="1" x14ac:dyDescent="0.3">
      <c r="A1" s="48"/>
      <c r="B1" s="49"/>
      <c r="C1" s="71"/>
      <c r="U1" s="134"/>
    </row>
    <row r="2" spans="1:26" ht="19.5" customHeight="1" thickBot="1" x14ac:dyDescent="0.3">
      <c r="A2" s="3"/>
      <c r="B2" s="4"/>
      <c r="C2" s="53" t="s">
        <v>839</v>
      </c>
      <c r="D2" s="3"/>
      <c r="E2" s="3"/>
      <c r="F2" s="3"/>
      <c r="G2" s="3"/>
      <c r="H2" s="3"/>
      <c r="I2" s="3"/>
      <c r="J2" s="3"/>
      <c r="K2" s="3"/>
      <c r="L2" s="3"/>
      <c r="M2" s="3"/>
      <c r="N2" s="3"/>
      <c r="O2" s="3"/>
      <c r="P2" s="3"/>
      <c r="Q2" s="3"/>
    </row>
    <row r="3" spans="1:26" s="3" customFormat="1" ht="15.75" thickBot="1" x14ac:dyDescent="0.3">
      <c r="A3" s="5"/>
      <c r="B3" s="243" t="s">
        <v>0</v>
      </c>
      <c r="C3" s="244" t="s">
        <v>1</v>
      </c>
      <c r="D3" s="242" t="s">
        <v>12</v>
      </c>
      <c r="E3" s="242" t="s">
        <v>13</v>
      </c>
      <c r="F3" s="242" t="s">
        <v>4890</v>
      </c>
      <c r="G3" s="242" t="s">
        <v>1941</v>
      </c>
      <c r="H3" s="268" t="s">
        <v>1208</v>
      </c>
      <c r="I3" s="242" t="s">
        <v>1174</v>
      </c>
      <c r="J3" s="245" t="s">
        <v>1601</v>
      </c>
      <c r="K3" s="245" t="s">
        <v>3042</v>
      </c>
      <c r="L3" s="1458" t="s">
        <v>4809</v>
      </c>
      <c r="M3" s="1458" t="s">
        <v>4810</v>
      </c>
      <c r="N3" s="361" t="s">
        <v>471</v>
      </c>
      <c r="O3" s="361" t="s">
        <v>472</v>
      </c>
      <c r="P3" s="244" t="s">
        <v>2</v>
      </c>
      <c r="Q3" s="244" t="s">
        <v>300</v>
      </c>
      <c r="R3" s="244" t="s">
        <v>14</v>
      </c>
      <c r="S3" s="244" t="s">
        <v>841</v>
      </c>
      <c r="T3" s="244" t="s">
        <v>3</v>
      </c>
      <c r="U3" s="661" t="s">
        <v>4614</v>
      </c>
      <c r="V3" s="244" t="s">
        <v>116</v>
      </c>
      <c r="W3" s="246" t="s">
        <v>7</v>
      </c>
    </row>
    <row r="4" spans="1:26" ht="18" x14ac:dyDescent="0.25">
      <c r="A4" s="77"/>
      <c r="B4" s="2061" t="s">
        <v>804</v>
      </c>
      <c r="C4" s="2062" t="s">
        <v>2843</v>
      </c>
      <c r="D4" s="2063">
        <v>20</v>
      </c>
      <c r="E4" s="2063">
        <v>0.01</v>
      </c>
      <c r="F4" s="2063">
        <v>20</v>
      </c>
      <c r="G4" s="2063">
        <v>0.01</v>
      </c>
      <c r="H4" s="2063">
        <v>100</v>
      </c>
      <c r="I4" s="2063">
        <v>0.01</v>
      </c>
      <c r="J4" s="2063">
        <v>1E-3</v>
      </c>
      <c r="K4" s="2063">
        <v>0.01</v>
      </c>
      <c r="L4" s="2064">
        <v>0.16145200000000001</v>
      </c>
      <c r="M4" s="2064">
        <v>46.766300000000001</v>
      </c>
      <c r="N4" s="2065" t="s">
        <v>3040</v>
      </c>
      <c r="O4" s="2065" t="s">
        <v>3041</v>
      </c>
      <c r="P4" s="2066" t="s">
        <v>321</v>
      </c>
      <c r="Q4" s="2066">
        <v>1</v>
      </c>
      <c r="R4" s="2066" t="s">
        <v>257</v>
      </c>
      <c r="S4" s="2066" t="s">
        <v>258</v>
      </c>
      <c r="T4" s="2066" t="s">
        <v>261</v>
      </c>
      <c r="U4" s="2066" t="s">
        <v>148</v>
      </c>
      <c r="V4" s="2316"/>
      <c r="W4" s="86"/>
      <c r="Z4" s="270"/>
    </row>
    <row r="5" spans="1:26" ht="18" x14ac:dyDescent="0.25">
      <c r="A5" s="77"/>
      <c r="B5" s="2067" t="s">
        <v>805</v>
      </c>
      <c r="C5" s="2068" t="s">
        <v>291</v>
      </c>
      <c r="D5" s="2069">
        <v>45</v>
      </c>
      <c r="E5" s="2069">
        <v>1</v>
      </c>
      <c r="F5" s="2069">
        <v>45</v>
      </c>
      <c r="G5" s="2069">
        <v>1</v>
      </c>
      <c r="H5" s="2069">
        <v>0.1</v>
      </c>
      <c r="I5" s="2069">
        <v>1</v>
      </c>
      <c r="J5" s="2069">
        <v>1</v>
      </c>
      <c r="K5" s="2063">
        <v>1</v>
      </c>
      <c r="L5" s="2064">
        <v>1.89028</v>
      </c>
      <c r="M5" s="2064">
        <v>4.2483199999999999E-2</v>
      </c>
      <c r="N5" s="2070" t="s">
        <v>3040</v>
      </c>
      <c r="O5" s="2070" t="s">
        <v>3041</v>
      </c>
      <c r="P5" s="2071" t="s">
        <v>321</v>
      </c>
      <c r="Q5" s="2071">
        <v>1</v>
      </c>
      <c r="R5" s="2071" t="s">
        <v>257</v>
      </c>
      <c r="S5" s="2071" t="s">
        <v>258</v>
      </c>
      <c r="T5" s="2071" t="s">
        <v>261</v>
      </c>
      <c r="U5" s="2066" t="s">
        <v>148</v>
      </c>
      <c r="V5" s="2260"/>
      <c r="W5" s="83"/>
      <c r="Z5" s="270"/>
    </row>
    <row r="6" spans="1:26" ht="18" x14ac:dyDescent="0.25">
      <c r="A6" s="77"/>
      <c r="B6" s="2067" t="s">
        <v>806</v>
      </c>
      <c r="C6" s="2068" t="s">
        <v>2844</v>
      </c>
      <c r="D6" s="2069" t="s">
        <v>1209</v>
      </c>
      <c r="E6" s="2072">
        <v>1E-50</v>
      </c>
      <c r="F6" s="2069" t="s">
        <v>1209</v>
      </c>
      <c r="G6" s="2069" t="s">
        <v>1209</v>
      </c>
      <c r="H6" s="2069" t="s">
        <v>1209</v>
      </c>
      <c r="I6" s="2069" t="s">
        <v>1209</v>
      </c>
      <c r="J6" s="2069">
        <v>0.01</v>
      </c>
      <c r="K6" s="2063" t="s">
        <v>1209</v>
      </c>
      <c r="L6" s="2064" t="s">
        <v>1209</v>
      </c>
      <c r="M6" s="2064" t="s">
        <v>1209</v>
      </c>
      <c r="N6" s="2070" t="s">
        <v>3040</v>
      </c>
      <c r="O6" s="2070" t="s">
        <v>3041</v>
      </c>
      <c r="P6" s="2071" t="s">
        <v>321</v>
      </c>
      <c r="Q6" s="2071">
        <v>1</v>
      </c>
      <c r="R6" s="2071" t="s">
        <v>257</v>
      </c>
      <c r="S6" s="2071" t="s">
        <v>258</v>
      </c>
      <c r="T6" s="2071" t="s">
        <v>261</v>
      </c>
      <c r="U6" s="2066" t="s">
        <v>148</v>
      </c>
      <c r="V6" s="2260"/>
      <c r="W6" s="83"/>
      <c r="Z6" s="270"/>
    </row>
    <row r="7" spans="1:26" ht="18" x14ac:dyDescent="0.25">
      <c r="A7" s="77"/>
      <c r="B7" s="2067" t="s">
        <v>807</v>
      </c>
      <c r="C7" s="2068" t="s">
        <v>214</v>
      </c>
      <c r="D7" s="2069">
        <v>68</v>
      </c>
      <c r="E7" s="2069">
        <v>0.01</v>
      </c>
      <c r="F7" s="2069">
        <v>68</v>
      </c>
      <c r="G7" s="2415">
        <v>0.5</v>
      </c>
      <c r="H7" s="2069">
        <v>0.01</v>
      </c>
      <c r="I7" s="2069">
        <v>0.01</v>
      </c>
      <c r="J7" s="2069" t="s">
        <v>1209</v>
      </c>
      <c r="K7" s="2063">
        <v>0.01</v>
      </c>
      <c r="L7" s="2064" t="s">
        <v>1209</v>
      </c>
      <c r="M7" s="2064" t="s">
        <v>1209</v>
      </c>
      <c r="N7" s="2070" t="s">
        <v>3040</v>
      </c>
      <c r="O7" s="2070" t="s">
        <v>3041</v>
      </c>
      <c r="P7" s="2071" t="s">
        <v>321</v>
      </c>
      <c r="Q7" s="2071">
        <v>1</v>
      </c>
      <c r="R7" s="2071" t="s">
        <v>257</v>
      </c>
      <c r="S7" s="2071" t="s">
        <v>259</v>
      </c>
      <c r="T7" s="2071" t="s">
        <v>261</v>
      </c>
      <c r="U7" s="2066" t="s">
        <v>148</v>
      </c>
      <c r="V7" s="2260"/>
      <c r="W7" s="83"/>
      <c r="Z7" s="270"/>
    </row>
    <row r="8" spans="1:26" ht="18" x14ac:dyDescent="0.25">
      <c r="A8" s="77"/>
      <c r="B8" s="2067" t="s">
        <v>808</v>
      </c>
      <c r="C8" s="2068" t="s">
        <v>215</v>
      </c>
      <c r="D8" s="2069">
        <v>165.1</v>
      </c>
      <c r="E8" s="2069">
        <v>14</v>
      </c>
      <c r="F8" s="2069">
        <v>71</v>
      </c>
      <c r="G8" s="2069">
        <v>14</v>
      </c>
      <c r="H8" s="2069">
        <v>85</v>
      </c>
      <c r="I8" s="2069">
        <v>40</v>
      </c>
      <c r="J8" s="2069">
        <v>100</v>
      </c>
      <c r="K8" s="2063">
        <v>5.6000000000000005</v>
      </c>
      <c r="L8" s="2064">
        <v>11.224399999999999</v>
      </c>
      <c r="M8" s="2064">
        <v>17.735900000000001</v>
      </c>
      <c r="N8" s="2070" t="s">
        <v>3040</v>
      </c>
      <c r="O8" s="2070" t="s">
        <v>3041</v>
      </c>
      <c r="P8" s="2071" t="s">
        <v>321</v>
      </c>
      <c r="Q8" s="2071">
        <v>1</v>
      </c>
      <c r="R8" s="2071" t="s">
        <v>257</v>
      </c>
      <c r="S8" s="2071" t="s">
        <v>260</v>
      </c>
      <c r="T8" s="2071" t="s">
        <v>261</v>
      </c>
      <c r="U8" s="2066" t="s">
        <v>148</v>
      </c>
      <c r="V8" s="2260" t="s">
        <v>1864</v>
      </c>
      <c r="W8" s="83"/>
      <c r="Z8" s="270"/>
    </row>
    <row r="9" spans="1:26" s="68" customFormat="1" ht="18" x14ac:dyDescent="0.25">
      <c r="A9" s="77"/>
      <c r="B9" s="2083" t="s">
        <v>5369</v>
      </c>
      <c r="C9" s="2084" t="s">
        <v>5370</v>
      </c>
      <c r="D9" s="2069" t="s">
        <v>1209</v>
      </c>
      <c r="E9" s="2424">
        <v>65</v>
      </c>
      <c r="F9" s="2069" t="s">
        <v>1209</v>
      </c>
      <c r="G9" s="2424">
        <v>65</v>
      </c>
      <c r="H9" s="2424">
        <v>260</v>
      </c>
      <c r="I9" s="2424">
        <v>400</v>
      </c>
      <c r="J9" s="2085">
        <v>100</v>
      </c>
      <c r="K9" s="2064">
        <v>5.6000000000000005</v>
      </c>
      <c r="L9" s="2064">
        <v>11.280799999999999</v>
      </c>
      <c r="M9" s="2064">
        <v>17.7393775</v>
      </c>
      <c r="N9" s="2086" t="s">
        <v>3040</v>
      </c>
      <c r="O9" s="2086" t="s">
        <v>3041</v>
      </c>
      <c r="P9" s="2086" t="s">
        <v>321</v>
      </c>
      <c r="Q9" s="2086">
        <v>1</v>
      </c>
      <c r="R9" s="2086" t="s">
        <v>257</v>
      </c>
      <c r="S9" s="2086" t="s">
        <v>260</v>
      </c>
      <c r="T9" s="2086" t="s">
        <v>261</v>
      </c>
      <c r="U9" s="2065" t="s">
        <v>148</v>
      </c>
      <c r="V9" s="1414" t="s">
        <v>5371</v>
      </c>
      <c r="W9" s="2104"/>
      <c r="Z9" s="628"/>
    </row>
    <row r="10" spans="1:26" ht="18" x14ac:dyDescent="0.25">
      <c r="A10" s="77"/>
      <c r="B10" s="2067" t="s">
        <v>809</v>
      </c>
      <c r="C10" s="2068" t="s">
        <v>216</v>
      </c>
      <c r="D10" s="2069">
        <v>20</v>
      </c>
      <c r="E10" s="2069">
        <v>7</v>
      </c>
      <c r="F10" s="2069">
        <v>20</v>
      </c>
      <c r="G10" s="2069">
        <v>7</v>
      </c>
      <c r="H10" s="2069">
        <v>300</v>
      </c>
      <c r="I10" s="2069">
        <v>7</v>
      </c>
      <c r="J10" s="2069">
        <v>7</v>
      </c>
      <c r="K10" s="2063">
        <v>7</v>
      </c>
      <c r="L10" s="2064">
        <v>20</v>
      </c>
      <c r="M10" s="2064">
        <v>20</v>
      </c>
      <c r="N10" s="2070" t="s">
        <v>3040</v>
      </c>
      <c r="O10" s="2070" t="s">
        <v>3041</v>
      </c>
      <c r="P10" s="2071" t="s">
        <v>321</v>
      </c>
      <c r="Q10" s="2071">
        <v>1</v>
      </c>
      <c r="R10" s="2071" t="s">
        <v>257</v>
      </c>
      <c r="S10" s="2071" t="s">
        <v>258</v>
      </c>
      <c r="T10" s="2071" t="s">
        <v>261</v>
      </c>
      <c r="U10" s="2066" t="s">
        <v>148</v>
      </c>
      <c r="V10" s="2260"/>
      <c r="W10" s="83"/>
      <c r="Z10" s="270"/>
    </row>
    <row r="11" spans="1:26" ht="18" x14ac:dyDescent="0.25">
      <c r="A11" s="77"/>
      <c r="B11" s="2067" t="s">
        <v>810</v>
      </c>
      <c r="C11" s="2068" t="s">
        <v>217</v>
      </c>
      <c r="D11" s="2069">
        <v>17</v>
      </c>
      <c r="E11" s="2069">
        <v>0.01</v>
      </c>
      <c r="F11" s="2069">
        <v>17</v>
      </c>
      <c r="G11" s="2069">
        <v>0.01</v>
      </c>
      <c r="H11" s="2069">
        <v>0.01</v>
      </c>
      <c r="I11" s="2069">
        <v>0.01</v>
      </c>
      <c r="J11" s="2069" t="s">
        <v>1209</v>
      </c>
      <c r="K11" s="2063">
        <v>0.01</v>
      </c>
      <c r="L11" s="2064" t="s">
        <v>1209</v>
      </c>
      <c r="M11" s="2064" t="s">
        <v>1209</v>
      </c>
      <c r="N11" s="2070" t="s">
        <v>3040</v>
      </c>
      <c r="O11" s="2070" t="s">
        <v>3041</v>
      </c>
      <c r="P11" s="2071" t="s">
        <v>321</v>
      </c>
      <c r="Q11" s="2071">
        <v>1</v>
      </c>
      <c r="R11" s="2071" t="s">
        <v>257</v>
      </c>
      <c r="S11" s="2071" t="s">
        <v>259</v>
      </c>
      <c r="T11" s="2071" t="s">
        <v>261</v>
      </c>
      <c r="U11" s="2066" t="s">
        <v>148</v>
      </c>
      <c r="V11" s="2260"/>
      <c r="W11" s="83"/>
      <c r="Z11" s="270"/>
    </row>
    <row r="12" spans="1:26" ht="18" x14ac:dyDescent="0.25">
      <c r="A12" s="77"/>
      <c r="B12" s="2067" t="s">
        <v>811</v>
      </c>
      <c r="C12" s="2068" t="s">
        <v>218</v>
      </c>
      <c r="D12" s="2069">
        <v>58.8</v>
      </c>
      <c r="E12" s="2069">
        <v>1000</v>
      </c>
      <c r="F12" s="2069">
        <v>25.25</v>
      </c>
      <c r="G12" s="2069">
        <v>1000</v>
      </c>
      <c r="H12" s="2415">
        <v>16600</v>
      </c>
      <c r="I12" s="2069">
        <v>18000</v>
      </c>
      <c r="J12" s="2069">
        <v>1700</v>
      </c>
      <c r="K12" s="2063">
        <v>400</v>
      </c>
      <c r="L12" s="2064">
        <v>68.7363</v>
      </c>
      <c r="M12" s="2064">
        <v>96536.375</v>
      </c>
      <c r="N12" s="2070" t="s">
        <v>3040</v>
      </c>
      <c r="O12" s="2070" t="s">
        <v>3041</v>
      </c>
      <c r="P12" s="2071" t="s">
        <v>321</v>
      </c>
      <c r="Q12" s="2071">
        <v>1</v>
      </c>
      <c r="R12" s="2071" t="s">
        <v>257</v>
      </c>
      <c r="S12" s="2071" t="s">
        <v>260</v>
      </c>
      <c r="T12" s="2071" t="s">
        <v>261</v>
      </c>
      <c r="U12" s="2066" t="s">
        <v>148</v>
      </c>
      <c r="V12" s="2315" t="s">
        <v>5269</v>
      </c>
      <c r="W12" s="83"/>
      <c r="Z12" s="270"/>
    </row>
    <row r="13" spans="1:26" ht="18" x14ac:dyDescent="0.25">
      <c r="A13" s="77"/>
      <c r="B13" s="2083" t="s">
        <v>5412</v>
      </c>
      <c r="C13" s="2430" t="s">
        <v>5413</v>
      </c>
      <c r="D13" s="2075">
        <v>0.1</v>
      </c>
      <c r="E13" s="2076">
        <v>20</v>
      </c>
      <c r="F13" s="2075">
        <v>0.1</v>
      </c>
      <c r="G13" s="2076">
        <v>20</v>
      </c>
      <c r="H13" s="2416">
        <v>0.5</v>
      </c>
      <c r="I13" s="2077">
        <v>1.0000000000000001E-5</v>
      </c>
      <c r="J13" s="2076">
        <v>215</v>
      </c>
      <c r="K13" s="2078">
        <v>88.800000000000011</v>
      </c>
      <c r="L13" s="2078">
        <v>5.6087699999999999E-3</v>
      </c>
      <c r="M13" s="2078">
        <v>74.606999999999999</v>
      </c>
      <c r="N13" s="2079" t="s">
        <v>3040</v>
      </c>
      <c r="O13" s="2079" t="s">
        <v>3041</v>
      </c>
      <c r="P13" s="2079" t="s">
        <v>321</v>
      </c>
      <c r="Q13" s="2079">
        <v>1</v>
      </c>
      <c r="R13" s="2079" t="s">
        <v>257</v>
      </c>
      <c r="S13" s="2079" t="s">
        <v>260</v>
      </c>
      <c r="T13" s="2079" t="s">
        <v>261</v>
      </c>
      <c r="U13" s="2066" t="s">
        <v>148</v>
      </c>
      <c r="V13" s="2080" t="s">
        <v>5380</v>
      </c>
      <c r="W13" s="2081"/>
      <c r="Z13" s="270"/>
    </row>
    <row r="14" spans="1:26" ht="18" x14ac:dyDescent="0.25">
      <c r="A14" s="77"/>
      <c r="B14" s="2083" t="s">
        <v>5414</v>
      </c>
      <c r="C14" s="2430" t="s">
        <v>5415</v>
      </c>
      <c r="D14" s="2075">
        <v>0.1</v>
      </c>
      <c r="E14" s="2076">
        <v>3</v>
      </c>
      <c r="F14" s="2075">
        <v>0.1</v>
      </c>
      <c r="G14" s="2076">
        <v>3</v>
      </c>
      <c r="H14" s="2416">
        <v>0.5</v>
      </c>
      <c r="I14" s="2076">
        <v>0.1</v>
      </c>
      <c r="J14" s="2076">
        <v>75</v>
      </c>
      <c r="K14" s="2078">
        <v>12</v>
      </c>
      <c r="L14" s="2078">
        <v>9.7781599999999993E-3</v>
      </c>
      <c r="M14" s="2078">
        <v>3818.9124999999999</v>
      </c>
      <c r="N14" s="2079" t="s">
        <v>3040</v>
      </c>
      <c r="O14" s="2079" t="s">
        <v>3041</v>
      </c>
      <c r="P14" s="2079" t="s">
        <v>321</v>
      </c>
      <c r="Q14" s="2079">
        <v>1</v>
      </c>
      <c r="R14" s="2079" t="s">
        <v>257</v>
      </c>
      <c r="S14" s="2079" t="s">
        <v>260</v>
      </c>
      <c r="T14" s="2079" t="s">
        <v>261</v>
      </c>
      <c r="U14" s="2066" t="s">
        <v>148</v>
      </c>
      <c r="V14" s="2080" t="s">
        <v>5380</v>
      </c>
      <c r="W14" s="2081"/>
      <c r="Z14" s="270"/>
    </row>
    <row r="15" spans="1:26" ht="18" x14ac:dyDescent="0.25">
      <c r="A15" s="77"/>
      <c r="B15" s="2067" t="s">
        <v>812</v>
      </c>
      <c r="C15" s="2068" t="s">
        <v>219</v>
      </c>
      <c r="D15" s="2069">
        <v>4.2</v>
      </c>
      <c r="E15" s="2069">
        <v>300</v>
      </c>
      <c r="F15" s="2069">
        <v>1.8</v>
      </c>
      <c r="G15" s="2069">
        <v>300</v>
      </c>
      <c r="H15" s="2415">
        <v>3900</v>
      </c>
      <c r="I15" s="2069">
        <v>11000</v>
      </c>
      <c r="J15" s="2069">
        <v>800</v>
      </c>
      <c r="K15" s="2063">
        <v>120</v>
      </c>
      <c r="L15" s="2064">
        <v>9.2790900000000001</v>
      </c>
      <c r="M15" s="2064">
        <v>2265.107</v>
      </c>
      <c r="N15" s="2070" t="s">
        <v>3040</v>
      </c>
      <c r="O15" s="2070" t="s">
        <v>3041</v>
      </c>
      <c r="P15" s="2071" t="s">
        <v>321</v>
      </c>
      <c r="Q15" s="2071">
        <v>1</v>
      </c>
      <c r="R15" s="2071" t="s">
        <v>257</v>
      </c>
      <c r="S15" s="2071" t="s">
        <v>260</v>
      </c>
      <c r="T15" s="2071" t="s">
        <v>261</v>
      </c>
      <c r="U15" s="2066" t="s">
        <v>148</v>
      </c>
      <c r="V15" s="2260"/>
      <c r="W15" s="83"/>
      <c r="Z15" s="270"/>
    </row>
    <row r="16" spans="1:26" ht="18" x14ac:dyDescent="0.25">
      <c r="A16" s="77"/>
      <c r="B16" s="2067" t="s">
        <v>1722</v>
      </c>
      <c r="C16" s="2068" t="s">
        <v>1134</v>
      </c>
      <c r="D16" s="2069" t="s">
        <v>1209</v>
      </c>
      <c r="E16" s="2069">
        <v>0.1</v>
      </c>
      <c r="F16" s="2069" t="s">
        <v>1209</v>
      </c>
      <c r="G16" s="2069">
        <v>0.1</v>
      </c>
      <c r="H16" s="2415">
        <v>840</v>
      </c>
      <c r="I16" s="2069">
        <v>0.01</v>
      </c>
      <c r="J16" s="2069">
        <v>2</v>
      </c>
      <c r="K16" s="2063">
        <v>4.0000000000000008E-2</v>
      </c>
      <c r="L16" s="2064">
        <v>9.1396400000000003E-2</v>
      </c>
      <c r="M16" s="2064">
        <v>16337.49</v>
      </c>
      <c r="N16" s="2070" t="s">
        <v>3040</v>
      </c>
      <c r="O16" s="2070" t="s">
        <v>3041</v>
      </c>
      <c r="P16" s="2071" t="s">
        <v>321</v>
      </c>
      <c r="Q16" s="2071">
        <v>1</v>
      </c>
      <c r="R16" s="2071" t="s">
        <v>257</v>
      </c>
      <c r="S16" s="2071" t="s">
        <v>260</v>
      </c>
      <c r="T16" s="2071" t="s">
        <v>261</v>
      </c>
      <c r="U16" s="2066" t="s">
        <v>148</v>
      </c>
      <c r="V16" s="2260"/>
      <c r="W16" s="83"/>
      <c r="Z16" s="270"/>
    </row>
    <row r="17" spans="1:26" ht="18" x14ac:dyDescent="0.25">
      <c r="A17" s="77"/>
      <c r="B17" s="2067" t="s">
        <v>813</v>
      </c>
      <c r="C17" s="2068" t="s">
        <v>2845</v>
      </c>
      <c r="D17" s="2069">
        <v>21</v>
      </c>
      <c r="E17" s="2069">
        <v>500</v>
      </c>
      <c r="F17" s="2069">
        <v>9</v>
      </c>
      <c r="G17" s="2069">
        <v>500</v>
      </c>
      <c r="H17" s="2415">
        <v>1750</v>
      </c>
      <c r="I17" s="2069">
        <v>7700</v>
      </c>
      <c r="J17" s="2069">
        <v>3100</v>
      </c>
      <c r="K17" s="2063">
        <v>200</v>
      </c>
      <c r="L17" s="2064">
        <v>134.476</v>
      </c>
      <c r="M17" s="2064">
        <v>1811.09175</v>
      </c>
      <c r="N17" s="2070" t="s">
        <v>3040</v>
      </c>
      <c r="O17" s="2070" t="s">
        <v>3041</v>
      </c>
      <c r="P17" s="2071" t="s">
        <v>321</v>
      </c>
      <c r="Q17" s="2071">
        <v>1</v>
      </c>
      <c r="R17" s="2071" t="s">
        <v>257</v>
      </c>
      <c r="S17" s="2071" t="s">
        <v>260</v>
      </c>
      <c r="T17" s="2071" t="s">
        <v>261</v>
      </c>
      <c r="U17" s="2066" t="s">
        <v>4615</v>
      </c>
      <c r="V17" s="2260" t="s">
        <v>1859</v>
      </c>
      <c r="W17" s="83"/>
      <c r="Z17" s="270"/>
    </row>
    <row r="18" spans="1:26" ht="18" x14ac:dyDescent="0.25">
      <c r="A18" s="77"/>
      <c r="B18" s="2073" t="s">
        <v>3972</v>
      </c>
      <c r="C18" s="2074" t="s">
        <v>3973</v>
      </c>
      <c r="D18" s="2082">
        <v>0.1</v>
      </c>
      <c r="E18" s="2082">
        <v>500</v>
      </c>
      <c r="F18" s="2082">
        <v>4.2999999999999997E-2</v>
      </c>
      <c r="G18" s="2082">
        <v>500</v>
      </c>
      <c r="H18" s="2415">
        <v>1</v>
      </c>
      <c r="I18" s="2082">
        <v>2</v>
      </c>
      <c r="J18" s="2082">
        <v>850</v>
      </c>
      <c r="K18" s="2064">
        <v>148</v>
      </c>
      <c r="L18" s="2064">
        <v>0.213727</v>
      </c>
      <c r="M18" s="2064">
        <v>8038.7124999999996</v>
      </c>
      <c r="N18" s="2079" t="s">
        <v>3040</v>
      </c>
      <c r="O18" s="2079" t="s">
        <v>3041</v>
      </c>
      <c r="P18" s="2079" t="s">
        <v>321</v>
      </c>
      <c r="Q18" s="2079">
        <v>1</v>
      </c>
      <c r="R18" s="2079" t="s">
        <v>257</v>
      </c>
      <c r="S18" s="2079" t="s">
        <v>260</v>
      </c>
      <c r="T18" s="2079" t="s">
        <v>261</v>
      </c>
      <c r="U18" s="2066" t="s">
        <v>4615</v>
      </c>
      <c r="V18" s="2080" t="s">
        <v>5381</v>
      </c>
      <c r="W18" s="2081"/>
      <c r="Z18" s="270"/>
    </row>
    <row r="19" spans="1:26" ht="18" x14ac:dyDescent="0.25">
      <c r="A19" s="77"/>
      <c r="B19" s="2067" t="s">
        <v>814</v>
      </c>
      <c r="C19" s="2068" t="s">
        <v>2846</v>
      </c>
      <c r="D19" s="2069">
        <v>0.1</v>
      </c>
      <c r="E19" s="2069">
        <v>1</v>
      </c>
      <c r="F19" s="2082">
        <v>4.2999999999999997E-2</v>
      </c>
      <c r="G19" s="2069">
        <v>1</v>
      </c>
      <c r="H19" s="2415">
        <v>1</v>
      </c>
      <c r="I19" s="2069">
        <v>6</v>
      </c>
      <c r="J19" s="2069">
        <v>3</v>
      </c>
      <c r="K19" s="2063">
        <v>0.4</v>
      </c>
      <c r="L19" s="2064">
        <v>8.2875299999999999E-2</v>
      </c>
      <c r="M19" s="2064">
        <v>12.365404999999999</v>
      </c>
      <c r="N19" s="2070" t="s">
        <v>3040</v>
      </c>
      <c r="O19" s="2070" t="s">
        <v>3041</v>
      </c>
      <c r="P19" s="2071" t="s">
        <v>321</v>
      </c>
      <c r="Q19" s="2071">
        <v>1</v>
      </c>
      <c r="R19" s="2071" t="s">
        <v>257</v>
      </c>
      <c r="S19" s="2071" t="s">
        <v>260</v>
      </c>
      <c r="T19" s="2071" t="s">
        <v>261</v>
      </c>
      <c r="U19" s="2066" t="s">
        <v>4615</v>
      </c>
      <c r="V19" s="2260" t="s">
        <v>1859</v>
      </c>
      <c r="W19" s="83"/>
      <c r="Z19" s="270"/>
    </row>
    <row r="20" spans="1:26" s="115" customFormat="1" ht="18" x14ac:dyDescent="0.25">
      <c r="B20" s="2067" t="s">
        <v>2185</v>
      </c>
      <c r="C20" s="2068" t="s">
        <v>2847</v>
      </c>
      <c r="D20" s="2069">
        <v>0.1</v>
      </c>
      <c r="E20" s="2069">
        <v>33</v>
      </c>
      <c r="F20" s="2082">
        <v>4.2999999999999997E-2</v>
      </c>
      <c r="G20" s="2069">
        <v>33</v>
      </c>
      <c r="H20" s="2069">
        <v>4</v>
      </c>
      <c r="I20" s="2069">
        <v>250</v>
      </c>
      <c r="J20" s="2069">
        <v>50</v>
      </c>
      <c r="K20" s="2063">
        <v>13.200000000000001</v>
      </c>
      <c r="L20" s="2064">
        <v>8.7248500000000007E-2</v>
      </c>
      <c r="M20" s="2064">
        <v>4.1436200000000003</v>
      </c>
      <c r="N20" s="2070" t="s">
        <v>3040</v>
      </c>
      <c r="O20" s="2070" t="s">
        <v>3041</v>
      </c>
      <c r="P20" s="2071" t="s">
        <v>321</v>
      </c>
      <c r="Q20" s="2071">
        <v>1</v>
      </c>
      <c r="R20" s="2071" t="s">
        <v>257</v>
      </c>
      <c r="S20" s="2071" t="s">
        <v>260</v>
      </c>
      <c r="T20" s="2071" t="s">
        <v>261</v>
      </c>
      <c r="U20" s="2066" t="s">
        <v>4615</v>
      </c>
      <c r="V20" s="2260" t="s">
        <v>1859</v>
      </c>
      <c r="W20" s="83"/>
    </row>
    <row r="21" spans="1:26" s="115" customFormat="1" ht="18" x14ac:dyDescent="0.25">
      <c r="B21" s="2067" t="s">
        <v>2186</v>
      </c>
      <c r="C21" s="2068" t="s">
        <v>2848</v>
      </c>
      <c r="D21" s="2069">
        <v>0.1</v>
      </c>
      <c r="E21" s="2069">
        <v>20</v>
      </c>
      <c r="F21" s="2082">
        <v>4.2999999999999997E-2</v>
      </c>
      <c r="G21" s="2069">
        <v>20</v>
      </c>
      <c r="H21" s="2069">
        <v>3</v>
      </c>
      <c r="I21" s="2069">
        <v>150</v>
      </c>
      <c r="J21" s="2069">
        <v>30</v>
      </c>
      <c r="K21" s="2063">
        <v>8</v>
      </c>
      <c r="L21" s="2064">
        <v>7.7593300000000004E-2</v>
      </c>
      <c r="M21" s="2064">
        <v>4.1619174999999995</v>
      </c>
      <c r="N21" s="2070" t="s">
        <v>3040</v>
      </c>
      <c r="O21" s="2070" t="s">
        <v>3041</v>
      </c>
      <c r="P21" s="2071" t="s">
        <v>321</v>
      </c>
      <c r="Q21" s="2071">
        <v>1</v>
      </c>
      <c r="R21" s="2071" t="s">
        <v>257</v>
      </c>
      <c r="S21" s="2071" t="s">
        <v>260</v>
      </c>
      <c r="T21" s="2071" t="s">
        <v>261</v>
      </c>
      <c r="U21" s="2066" t="s">
        <v>4615</v>
      </c>
      <c r="V21" s="2260" t="s">
        <v>1859</v>
      </c>
      <c r="W21" s="83"/>
    </row>
    <row r="22" spans="1:26" s="115" customFormat="1" ht="18" x14ac:dyDescent="0.25">
      <c r="B22" s="2067" t="s">
        <v>2206</v>
      </c>
      <c r="C22" s="2068" t="s">
        <v>2849</v>
      </c>
      <c r="D22" s="2069">
        <v>0.1</v>
      </c>
      <c r="E22" s="2069">
        <v>1</v>
      </c>
      <c r="F22" s="2082">
        <v>4.2999999999999997E-2</v>
      </c>
      <c r="G22" s="2069">
        <v>1</v>
      </c>
      <c r="H22" s="2069">
        <v>17</v>
      </c>
      <c r="I22" s="2069">
        <v>10</v>
      </c>
      <c r="J22" s="2069">
        <v>50</v>
      </c>
      <c r="K22" s="2063">
        <v>0.4</v>
      </c>
      <c r="L22" s="2064">
        <v>8.8927599999999996E-2</v>
      </c>
      <c r="M22" s="2064">
        <v>29.654007500000002</v>
      </c>
      <c r="N22" s="2070" t="s">
        <v>3040</v>
      </c>
      <c r="O22" s="2070" t="s">
        <v>3041</v>
      </c>
      <c r="P22" s="2071" t="s">
        <v>321</v>
      </c>
      <c r="Q22" s="2071">
        <v>1</v>
      </c>
      <c r="R22" s="2071" t="s">
        <v>257</v>
      </c>
      <c r="S22" s="2071" t="s">
        <v>260</v>
      </c>
      <c r="T22" s="2071" t="s">
        <v>261</v>
      </c>
      <c r="U22" s="2066" t="s">
        <v>4615</v>
      </c>
      <c r="V22" s="2260" t="s">
        <v>1859</v>
      </c>
      <c r="W22" s="83"/>
    </row>
    <row r="23" spans="1:26" ht="18" x14ac:dyDescent="0.25">
      <c r="A23" s="77"/>
      <c r="B23" s="2067" t="s">
        <v>815</v>
      </c>
      <c r="C23" s="2068" t="s">
        <v>2850</v>
      </c>
      <c r="D23" s="2069">
        <v>0.1</v>
      </c>
      <c r="E23" s="2069">
        <v>0.3</v>
      </c>
      <c r="F23" s="2082">
        <v>4.2999999999999997E-2</v>
      </c>
      <c r="G23" s="2069">
        <v>0.3</v>
      </c>
      <c r="H23" s="2415">
        <v>860</v>
      </c>
      <c r="I23" s="2069">
        <v>2</v>
      </c>
      <c r="J23" s="2069">
        <v>50</v>
      </c>
      <c r="K23" s="2063">
        <v>0.12</v>
      </c>
      <c r="L23" s="2064">
        <v>6.0188800000000001E-2</v>
      </c>
      <c r="M23" s="2064">
        <v>809.97474999999997</v>
      </c>
      <c r="N23" s="2070" t="s">
        <v>3040</v>
      </c>
      <c r="O23" s="2070" t="s">
        <v>3041</v>
      </c>
      <c r="P23" s="2071" t="s">
        <v>321</v>
      </c>
      <c r="Q23" s="2071">
        <v>1</v>
      </c>
      <c r="R23" s="2071" t="s">
        <v>257</v>
      </c>
      <c r="S23" s="2071" t="s">
        <v>260</v>
      </c>
      <c r="T23" s="2071" t="s">
        <v>261</v>
      </c>
      <c r="U23" s="2066" t="s">
        <v>4615</v>
      </c>
      <c r="V23" s="2260" t="s">
        <v>1859</v>
      </c>
      <c r="W23" s="83"/>
      <c r="Z23" s="270"/>
    </row>
    <row r="24" spans="1:26" ht="18" x14ac:dyDescent="0.25">
      <c r="A24" s="77"/>
      <c r="B24" s="2067" t="s">
        <v>816</v>
      </c>
      <c r="C24" s="2068" t="s">
        <v>2851</v>
      </c>
      <c r="D24" s="2069">
        <v>0.1</v>
      </c>
      <c r="E24" s="2069">
        <v>0.2</v>
      </c>
      <c r="F24" s="2082">
        <v>4.2999999999999997E-2</v>
      </c>
      <c r="G24" s="2069">
        <v>0.2</v>
      </c>
      <c r="H24" s="2415">
        <v>210</v>
      </c>
      <c r="I24" s="2069">
        <v>0.5</v>
      </c>
      <c r="J24" s="2069">
        <v>10</v>
      </c>
      <c r="K24" s="2063">
        <v>8.0000000000000016E-2</v>
      </c>
      <c r="L24" s="2064">
        <v>3.1579099999999999E-2</v>
      </c>
      <c r="M24" s="2064">
        <v>33.558199999999999</v>
      </c>
      <c r="N24" s="2070" t="s">
        <v>3040</v>
      </c>
      <c r="O24" s="2070" t="s">
        <v>3041</v>
      </c>
      <c r="P24" s="2071" t="s">
        <v>321</v>
      </c>
      <c r="Q24" s="2071">
        <v>1</v>
      </c>
      <c r="R24" s="2071" t="s">
        <v>257</v>
      </c>
      <c r="S24" s="2071" t="s">
        <v>260</v>
      </c>
      <c r="T24" s="2071" t="s">
        <v>261</v>
      </c>
      <c r="U24" s="2066" t="s">
        <v>4615</v>
      </c>
      <c r="V24" s="2260" t="s">
        <v>1859</v>
      </c>
      <c r="W24" s="83"/>
      <c r="Z24" s="270"/>
    </row>
    <row r="25" spans="1:26" s="68" customFormat="1" ht="18" x14ac:dyDescent="0.25">
      <c r="A25" s="1656"/>
      <c r="B25" s="2083" t="s">
        <v>4981</v>
      </c>
      <c r="C25" s="2084" t="s">
        <v>4982</v>
      </c>
      <c r="D25" s="2085">
        <v>0</v>
      </c>
      <c r="E25" s="2085">
        <v>0</v>
      </c>
      <c r="F25" s="2085" t="s">
        <v>1209</v>
      </c>
      <c r="G25" s="2085" t="s">
        <v>1209</v>
      </c>
      <c r="H25" s="2085" t="s">
        <v>1209</v>
      </c>
      <c r="I25" s="2085" t="s">
        <v>1209</v>
      </c>
      <c r="J25" s="2085" t="s">
        <v>1209</v>
      </c>
      <c r="K25" s="2085" t="s">
        <v>1209</v>
      </c>
      <c r="L25" s="2064">
        <v>0.131192</v>
      </c>
      <c r="M25" s="2085">
        <v>198.26332500000001</v>
      </c>
      <c r="N25" s="2086" t="s">
        <v>3040</v>
      </c>
      <c r="O25" s="2086" t="s">
        <v>3041</v>
      </c>
      <c r="P25" s="2086" t="s">
        <v>321</v>
      </c>
      <c r="Q25" s="2086">
        <v>1</v>
      </c>
      <c r="R25" s="2086" t="s">
        <v>257</v>
      </c>
      <c r="S25" s="2086" t="s">
        <v>260</v>
      </c>
      <c r="T25" s="2086" t="s">
        <v>261</v>
      </c>
      <c r="U25" s="2065" t="s">
        <v>4615</v>
      </c>
      <c r="V25" s="2315" t="s">
        <v>5270</v>
      </c>
      <c r="W25" s="83"/>
      <c r="Y25" s="628"/>
    </row>
    <row r="26" spans="1:26" ht="18" x14ac:dyDescent="0.25">
      <c r="A26" s="77"/>
      <c r="B26" s="2067" t="s">
        <v>817</v>
      </c>
      <c r="C26" s="2068" t="s">
        <v>2852</v>
      </c>
      <c r="D26" s="2069">
        <v>24</v>
      </c>
      <c r="E26" s="2069">
        <v>1</v>
      </c>
      <c r="F26" s="2069">
        <v>24</v>
      </c>
      <c r="G26" s="2069">
        <v>1</v>
      </c>
      <c r="H26" s="2415">
        <v>950</v>
      </c>
      <c r="I26" s="2069">
        <v>1</v>
      </c>
      <c r="J26" s="2069">
        <v>30</v>
      </c>
      <c r="K26" s="2063">
        <v>1</v>
      </c>
      <c r="L26" s="2064">
        <v>22.401800000000001</v>
      </c>
      <c r="M26" s="2064">
        <v>79.855099999999993</v>
      </c>
      <c r="N26" s="2070" t="s">
        <v>3040</v>
      </c>
      <c r="O26" s="2070" t="s">
        <v>3041</v>
      </c>
      <c r="P26" s="2071" t="s">
        <v>336</v>
      </c>
      <c r="Q26" s="2071">
        <v>1</v>
      </c>
      <c r="R26" s="2071" t="s">
        <v>257</v>
      </c>
      <c r="S26" s="2071" t="s">
        <v>258</v>
      </c>
      <c r="T26" s="2071" t="s">
        <v>261</v>
      </c>
      <c r="U26" s="2087" t="s">
        <v>255</v>
      </c>
      <c r="V26" s="2260"/>
      <c r="W26" s="83"/>
      <c r="Z26" s="270"/>
    </row>
    <row r="27" spans="1:26" s="115" customFormat="1" ht="18" x14ac:dyDescent="0.25">
      <c r="B27" s="2067" t="s">
        <v>3861</v>
      </c>
      <c r="C27" s="2068" t="s">
        <v>3862</v>
      </c>
      <c r="D27" s="2069" t="s">
        <v>1209</v>
      </c>
      <c r="E27" s="2082">
        <v>0.01</v>
      </c>
      <c r="F27" s="2069" t="s">
        <v>1209</v>
      </c>
      <c r="G27" s="2082">
        <v>0.01</v>
      </c>
      <c r="H27" s="2082">
        <v>0.01</v>
      </c>
      <c r="I27" s="2082">
        <v>0.01</v>
      </c>
      <c r="J27" s="2082">
        <v>0.01</v>
      </c>
      <c r="K27" s="2064" t="s">
        <v>1209</v>
      </c>
      <c r="L27" s="2064">
        <v>0.22559799999999999</v>
      </c>
      <c r="M27" s="2064">
        <v>0.22552900000000001</v>
      </c>
      <c r="N27" s="2070" t="s">
        <v>3040</v>
      </c>
      <c r="O27" s="2070" t="s">
        <v>3041</v>
      </c>
      <c r="P27" s="2071" t="s">
        <v>336</v>
      </c>
      <c r="Q27" s="2071">
        <v>1</v>
      </c>
      <c r="R27" s="2071" t="s">
        <v>257</v>
      </c>
      <c r="S27" s="2071" t="s">
        <v>258</v>
      </c>
      <c r="T27" s="2071" t="s">
        <v>261</v>
      </c>
      <c r="U27" s="2087" t="s">
        <v>255</v>
      </c>
      <c r="V27" s="2260" t="s">
        <v>2183</v>
      </c>
      <c r="W27" s="83"/>
    </row>
    <row r="28" spans="1:26" s="115" customFormat="1" ht="18" x14ac:dyDescent="0.25">
      <c r="B28" s="2067" t="s">
        <v>2184</v>
      </c>
      <c r="C28" s="2068" t="s">
        <v>2854</v>
      </c>
      <c r="D28" s="2069" t="s">
        <v>1209</v>
      </c>
      <c r="E28" s="2069">
        <v>5</v>
      </c>
      <c r="F28" s="2069" t="s">
        <v>1209</v>
      </c>
      <c r="G28" s="2069">
        <v>5</v>
      </c>
      <c r="H28" s="2069">
        <v>1.0000000000000001E-5</v>
      </c>
      <c r="I28" s="2415">
        <v>20</v>
      </c>
      <c r="J28" s="2069">
        <v>30</v>
      </c>
      <c r="K28" s="2063">
        <v>5</v>
      </c>
      <c r="L28" s="2064" t="s">
        <v>1209</v>
      </c>
      <c r="M28" s="2064" t="s">
        <v>1209</v>
      </c>
      <c r="N28" s="2070" t="s">
        <v>3040</v>
      </c>
      <c r="O28" s="2070" t="s">
        <v>3041</v>
      </c>
      <c r="P28" s="2071" t="s">
        <v>336</v>
      </c>
      <c r="Q28" s="2071">
        <v>1</v>
      </c>
      <c r="R28" s="2071" t="s">
        <v>257</v>
      </c>
      <c r="S28" s="2071" t="s">
        <v>258</v>
      </c>
      <c r="T28" s="2071" t="s">
        <v>261</v>
      </c>
      <c r="U28" s="2087" t="s">
        <v>255</v>
      </c>
      <c r="V28" s="2260" t="s">
        <v>2183</v>
      </c>
      <c r="W28" s="83"/>
    </row>
    <row r="29" spans="1:26" s="115" customFormat="1" ht="18" x14ac:dyDescent="0.25">
      <c r="B29" s="2067" t="s">
        <v>2182</v>
      </c>
      <c r="C29" s="2068" t="s">
        <v>2853</v>
      </c>
      <c r="D29" s="2069" t="s">
        <v>1209</v>
      </c>
      <c r="E29" s="2069">
        <v>0.1</v>
      </c>
      <c r="F29" s="2069" t="s">
        <v>1209</v>
      </c>
      <c r="G29" s="2069">
        <v>0.1</v>
      </c>
      <c r="H29" s="2069">
        <v>1.0000000000000001E-5</v>
      </c>
      <c r="I29" s="2069">
        <v>0.1</v>
      </c>
      <c r="J29" s="2069">
        <v>5</v>
      </c>
      <c r="K29" s="2063">
        <v>0.1</v>
      </c>
      <c r="L29" s="2064" t="s">
        <v>1209</v>
      </c>
      <c r="M29" s="2064" t="s">
        <v>1209</v>
      </c>
      <c r="N29" s="2070" t="s">
        <v>3040</v>
      </c>
      <c r="O29" s="2070" t="s">
        <v>3041</v>
      </c>
      <c r="P29" s="2071" t="s">
        <v>336</v>
      </c>
      <c r="Q29" s="2071">
        <v>1</v>
      </c>
      <c r="R29" s="2071" t="s">
        <v>257</v>
      </c>
      <c r="S29" s="2071" t="s">
        <v>258</v>
      </c>
      <c r="T29" s="2071" t="s">
        <v>261</v>
      </c>
      <c r="U29" s="2087" t="s">
        <v>255</v>
      </c>
      <c r="V29" s="2260" t="s">
        <v>2183</v>
      </c>
      <c r="W29" s="83"/>
    </row>
    <row r="30" spans="1:26" s="115" customFormat="1" ht="18" x14ac:dyDescent="0.25">
      <c r="B30" s="2073" t="s">
        <v>4756</v>
      </c>
      <c r="C30" s="2074" t="s">
        <v>4758</v>
      </c>
      <c r="D30" s="2082" t="s">
        <v>1209</v>
      </c>
      <c r="E30" s="2082">
        <v>0.01</v>
      </c>
      <c r="F30" s="2082" t="s">
        <v>1209</v>
      </c>
      <c r="G30" s="2082">
        <v>0.01</v>
      </c>
      <c r="H30" s="2082">
        <v>0.01</v>
      </c>
      <c r="I30" s="2082">
        <v>0.01</v>
      </c>
      <c r="J30" s="2082">
        <v>0.01</v>
      </c>
      <c r="K30" s="2064" t="s">
        <v>1209</v>
      </c>
      <c r="L30" s="2064" t="s">
        <v>1209</v>
      </c>
      <c r="M30" s="2064" t="s">
        <v>1209</v>
      </c>
      <c r="N30" s="2079" t="s">
        <v>3040</v>
      </c>
      <c r="O30" s="2079" t="s">
        <v>3041</v>
      </c>
      <c r="P30" s="2079" t="s">
        <v>3593</v>
      </c>
      <c r="Q30" s="2079">
        <v>2</v>
      </c>
      <c r="R30" s="2079" t="s">
        <v>257</v>
      </c>
      <c r="S30" s="2079" t="s">
        <v>258</v>
      </c>
      <c r="T30" s="2079" t="s">
        <v>261</v>
      </c>
      <c r="U30" s="2087" t="s">
        <v>255</v>
      </c>
      <c r="V30" s="2080"/>
      <c r="W30" s="2088"/>
    </row>
    <row r="31" spans="1:26" s="115" customFormat="1" ht="18" x14ac:dyDescent="0.25">
      <c r="B31" s="2073" t="s">
        <v>4757</v>
      </c>
      <c r="C31" s="2074" t="s">
        <v>4759</v>
      </c>
      <c r="D31" s="2082" t="s">
        <v>1209</v>
      </c>
      <c r="E31" s="2082">
        <v>0.02</v>
      </c>
      <c r="F31" s="2082" t="s">
        <v>1209</v>
      </c>
      <c r="G31" s="2082">
        <v>0.01</v>
      </c>
      <c r="H31" s="2082">
        <v>0.01</v>
      </c>
      <c r="I31" s="2082">
        <v>0.01</v>
      </c>
      <c r="J31" s="2082">
        <v>0.01</v>
      </c>
      <c r="K31" s="2064" t="s">
        <v>1209</v>
      </c>
      <c r="L31" s="2064" t="s">
        <v>1209</v>
      </c>
      <c r="M31" s="2064" t="s">
        <v>1209</v>
      </c>
      <c r="N31" s="2079" t="s">
        <v>3040</v>
      </c>
      <c r="O31" s="2079" t="s">
        <v>3041</v>
      </c>
      <c r="P31" s="2079" t="s">
        <v>3593</v>
      </c>
      <c r="Q31" s="2079">
        <v>2</v>
      </c>
      <c r="R31" s="2079" t="s">
        <v>257</v>
      </c>
      <c r="S31" s="2079" t="s">
        <v>258</v>
      </c>
      <c r="T31" s="2079" t="s">
        <v>261</v>
      </c>
      <c r="U31" s="2087" t="s">
        <v>255</v>
      </c>
      <c r="V31" s="2080"/>
      <c r="W31" s="2088"/>
    </row>
    <row r="32" spans="1:26" s="115" customFormat="1" ht="18" x14ac:dyDescent="0.25">
      <c r="B32" s="2073" t="s">
        <v>3594</v>
      </c>
      <c r="C32" s="2074" t="s">
        <v>3612</v>
      </c>
      <c r="D32" s="2082" t="s">
        <v>1209</v>
      </c>
      <c r="E32" s="2082">
        <v>0.01</v>
      </c>
      <c r="F32" s="2082" t="s">
        <v>1209</v>
      </c>
      <c r="G32" s="2082">
        <v>0.01</v>
      </c>
      <c r="H32" s="2082">
        <v>0.01</v>
      </c>
      <c r="I32" s="2082">
        <v>0.01</v>
      </c>
      <c r="J32" s="2082">
        <v>0.01</v>
      </c>
      <c r="K32" s="2064" t="s">
        <v>1209</v>
      </c>
      <c r="L32" s="2064" t="s">
        <v>1209</v>
      </c>
      <c r="M32" s="2064" t="s">
        <v>1209</v>
      </c>
      <c r="N32" s="2079" t="s">
        <v>3040</v>
      </c>
      <c r="O32" s="2079" t="s">
        <v>3041</v>
      </c>
      <c r="P32" s="2079" t="s">
        <v>3593</v>
      </c>
      <c r="Q32" s="2079">
        <v>2</v>
      </c>
      <c r="R32" s="2079" t="s">
        <v>257</v>
      </c>
      <c r="S32" s="2079" t="s">
        <v>258</v>
      </c>
      <c r="T32" s="2079" t="s">
        <v>261</v>
      </c>
      <c r="U32" s="2087" t="s">
        <v>255</v>
      </c>
      <c r="V32" s="2080"/>
      <c r="W32" s="2088"/>
    </row>
    <row r="33" spans="1:26" ht="18" x14ac:dyDescent="0.25">
      <c r="A33" s="115"/>
      <c r="B33" s="2067" t="s">
        <v>818</v>
      </c>
      <c r="C33" s="2068" t="s">
        <v>2855</v>
      </c>
      <c r="D33" s="2069">
        <v>16</v>
      </c>
      <c r="E33" s="2069">
        <v>18</v>
      </c>
      <c r="F33" s="2069">
        <v>16</v>
      </c>
      <c r="G33" s="2069">
        <v>18</v>
      </c>
      <c r="H33" s="2069">
        <v>0.1</v>
      </c>
      <c r="I33" s="2069">
        <v>18</v>
      </c>
      <c r="J33" s="2069">
        <v>18</v>
      </c>
      <c r="K33" s="2063">
        <v>18</v>
      </c>
      <c r="L33" s="2064">
        <v>16.720800000000001</v>
      </c>
      <c r="M33" s="2064">
        <v>18.270700000000001</v>
      </c>
      <c r="N33" s="2070" t="s">
        <v>3040</v>
      </c>
      <c r="O33" s="2070" t="s">
        <v>3041</v>
      </c>
      <c r="P33" s="2071" t="s">
        <v>336</v>
      </c>
      <c r="Q33" s="2071">
        <v>1</v>
      </c>
      <c r="R33" s="2071" t="s">
        <v>257</v>
      </c>
      <c r="S33" s="2071" t="s">
        <v>258</v>
      </c>
      <c r="T33" s="2071" t="s">
        <v>261</v>
      </c>
      <c r="U33" s="2087" t="s">
        <v>255</v>
      </c>
      <c r="V33" s="2260"/>
      <c r="W33" s="83"/>
      <c r="X33" s="115"/>
      <c r="Z33" s="270"/>
    </row>
    <row r="34" spans="1:26" ht="18" x14ac:dyDescent="0.25">
      <c r="A34" s="115"/>
      <c r="B34" s="2067" t="s">
        <v>819</v>
      </c>
      <c r="C34" s="2068" t="s">
        <v>820</v>
      </c>
      <c r="D34" s="2069">
        <v>1.8</v>
      </c>
      <c r="E34" s="2069">
        <v>0.5</v>
      </c>
      <c r="F34" s="2069">
        <v>1.8</v>
      </c>
      <c r="G34" s="2069">
        <v>0.5</v>
      </c>
      <c r="H34" s="2069">
        <v>0.5</v>
      </c>
      <c r="I34" s="2069">
        <v>1</v>
      </c>
      <c r="J34" s="2069">
        <v>1</v>
      </c>
      <c r="K34" s="2063">
        <v>0.5</v>
      </c>
      <c r="L34" s="2064">
        <v>0.70903400000000005</v>
      </c>
      <c r="M34" s="2064">
        <v>4.3373700000000001E-2</v>
      </c>
      <c r="N34" s="2070" t="s">
        <v>3040</v>
      </c>
      <c r="O34" s="2070" t="s">
        <v>3041</v>
      </c>
      <c r="P34" s="2071" t="s">
        <v>336</v>
      </c>
      <c r="Q34" s="2071">
        <v>1</v>
      </c>
      <c r="R34" s="2071" t="s">
        <v>257</v>
      </c>
      <c r="S34" s="2071" t="s">
        <v>258</v>
      </c>
      <c r="T34" s="2071" t="s">
        <v>261</v>
      </c>
      <c r="U34" s="2087" t="s">
        <v>255</v>
      </c>
      <c r="V34" s="2260"/>
      <c r="W34" s="83"/>
      <c r="X34" s="115"/>
      <c r="Z34" s="270"/>
    </row>
    <row r="35" spans="1:26" ht="18" x14ac:dyDescent="0.25">
      <c r="A35" s="115"/>
      <c r="B35" s="2067" t="s">
        <v>821</v>
      </c>
      <c r="C35" s="2068" t="s">
        <v>2856</v>
      </c>
      <c r="D35" s="2069">
        <v>5.19</v>
      </c>
      <c r="E35" s="2415">
        <v>0.5</v>
      </c>
      <c r="F35" s="2069">
        <v>2.13</v>
      </c>
      <c r="G35" s="2415">
        <v>0.5</v>
      </c>
      <c r="H35" s="2069">
        <v>3</v>
      </c>
      <c r="I35" s="2069">
        <v>2</v>
      </c>
      <c r="J35" s="2069">
        <v>7</v>
      </c>
      <c r="K35" s="2063">
        <v>0.4</v>
      </c>
      <c r="L35" s="2064">
        <v>0.45197999999999999</v>
      </c>
      <c r="M35" s="2064">
        <v>1.1922787500000001</v>
      </c>
      <c r="N35" s="2070" t="s">
        <v>3040</v>
      </c>
      <c r="O35" s="2070" t="s">
        <v>3041</v>
      </c>
      <c r="P35" s="2071" t="s">
        <v>336</v>
      </c>
      <c r="Q35" s="2071">
        <v>1</v>
      </c>
      <c r="R35" s="2071" t="s">
        <v>257</v>
      </c>
      <c r="S35" s="2071" t="s">
        <v>260</v>
      </c>
      <c r="T35" s="2071" t="s">
        <v>261</v>
      </c>
      <c r="U35" s="2087" t="s">
        <v>255</v>
      </c>
      <c r="V35" s="2260" t="s">
        <v>1614</v>
      </c>
      <c r="W35" s="83"/>
      <c r="X35" s="115"/>
      <c r="Z35" s="270"/>
    </row>
    <row r="36" spans="1:26" s="68" customFormat="1" ht="18" x14ac:dyDescent="0.25">
      <c r="A36" s="115"/>
      <c r="B36" s="2083" t="s">
        <v>5372</v>
      </c>
      <c r="C36" s="2084" t="s">
        <v>5373</v>
      </c>
      <c r="D36" s="2069" t="s">
        <v>1209</v>
      </c>
      <c r="E36" s="2424">
        <v>5</v>
      </c>
      <c r="F36" s="2069" t="s">
        <v>1209</v>
      </c>
      <c r="G36" s="2424">
        <v>5</v>
      </c>
      <c r="H36" s="2424">
        <v>18</v>
      </c>
      <c r="I36" s="2424">
        <v>30</v>
      </c>
      <c r="J36" s="2085">
        <v>7</v>
      </c>
      <c r="K36" s="2064">
        <v>0.4</v>
      </c>
      <c r="L36" s="2064">
        <v>0.45406000000000002</v>
      </c>
      <c r="M36" s="2064">
        <v>1.1923404999999998</v>
      </c>
      <c r="N36" s="2086" t="s">
        <v>3040</v>
      </c>
      <c r="O36" s="2086" t="s">
        <v>3041</v>
      </c>
      <c r="P36" s="2086" t="s">
        <v>336</v>
      </c>
      <c r="Q36" s="2086">
        <v>1</v>
      </c>
      <c r="R36" s="2086" t="s">
        <v>257</v>
      </c>
      <c r="S36" s="2086" t="s">
        <v>260</v>
      </c>
      <c r="T36" s="2086" t="s">
        <v>261</v>
      </c>
      <c r="U36" s="2086" t="s">
        <v>255</v>
      </c>
      <c r="V36" s="1414" t="s">
        <v>5374</v>
      </c>
      <c r="W36" s="2104"/>
      <c r="X36" s="115"/>
      <c r="Z36" s="628"/>
    </row>
    <row r="37" spans="1:26" ht="18" x14ac:dyDescent="0.25">
      <c r="A37" s="115"/>
      <c r="B37" s="2067" t="s">
        <v>822</v>
      </c>
      <c r="C37" s="2068" t="s">
        <v>274</v>
      </c>
      <c r="D37" s="2069">
        <v>0.59</v>
      </c>
      <c r="E37" s="2069">
        <v>10</v>
      </c>
      <c r="F37" s="2069">
        <v>0.25</v>
      </c>
      <c r="G37" s="2069">
        <v>10</v>
      </c>
      <c r="H37" s="2415">
        <v>160</v>
      </c>
      <c r="I37" s="2069">
        <v>180</v>
      </c>
      <c r="J37" s="2069">
        <v>17</v>
      </c>
      <c r="K37" s="2063">
        <v>4</v>
      </c>
      <c r="L37" s="2064">
        <v>0.68736299999999995</v>
      </c>
      <c r="M37" s="2064">
        <v>885.75175000000002</v>
      </c>
      <c r="N37" s="2070" t="s">
        <v>3040</v>
      </c>
      <c r="O37" s="2070" t="s">
        <v>3041</v>
      </c>
      <c r="P37" s="2071" t="s">
        <v>336</v>
      </c>
      <c r="Q37" s="2071">
        <v>1</v>
      </c>
      <c r="R37" s="2071" t="s">
        <v>257</v>
      </c>
      <c r="S37" s="2071" t="s">
        <v>260</v>
      </c>
      <c r="T37" s="2071" t="s">
        <v>261</v>
      </c>
      <c r="U37" s="2087" t="s">
        <v>255</v>
      </c>
      <c r="V37" s="2260"/>
      <c r="W37" s="83"/>
      <c r="X37" s="115"/>
      <c r="Z37" s="270"/>
    </row>
    <row r="38" spans="1:26" ht="18" x14ac:dyDescent="0.25">
      <c r="A38" s="115"/>
      <c r="B38" s="2067" t="s">
        <v>823</v>
      </c>
      <c r="C38" s="2068" t="s">
        <v>2857</v>
      </c>
      <c r="D38" s="2069">
        <v>2.5</v>
      </c>
      <c r="E38" s="2069">
        <v>0.5</v>
      </c>
      <c r="F38" s="2069">
        <v>2.5</v>
      </c>
      <c r="G38" s="2069">
        <v>0.5</v>
      </c>
      <c r="H38" s="2415">
        <v>300</v>
      </c>
      <c r="I38" s="2069">
        <v>2</v>
      </c>
      <c r="J38" s="2069">
        <v>0.5</v>
      </c>
      <c r="K38" s="2063">
        <v>0.5</v>
      </c>
      <c r="L38" s="2064">
        <v>2.4279799999999998</v>
      </c>
      <c r="M38" s="2064">
        <v>19.215900000000001</v>
      </c>
      <c r="N38" s="2070" t="s">
        <v>3040</v>
      </c>
      <c r="O38" s="2070" t="s">
        <v>3041</v>
      </c>
      <c r="P38" s="2071" t="s">
        <v>791</v>
      </c>
      <c r="Q38" s="2071">
        <v>1</v>
      </c>
      <c r="R38" s="2071" t="s">
        <v>257</v>
      </c>
      <c r="S38" s="2071" t="s">
        <v>258</v>
      </c>
      <c r="T38" s="2071" t="s">
        <v>261</v>
      </c>
      <c r="U38" s="2087" t="s">
        <v>256</v>
      </c>
      <c r="V38" s="2260"/>
      <c r="W38" s="83"/>
      <c r="X38" s="115"/>
      <c r="Z38" s="270"/>
    </row>
    <row r="39" spans="1:26" ht="18" x14ac:dyDescent="0.25">
      <c r="A39" s="115"/>
      <c r="B39" s="2067" t="s">
        <v>2100</v>
      </c>
      <c r="C39" s="2068" t="s">
        <v>2858</v>
      </c>
      <c r="D39" s="2089">
        <v>0.1</v>
      </c>
      <c r="E39" s="2089">
        <v>60</v>
      </c>
      <c r="F39" s="2089">
        <v>4.2999999999999997E-2</v>
      </c>
      <c r="G39" s="2089">
        <v>60</v>
      </c>
      <c r="H39" s="2416">
        <v>0.5</v>
      </c>
      <c r="I39" s="2069">
        <v>30</v>
      </c>
      <c r="J39" s="2069">
        <v>370</v>
      </c>
      <c r="K39" s="2063">
        <v>88.800000000000011</v>
      </c>
      <c r="L39" s="2064">
        <v>8.2569900000000002E-2</v>
      </c>
      <c r="M39" s="2064" t="s">
        <v>1209</v>
      </c>
      <c r="N39" s="2070" t="s">
        <v>3040</v>
      </c>
      <c r="O39" s="2070" t="s">
        <v>3041</v>
      </c>
      <c r="P39" s="2071" t="s">
        <v>791</v>
      </c>
      <c r="Q39" s="2071">
        <v>1</v>
      </c>
      <c r="R39" s="2071" t="s">
        <v>257</v>
      </c>
      <c r="S39" s="2071" t="s">
        <v>260</v>
      </c>
      <c r="T39" s="2071" t="s">
        <v>261</v>
      </c>
      <c r="U39" s="2087" t="s">
        <v>256</v>
      </c>
      <c r="V39" s="2260" t="s">
        <v>5380</v>
      </c>
      <c r="W39" s="83"/>
      <c r="Z39" s="270"/>
    </row>
    <row r="40" spans="1:26" ht="18" x14ac:dyDescent="0.25">
      <c r="A40" s="115"/>
      <c r="B40" s="2067" t="s">
        <v>824</v>
      </c>
      <c r="C40" s="2068" t="s">
        <v>2859</v>
      </c>
      <c r="D40" s="2069">
        <v>0.45</v>
      </c>
      <c r="E40" s="2069">
        <v>0.01</v>
      </c>
      <c r="F40" s="2069">
        <v>0.45</v>
      </c>
      <c r="G40" s="2069">
        <v>0.01</v>
      </c>
      <c r="H40" s="2069">
        <v>0.01</v>
      </c>
      <c r="I40" s="2069">
        <v>0.03</v>
      </c>
      <c r="J40" s="2069">
        <v>0.03</v>
      </c>
      <c r="K40" s="2063">
        <v>0.01</v>
      </c>
      <c r="L40" s="2064">
        <v>1.5888599999999999E-2</v>
      </c>
      <c r="M40" s="2064">
        <v>1.2206000000000001E-3</v>
      </c>
      <c r="N40" s="2070" t="s">
        <v>3040</v>
      </c>
      <c r="O40" s="2070" t="s">
        <v>3041</v>
      </c>
      <c r="P40" s="2071" t="s">
        <v>791</v>
      </c>
      <c r="Q40" s="2071">
        <v>1</v>
      </c>
      <c r="R40" s="2071" t="s">
        <v>257</v>
      </c>
      <c r="S40" s="2071" t="s">
        <v>258</v>
      </c>
      <c r="T40" s="2071" t="s">
        <v>261</v>
      </c>
      <c r="U40" s="2087" t="s">
        <v>256</v>
      </c>
      <c r="V40" s="2260"/>
      <c r="W40" s="83"/>
      <c r="Z40" s="270"/>
    </row>
    <row r="41" spans="1:26" ht="18" x14ac:dyDescent="0.25">
      <c r="A41" s="115"/>
      <c r="B41" s="2067" t="s">
        <v>825</v>
      </c>
      <c r="C41" s="2068" t="s">
        <v>2860</v>
      </c>
      <c r="D41" s="2069">
        <v>0.46</v>
      </c>
      <c r="E41" s="2415">
        <v>0.1</v>
      </c>
      <c r="F41" s="2085">
        <v>0.2</v>
      </c>
      <c r="G41" s="2415">
        <v>0.1</v>
      </c>
      <c r="H41" s="2415">
        <v>0.3</v>
      </c>
      <c r="I41" s="2069">
        <v>0.5</v>
      </c>
      <c r="J41" s="2069">
        <v>2</v>
      </c>
      <c r="K41" s="2063">
        <v>0.2</v>
      </c>
      <c r="L41" s="2064">
        <v>9.4408400000000003E-2</v>
      </c>
      <c r="M41" s="2064">
        <v>0.33841925</v>
      </c>
      <c r="N41" s="2070" t="s">
        <v>3040</v>
      </c>
      <c r="O41" s="2070" t="s">
        <v>3041</v>
      </c>
      <c r="P41" s="2071" t="s">
        <v>791</v>
      </c>
      <c r="Q41" s="2071">
        <v>1</v>
      </c>
      <c r="R41" s="2071" t="s">
        <v>257</v>
      </c>
      <c r="S41" s="2071" t="s">
        <v>260</v>
      </c>
      <c r="T41" s="2071" t="s">
        <v>261</v>
      </c>
      <c r="U41" s="2087" t="s">
        <v>256</v>
      </c>
      <c r="V41" s="2260" t="s">
        <v>1614</v>
      </c>
      <c r="W41" s="83"/>
      <c r="Z41" s="270"/>
    </row>
    <row r="42" spans="1:26" s="68" customFormat="1" ht="18" x14ac:dyDescent="0.25">
      <c r="A42" s="115"/>
      <c r="B42" s="2083" t="s">
        <v>5375</v>
      </c>
      <c r="C42" s="2084" t="s">
        <v>5376</v>
      </c>
      <c r="D42" s="2069" t="s">
        <v>1209</v>
      </c>
      <c r="E42" s="2424">
        <v>1</v>
      </c>
      <c r="F42" s="2069" t="s">
        <v>1209</v>
      </c>
      <c r="G42" s="2424">
        <v>1</v>
      </c>
      <c r="H42" s="2424">
        <v>5</v>
      </c>
      <c r="I42" s="2424">
        <v>5</v>
      </c>
      <c r="J42" s="2085">
        <v>2</v>
      </c>
      <c r="K42" s="2064">
        <v>0.2</v>
      </c>
      <c r="L42" s="2064">
        <v>9.4807100000000005E-2</v>
      </c>
      <c r="M42" s="2064">
        <v>0.33840949999999997</v>
      </c>
      <c r="N42" s="2086" t="s">
        <v>3040</v>
      </c>
      <c r="O42" s="2086" t="s">
        <v>3041</v>
      </c>
      <c r="P42" s="2086" t="s">
        <v>791</v>
      </c>
      <c r="Q42" s="2086">
        <v>1</v>
      </c>
      <c r="R42" s="2086" t="s">
        <v>257</v>
      </c>
      <c r="S42" s="2086" t="s">
        <v>260</v>
      </c>
      <c r="T42" s="2086" t="s">
        <v>261</v>
      </c>
      <c r="U42" s="2086" t="s">
        <v>256</v>
      </c>
      <c r="V42" s="1414" t="s">
        <v>5374</v>
      </c>
      <c r="W42" s="2104"/>
      <c r="Z42" s="628"/>
    </row>
    <row r="43" spans="1:26" ht="18" x14ac:dyDescent="0.25">
      <c r="A43" s="115"/>
      <c r="B43" s="2067" t="s">
        <v>826</v>
      </c>
      <c r="C43" s="2068" t="s">
        <v>2861</v>
      </c>
      <c r="D43" s="2069">
        <v>5.8999999999999997E-2</v>
      </c>
      <c r="E43" s="2069">
        <v>2</v>
      </c>
      <c r="F43" s="2069">
        <v>2.5000000000000001E-2</v>
      </c>
      <c r="G43" s="2069">
        <v>2</v>
      </c>
      <c r="H43" s="2069">
        <v>25</v>
      </c>
      <c r="I43" s="2069">
        <v>45</v>
      </c>
      <c r="J43" s="2069">
        <v>3</v>
      </c>
      <c r="K43" s="2063">
        <v>0.8</v>
      </c>
      <c r="L43" s="2064">
        <v>8.42117E-2</v>
      </c>
      <c r="M43" s="2064">
        <v>109.148325</v>
      </c>
      <c r="N43" s="2070" t="s">
        <v>3040</v>
      </c>
      <c r="O43" s="2070" t="s">
        <v>3041</v>
      </c>
      <c r="P43" s="2071" t="s">
        <v>791</v>
      </c>
      <c r="Q43" s="2071">
        <v>1</v>
      </c>
      <c r="R43" s="2071" t="s">
        <v>257</v>
      </c>
      <c r="S43" s="2071" t="s">
        <v>260</v>
      </c>
      <c r="T43" s="2071" t="s">
        <v>261</v>
      </c>
      <c r="U43" s="2087" t="s">
        <v>256</v>
      </c>
      <c r="V43" s="2260"/>
      <c r="W43" s="83"/>
      <c r="Z43" s="270"/>
    </row>
    <row r="44" spans="1:26" ht="18" x14ac:dyDescent="0.25">
      <c r="A44" s="77"/>
      <c r="B44" s="2067" t="s">
        <v>827</v>
      </c>
      <c r="C44" s="2068" t="s">
        <v>2862</v>
      </c>
      <c r="D44" s="2069" t="s">
        <v>1209</v>
      </c>
      <c r="E44" s="2069">
        <v>2</v>
      </c>
      <c r="F44" s="2069" t="s">
        <v>1209</v>
      </c>
      <c r="G44" s="2069">
        <v>2</v>
      </c>
      <c r="H44" s="2069" t="s">
        <v>1209</v>
      </c>
      <c r="I44" s="2069">
        <v>2</v>
      </c>
      <c r="J44" s="2069">
        <v>2</v>
      </c>
      <c r="K44" s="2063" t="s">
        <v>1209</v>
      </c>
      <c r="L44" s="2064">
        <v>6.7276000000000002E-2</v>
      </c>
      <c r="M44" s="2064" t="s">
        <v>1209</v>
      </c>
      <c r="N44" s="2070" t="s">
        <v>3040</v>
      </c>
      <c r="O44" s="2070" t="s">
        <v>3041</v>
      </c>
      <c r="P44" s="2071" t="s">
        <v>828</v>
      </c>
      <c r="Q44" s="2071">
        <v>1</v>
      </c>
      <c r="R44" s="2071" t="s">
        <v>257</v>
      </c>
      <c r="S44" s="2071" t="s">
        <v>258</v>
      </c>
      <c r="T44" s="2071" t="s">
        <v>801</v>
      </c>
      <c r="U44" s="2087" t="s">
        <v>4616</v>
      </c>
      <c r="V44" s="2260"/>
      <c r="W44" s="83"/>
      <c r="Z44" s="270"/>
    </row>
    <row r="45" spans="1:26" ht="18" x14ac:dyDescent="0.25">
      <c r="A45" s="77"/>
      <c r="B45" s="2067" t="s">
        <v>829</v>
      </c>
      <c r="C45" s="2068" t="s">
        <v>2863</v>
      </c>
      <c r="D45" s="2069" t="s">
        <v>1209</v>
      </c>
      <c r="E45" s="2069">
        <v>0.01</v>
      </c>
      <c r="F45" s="2069" t="s">
        <v>1209</v>
      </c>
      <c r="G45" s="2069">
        <v>0.01</v>
      </c>
      <c r="H45" s="2415">
        <v>42</v>
      </c>
      <c r="I45" s="2069">
        <v>2.5</v>
      </c>
      <c r="J45" s="2069">
        <v>0.5</v>
      </c>
      <c r="K45" s="2063">
        <v>0.01</v>
      </c>
      <c r="L45" s="2064">
        <v>4.4111200000000001E-3</v>
      </c>
      <c r="M45" s="2064">
        <v>19.5669</v>
      </c>
      <c r="N45" s="2070" t="s">
        <v>3040</v>
      </c>
      <c r="O45" s="2070" t="s">
        <v>3041</v>
      </c>
      <c r="P45" s="2071" t="s">
        <v>321</v>
      </c>
      <c r="Q45" s="2071">
        <v>1</v>
      </c>
      <c r="R45" s="2071" t="s">
        <v>257</v>
      </c>
      <c r="S45" s="2071" t="s">
        <v>258</v>
      </c>
      <c r="T45" s="2071" t="s">
        <v>261</v>
      </c>
      <c r="U45" s="2087" t="s">
        <v>148</v>
      </c>
      <c r="V45" s="2260"/>
      <c r="W45" s="83"/>
      <c r="Z45" s="270"/>
    </row>
    <row r="46" spans="1:26" ht="18" x14ac:dyDescent="0.25">
      <c r="A46" s="77"/>
      <c r="B46" s="2067" t="s">
        <v>830</v>
      </c>
      <c r="C46" s="2068" t="s">
        <v>2864</v>
      </c>
      <c r="D46" s="2069" t="s">
        <v>1209</v>
      </c>
      <c r="E46" s="2069">
        <v>0.01</v>
      </c>
      <c r="F46" s="2069" t="s">
        <v>1209</v>
      </c>
      <c r="G46" s="2069">
        <v>0.01</v>
      </c>
      <c r="H46" s="2415">
        <v>0.01</v>
      </c>
      <c r="I46" s="2069">
        <v>0.01</v>
      </c>
      <c r="J46" s="2069">
        <v>1</v>
      </c>
      <c r="K46" s="2063">
        <v>0.01</v>
      </c>
      <c r="L46" s="2064">
        <v>2.7829099999999999E-2</v>
      </c>
      <c r="M46" s="2064">
        <v>1.1259999999999999E-2</v>
      </c>
      <c r="N46" s="2070" t="s">
        <v>3040</v>
      </c>
      <c r="O46" s="2070" t="s">
        <v>3041</v>
      </c>
      <c r="P46" s="2071" t="s">
        <v>321</v>
      </c>
      <c r="Q46" s="2071">
        <v>1</v>
      </c>
      <c r="R46" s="2071" t="s">
        <v>257</v>
      </c>
      <c r="S46" s="2071" t="s">
        <v>258</v>
      </c>
      <c r="T46" s="2071" t="s">
        <v>261</v>
      </c>
      <c r="U46" s="2087" t="s">
        <v>148</v>
      </c>
      <c r="V46" s="2260"/>
      <c r="W46" s="83"/>
      <c r="Z46" s="270"/>
    </row>
    <row r="47" spans="1:26" ht="18" x14ac:dyDescent="0.25">
      <c r="A47" s="77"/>
      <c r="B47" s="2067" t="s">
        <v>831</v>
      </c>
      <c r="C47" s="2090" t="s">
        <v>2865</v>
      </c>
      <c r="D47" s="2091">
        <v>90</v>
      </c>
      <c r="E47" s="2091">
        <v>74</v>
      </c>
      <c r="F47" s="2091">
        <v>90</v>
      </c>
      <c r="G47" s="2091">
        <v>74</v>
      </c>
      <c r="H47" s="2415">
        <v>750</v>
      </c>
      <c r="I47" s="2091">
        <v>123</v>
      </c>
      <c r="J47" s="2091">
        <v>55</v>
      </c>
      <c r="K47" s="2063">
        <v>74</v>
      </c>
      <c r="L47" s="2064">
        <v>50.841299999999997</v>
      </c>
      <c r="M47" s="2064">
        <v>82.400999999999996</v>
      </c>
      <c r="N47" s="2070" t="s">
        <v>3040</v>
      </c>
      <c r="O47" s="2070" t="s">
        <v>3041</v>
      </c>
      <c r="P47" s="2071" t="s">
        <v>1133</v>
      </c>
      <c r="Q47" s="2071">
        <v>1</v>
      </c>
      <c r="R47" s="2071" t="s">
        <v>257</v>
      </c>
      <c r="S47" s="2071" t="s">
        <v>258</v>
      </c>
      <c r="T47" s="2071" t="s">
        <v>261</v>
      </c>
      <c r="U47" s="2087" t="s">
        <v>4617</v>
      </c>
      <c r="V47" s="2260"/>
      <c r="W47" s="83"/>
      <c r="Z47" s="270"/>
    </row>
    <row r="48" spans="1:26" ht="18" x14ac:dyDescent="0.25">
      <c r="A48" s="77"/>
      <c r="B48" s="2067" t="s">
        <v>832</v>
      </c>
      <c r="C48" s="2068" t="s">
        <v>2416</v>
      </c>
      <c r="D48" s="2069">
        <v>27.7</v>
      </c>
      <c r="E48" s="2069">
        <v>460</v>
      </c>
      <c r="F48" s="2069">
        <v>8</v>
      </c>
      <c r="G48" s="2069">
        <v>460</v>
      </c>
      <c r="H48" s="2415">
        <v>6500</v>
      </c>
      <c r="I48" s="2069">
        <v>6500</v>
      </c>
      <c r="J48" s="2069">
        <v>1100</v>
      </c>
      <c r="K48" s="2063">
        <v>184</v>
      </c>
      <c r="L48" s="2064">
        <v>37.442</v>
      </c>
      <c r="M48" s="2064">
        <v>31733.227500000001</v>
      </c>
      <c r="N48" s="2070" t="s">
        <v>3040</v>
      </c>
      <c r="O48" s="2070" t="s">
        <v>3041</v>
      </c>
      <c r="P48" s="2071" t="s">
        <v>359</v>
      </c>
      <c r="Q48" s="2071">
        <v>1</v>
      </c>
      <c r="R48" s="2071" t="s">
        <v>257</v>
      </c>
      <c r="S48" s="2071" t="s">
        <v>260</v>
      </c>
      <c r="T48" s="2071" t="s">
        <v>261</v>
      </c>
      <c r="U48" s="2087" t="s">
        <v>4618</v>
      </c>
      <c r="V48" s="2260"/>
      <c r="W48" s="83"/>
      <c r="Z48" s="270"/>
    </row>
    <row r="49" spans="1:26" ht="18" x14ac:dyDescent="0.25">
      <c r="A49" s="77"/>
      <c r="B49" s="2067" t="s">
        <v>1157</v>
      </c>
      <c r="C49" s="2068" t="s">
        <v>2866</v>
      </c>
      <c r="D49" s="2069">
        <v>109.9</v>
      </c>
      <c r="E49" s="2069">
        <v>35</v>
      </c>
      <c r="F49" s="2069">
        <v>109.9</v>
      </c>
      <c r="G49" s="2069">
        <v>35</v>
      </c>
      <c r="H49" s="2415">
        <v>260</v>
      </c>
      <c r="I49" s="2069">
        <v>130</v>
      </c>
      <c r="J49" s="2069">
        <v>120</v>
      </c>
      <c r="K49" s="2063">
        <v>35</v>
      </c>
      <c r="L49" s="2064">
        <v>108.55200000000001</v>
      </c>
      <c r="M49" s="2064">
        <v>131.953</v>
      </c>
      <c r="N49" s="2070" t="s">
        <v>3040</v>
      </c>
      <c r="O49" s="2070" t="s">
        <v>3041</v>
      </c>
      <c r="P49" s="2071" t="s">
        <v>1045</v>
      </c>
      <c r="Q49" s="2071">
        <v>1</v>
      </c>
      <c r="R49" s="2071" t="s">
        <v>257</v>
      </c>
      <c r="S49" s="2071" t="s">
        <v>258</v>
      </c>
      <c r="T49" s="2071" t="s">
        <v>261</v>
      </c>
      <c r="U49" s="2087" t="s">
        <v>1112</v>
      </c>
      <c r="V49" s="2260"/>
      <c r="W49" s="83" t="s">
        <v>1061</v>
      </c>
      <c r="Z49" s="270"/>
    </row>
    <row r="50" spans="1:26" ht="18" x14ac:dyDescent="0.25">
      <c r="A50" s="77"/>
      <c r="B50" s="2067" t="s">
        <v>1158</v>
      </c>
      <c r="C50" s="2068" t="s">
        <v>2867</v>
      </c>
      <c r="D50" s="2069">
        <v>300</v>
      </c>
      <c r="E50" s="2069">
        <v>150</v>
      </c>
      <c r="F50" s="2069">
        <v>300</v>
      </c>
      <c r="G50" s="2069">
        <v>150</v>
      </c>
      <c r="H50" s="2415">
        <v>670</v>
      </c>
      <c r="I50" s="2069">
        <v>300</v>
      </c>
      <c r="J50" s="2069">
        <v>300</v>
      </c>
      <c r="K50" s="2063">
        <v>150</v>
      </c>
      <c r="L50" s="2064">
        <v>296.714</v>
      </c>
      <c r="M50" s="2064">
        <v>353.74200000000002</v>
      </c>
      <c r="N50" s="2070" t="s">
        <v>3040</v>
      </c>
      <c r="O50" s="2070" t="s">
        <v>3041</v>
      </c>
      <c r="P50" s="2071" t="s">
        <v>1047</v>
      </c>
      <c r="Q50" s="2071">
        <v>1</v>
      </c>
      <c r="R50" s="2071" t="s">
        <v>257</v>
      </c>
      <c r="S50" s="2071" t="s">
        <v>258</v>
      </c>
      <c r="T50" s="2071" t="s">
        <v>261</v>
      </c>
      <c r="U50" s="2087" t="s">
        <v>142</v>
      </c>
      <c r="V50" s="2260"/>
      <c r="W50" s="83" t="s">
        <v>1062</v>
      </c>
      <c r="Z50" s="270"/>
    </row>
    <row r="51" spans="1:26" ht="18" x14ac:dyDescent="0.25">
      <c r="A51" s="77"/>
      <c r="B51" s="2067" t="s">
        <v>997</v>
      </c>
      <c r="C51" s="2068" t="s">
        <v>983</v>
      </c>
      <c r="D51" s="2069">
        <v>150</v>
      </c>
      <c r="E51" s="2069">
        <v>150</v>
      </c>
      <c r="F51" s="2069">
        <v>150</v>
      </c>
      <c r="G51" s="2069">
        <v>150</v>
      </c>
      <c r="H51" s="2415">
        <v>45</v>
      </c>
      <c r="I51" s="2069">
        <v>150</v>
      </c>
      <c r="J51" s="2069">
        <v>150</v>
      </c>
      <c r="K51" s="2063">
        <v>150</v>
      </c>
      <c r="L51" s="2064">
        <v>149.75</v>
      </c>
      <c r="M51" s="2064">
        <v>154.28800000000001</v>
      </c>
      <c r="N51" s="2070" t="s">
        <v>3040</v>
      </c>
      <c r="O51" s="2070" t="s">
        <v>3041</v>
      </c>
      <c r="P51" s="2071" t="s">
        <v>984</v>
      </c>
      <c r="Q51" s="2071">
        <v>1</v>
      </c>
      <c r="R51" s="2071" t="s">
        <v>257</v>
      </c>
      <c r="S51" s="2071" t="s">
        <v>258</v>
      </c>
      <c r="T51" s="2071" t="s">
        <v>261</v>
      </c>
      <c r="U51" s="2087" t="s">
        <v>985</v>
      </c>
      <c r="V51" s="2260"/>
      <c r="W51" s="83"/>
      <c r="Z51" s="270"/>
    </row>
    <row r="52" spans="1:26" ht="18" x14ac:dyDescent="0.25">
      <c r="A52" s="77"/>
      <c r="B52" s="2067" t="s">
        <v>833</v>
      </c>
      <c r="C52" s="2068" t="s">
        <v>354</v>
      </c>
      <c r="D52" s="2069">
        <v>15</v>
      </c>
      <c r="E52" s="2069">
        <v>15</v>
      </c>
      <c r="F52" s="2069">
        <v>15</v>
      </c>
      <c r="G52" s="2069">
        <v>15</v>
      </c>
      <c r="H52" s="2415">
        <v>20</v>
      </c>
      <c r="I52" s="2069">
        <v>15</v>
      </c>
      <c r="J52" s="2069">
        <v>7</v>
      </c>
      <c r="K52" s="2063">
        <v>15</v>
      </c>
      <c r="L52" s="2064">
        <v>14.7593</v>
      </c>
      <c r="M52" s="2064">
        <v>19.373799999999999</v>
      </c>
      <c r="N52" s="2070" t="s">
        <v>3040</v>
      </c>
      <c r="O52" s="2070" t="s">
        <v>3041</v>
      </c>
      <c r="P52" s="2071" t="s">
        <v>834</v>
      </c>
      <c r="Q52" s="2071">
        <v>1</v>
      </c>
      <c r="R52" s="2071" t="s">
        <v>257</v>
      </c>
      <c r="S52" s="2071" t="s">
        <v>258</v>
      </c>
      <c r="T52" s="2071" t="s">
        <v>261</v>
      </c>
      <c r="U52" s="2087" t="s">
        <v>986</v>
      </c>
      <c r="V52" s="2260"/>
      <c r="W52" s="83"/>
      <c r="Z52" s="270"/>
    </row>
    <row r="53" spans="1:26" ht="18" x14ac:dyDescent="0.25">
      <c r="A53" s="77"/>
      <c r="B53" s="2067" t="s">
        <v>1043</v>
      </c>
      <c r="C53" s="2068" t="s">
        <v>1044</v>
      </c>
      <c r="D53" s="2069">
        <v>16</v>
      </c>
      <c r="E53" s="2069">
        <v>15</v>
      </c>
      <c r="F53" s="2069">
        <v>16</v>
      </c>
      <c r="G53" s="2069">
        <v>15</v>
      </c>
      <c r="H53" s="2415">
        <v>20</v>
      </c>
      <c r="I53" s="2069">
        <v>16</v>
      </c>
      <c r="J53" s="2069">
        <v>5</v>
      </c>
      <c r="K53" s="2063">
        <v>15</v>
      </c>
      <c r="L53" s="2064">
        <v>16.0077</v>
      </c>
      <c r="M53" s="2064">
        <v>16.0749</v>
      </c>
      <c r="N53" s="2070" t="s">
        <v>3040</v>
      </c>
      <c r="O53" s="2070" t="s">
        <v>3041</v>
      </c>
      <c r="P53" s="2071" t="s">
        <v>1046</v>
      </c>
      <c r="Q53" s="2071">
        <v>1</v>
      </c>
      <c r="R53" s="2071" t="s">
        <v>257</v>
      </c>
      <c r="S53" s="2071" t="s">
        <v>258</v>
      </c>
      <c r="T53" s="2071" t="s">
        <v>261</v>
      </c>
      <c r="U53" s="2087" t="s">
        <v>475</v>
      </c>
      <c r="V53" s="2260"/>
      <c r="W53" s="83"/>
      <c r="Z53" s="270"/>
    </row>
    <row r="54" spans="1:26" ht="18.75" customHeight="1" x14ac:dyDescent="0.25">
      <c r="B54" s="2092" t="s">
        <v>1596</v>
      </c>
      <c r="C54" s="2068" t="s">
        <v>2868</v>
      </c>
      <c r="D54" s="2069" t="s">
        <v>1209</v>
      </c>
      <c r="E54" s="2072">
        <v>1E-50</v>
      </c>
      <c r="F54" s="2069" t="s">
        <v>1209</v>
      </c>
      <c r="G54" s="2072" t="s">
        <v>1209</v>
      </c>
      <c r="H54" s="2072" t="s">
        <v>1209</v>
      </c>
      <c r="I54" s="2072" t="s">
        <v>1209</v>
      </c>
      <c r="J54" s="2072" t="s">
        <v>1209</v>
      </c>
      <c r="K54" s="2063" t="s">
        <v>1209</v>
      </c>
      <c r="L54" s="2064">
        <v>4.1078099999999999E-3</v>
      </c>
      <c r="M54" s="2064">
        <v>8.4526400000000002E-2</v>
      </c>
      <c r="N54" s="2070" t="s">
        <v>3040</v>
      </c>
      <c r="O54" s="2070" t="s">
        <v>3041</v>
      </c>
      <c r="P54" s="2071" t="s">
        <v>836</v>
      </c>
      <c r="Q54" s="2071">
        <v>1</v>
      </c>
      <c r="R54" s="2071" t="s">
        <v>257</v>
      </c>
      <c r="S54" s="2071" t="s">
        <v>258</v>
      </c>
      <c r="T54" s="2071" t="s">
        <v>261</v>
      </c>
      <c r="U54" s="2087" t="s">
        <v>2933</v>
      </c>
      <c r="V54" s="2260"/>
      <c r="W54" s="2093"/>
      <c r="Z54" s="270"/>
    </row>
    <row r="55" spans="1:26" ht="18" x14ac:dyDescent="0.25">
      <c r="B55" s="2067" t="s">
        <v>838</v>
      </c>
      <c r="C55" s="2068" t="s">
        <v>2869</v>
      </c>
      <c r="D55" s="2069" t="s">
        <v>1209</v>
      </c>
      <c r="E55" s="2072">
        <v>1E-50</v>
      </c>
      <c r="F55" s="2069" t="s">
        <v>1209</v>
      </c>
      <c r="G55" s="2069" t="s">
        <v>1209</v>
      </c>
      <c r="H55" s="2069" t="s">
        <v>1209</v>
      </c>
      <c r="I55" s="2069" t="s">
        <v>1209</v>
      </c>
      <c r="J55" s="2072" t="s">
        <v>1209</v>
      </c>
      <c r="K55" s="2063" t="s">
        <v>1209</v>
      </c>
      <c r="L55" s="2064" t="s">
        <v>1209</v>
      </c>
      <c r="M55" s="2064" t="s">
        <v>1209</v>
      </c>
      <c r="N55" s="2070" t="s">
        <v>3040</v>
      </c>
      <c r="O55" s="2070" t="s">
        <v>3041</v>
      </c>
      <c r="P55" s="2071" t="s">
        <v>836</v>
      </c>
      <c r="Q55" s="2071">
        <v>1</v>
      </c>
      <c r="R55" s="2071" t="s">
        <v>257</v>
      </c>
      <c r="S55" s="2071" t="s">
        <v>260</v>
      </c>
      <c r="T55" s="2071" t="s">
        <v>261</v>
      </c>
      <c r="U55" s="2087" t="s">
        <v>2933</v>
      </c>
      <c r="V55" s="2260"/>
      <c r="W55" s="2093"/>
      <c r="Z55" s="270"/>
    </row>
    <row r="56" spans="1:26" ht="18" x14ac:dyDescent="0.25">
      <c r="B56" s="2067" t="s">
        <v>837</v>
      </c>
      <c r="C56" s="2068" t="s">
        <v>2870</v>
      </c>
      <c r="D56" s="2069" t="s">
        <v>1209</v>
      </c>
      <c r="E56" s="2072">
        <v>1E-50</v>
      </c>
      <c r="F56" s="2069" t="s">
        <v>1209</v>
      </c>
      <c r="G56" s="2069" t="s">
        <v>1209</v>
      </c>
      <c r="H56" s="2069" t="s">
        <v>1209</v>
      </c>
      <c r="I56" s="2069" t="s">
        <v>1209</v>
      </c>
      <c r="J56" s="2072" t="s">
        <v>1209</v>
      </c>
      <c r="K56" s="2063" t="s">
        <v>1209</v>
      </c>
      <c r="L56" s="2064" t="s">
        <v>1209</v>
      </c>
      <c r="M56" s="2064" t="s">
        <v>1209</v>
      </c>
      <c r="N56" s="2070" t="s">
        <v>3040</v>
      </c>
      <c r="O56" s="2070" t="s">
        <v>3041</v>
      </c>
      <c r="P56" s="2071" t="s">
        <v>836</v>
      </c>
      <c r="Q56" s="2071">
        <v>1</v>
      </c>
      <c r="R56" s="2071" t="s">
        <v>257</v>
      </c>
      <c r="S56" s="2071" t="s">
        <v>260</v>
      </c>
      <c r="T56" s="2071" t="s">
        <v>261</v>
      </c>
      <c r="U56" s="2087" t="s">
        <v>2933</v>
      </c>
      <c r="V56" s="2260"/>
      <c r="W56" s="2093"/>
      <c r="Z56" s="270"/>
    </row>
    <row r="57" spans="1:26" ht="18.75" customHeight="1" x14ac:dyDescent="0.25">
      <c r="B57" s="2092" t="s">
        <v>464</v>
      </c>
      <c r="C57" s="2068" t="s">
        <v>2871</v>
      </c>
      <c r="D57" s="2094">
        <v>0.01</v>
      </c>
      <c r="E57" s="2094">
        <v>0.01</v>
      </c>
      <c r="F57" s="2094">
        <v>3.0000000000000001E-3</v>
      </c>
      <c r="G57" s="2069" t="s">
        <v>1209</v>
      </c>
      <c r="H57" s="2069" t="s">
        <v>1209</v>
      </c>
      <c r="I57" s="2069" t="s">
        <v>1209</v>
      </c>
      <c r="J57" s="2072" t="s">
        <v>1209</v>
      </c>
      <c r="K57" s="2063" t="s">
        <v>1209</v>
      </c>
      <c r="L57" s="2064">
        <v>9.2897199999999996E-3</v>
      </c>
      <c r="M57" s="2064">
        <v>9.7264700000000009E-3</v>
      </c>
      <c r="N57" s="2070" t="s">
        <v>3040</v>
      </c>
      <c r="O57" s="2070" t="s">
        <v>3041</v>
      </c>
      <c r="P57" s="2071" t="s">
        <v>836</v>
      </c>
      <c r="Q57" s="2071">
        <v>1</v>
      </c>
      <c r="R57" s="2071" t="s">
        <v>257</v>
      </c>
      <c r="S57" s="2071" t="s">
        <v>260</v>
      </c>
      <c r="T57" s="2071" t="s">
        <v>261</v>
      </c>
      <c r="U57" s="2087" t="s">
        <v>2933</v>
      </c>
      <c r="V57" s="2260"/>
      <c r="W57" s="2093"/>
      <c r="Z57" s="270"/>
    </row>
    <row r="58" spans="1:26" ht="18" x14ac:dyDescent="0.25">
      <c r="B58" s="2067" t="s">
        <v>463</v>
      </c>
      <c r="C58" s="2068" t="s">
        <v>2872</v>
      </c>
      <c r="D58" s="2069" t="s">
        <v>1209</v>
      </c>
      <c r="E58" s="2072">
        <v>1E-50</v>
      </c>
      <c r="F58" s="2069" t="s">
        <v>1209</v>
      </c>
      <c r="G58" s="2069" t="s">
        <v>1209</v>
      </c>
      <c r="H58" s="2069" t="s">
        <v>1209</v>
      </c>
      <c r="I58" s="2069" t="s">
        <v>1209</v>
      </c>
      <c r="J58" s="2072" t="s">
        <v>1209</v>
      </c>
      <c r="K58" s="2063" t="s">
        <v>1209</v>
      </c>
      <c r="L58" s="2064" t="s">
        <v>1209</v>
      </c>
      <c r="M58" s="2064" t="s">
        <v>1209</v>
      </c>
      <c r="N58" s="2070" t="s">
        <v>3040</v>
      </c>
      <c r="O58" s="2070" t="s">
        <v>3041</v>
      </c>
      <c r="P58" s="2071" t="s">
        <v>836</v>
      </c>
      <c r="Q58" s="2071">
        <v>1</v>
      </c>
      <c r="R58" s="2071" t="s">
        <v>257</v>
      </c>
      <c r="S58" s="2071" t="s">
        <v>260</v>
      </c>
      <c r="T58" s="2071" t="s">
        <v>261</v>
      </c>
      <c r="U58" s="2087" t="s">
        <v>2933</v>
      </c>
      <c r="V58" s="2260"/>
      <c r="W58" s="2093"/>
      <c r="Z58" s="270"/>
    </row>
    <row r="59" spans="1:26" ht="18" x14ac:dyDescent="0.25">
      <c r="B59" s="2067" t="s">
        <v>462</v>
      </c>
      <c r="C59" s="2068" t="s">
        <v>2873</v>
      </c>
      <c r="D59" s="2069" t="s">
        <v>1209</v>
      </c>
      <c r="E59" s="2072">
        <v>1E-50</v>
      </c>
      <c r="F59" s="2069" t="s">
        <v>1209</v>
      </c>
      <c r="G59" s="2069" t="s">
        <v>1209</v>
      </c>
      <c r="H59" s="2069" t="s">
        <v>1209</v>
      </c>
      <c r="I59" s="2069" t="s">
        <v>1209</v>
      </c>
      <c r="J59" s="2072" t="s">
        <v>1209</v>
      </c>
      <c r="K59" s="2063" t="s">
        <v>1209</v>
      </c>
      <c r="L59" s="2064" t="s">
        <v>1209</v>
      </c>
      <c r="M59" s="2064" t="s">
        <v>1209</v>
      </c>
      <c r="N59" s="2070" t="s">
        <v>3040</v>
      </c>
      <c r="O59" s="2070" t="s">
        <v>3041</v>
      </c>
      <c r="P59" s="2071" t="s">
        <v>836</v>
      </c>
      <c r="Q59" s="2071">
        <v>1</v>
      </c>
      <c r="R59" s="2071" t="s">
        <v>257</v>
      </c>
      <c r="S59" s="2071" t="s">
        <v>260</v>
      </c>
      <c r="T59" s="2071" t="s">
        <v>261</v>
      </c>
      <c r="U59" s="2087" t="s">
        <v>2933</v>
      </c>
      <c r="V59" s="2260"/>
      <c r="W59" s="2093"/>
      <c r="Z59" s="270"/>
    </row>
    <row r="60" spans="1:26" s="3" customFormat="1" ht="18" x14ac:dyDescent="0.25">
      <c r="A60" s="5"/>
      <c r="B60" s="2095" t="s">
        <v>845</v>
      </c>
      <c r="C60" s="2068" t="s">
        <v>4908</v>
      </c>
      <c r="D60" s="2069" t="s">
        <v>1209</v>
      </c>
      <c r="E60" s="2072">
        <v>1E-50</v>
      </c>
      <c r="F60" s="2069" t="s">
        <v>1209</v>
      </c>
      <c r="G60" s="2072" t="s">
        <v>1209</v>
      </c>
      <c r="H60" s="2072" t="s">
        <v>1209</v>
      </c>
      <c r="I60" s="2072" t="s">
        <v>1209</v>
      </c>
      <c r="J60" s="2072" t="s">
        <v>1209</v>
      </c>
      <c r="K60" s="2063" t="s">
        <v>1209</v>
      </c>
      <c r="L60" s="2064" t="s">
        <v>1209</v>
      </c>
      <c r="M60" s="2064" t="s">
        <v>1209</v>
      </c>
      <c r="N60" s="2070" t="s">
        <v>3040</v>
      </c>
      <c r="O60" s="2070" t="s">
        <v>3041</v>
      </c>
      <c r="P60" s="2071" t="s">
        <v>469</v>
      </c>
      <c r="Q60" s="2071">
        <v>1</v>
      </c>
      <c r="R60" s="2071" t="s">
        <v>257</v>
      </c>
      <c r="S60" s="2071" t="s">
        <v>260</v>
      </c>
      <c r="T60" s="2071" t="s">
        <v>261</v>
      </c>
      <c r="U60" s="2087" t="s">
        <v>2933</v>
      </c>
      <c r="V60" s="2260"/>
      <c r="W60" s="2093"/>
      <c r="Z60" s="271"/>
    </row>
    <row r="61" spans="1:26" s="3" customFormat="1" ht="18" x14ac:dyDescent="0.25">
      <c r="A61" s="5"/>
      <c r="B61" s="2095" t="s">
        <v>846</v>
      </c>
      <c r="C61" s="2068" t="s">
        <v>4909</v>
      </c>
      <c r="D61" s="2069" t="s">
        <v>1209</v>
      </c>
      <c r="E61" s="2072">
        <v>1E-50</v>
      </c>
      <c r="F61" s="2069" t="s">
        <v>1209</v>
      </c>
      <c r="G61" s="2072" t="s">
        <v>1209</v>
      </c>
      <c r="H61" s="2072" t="s">
        <v>1209</v>
      </c>
      <c r="I61" s="2072" t="s">
        <v>1209</v>
      </c>
      <c r="J61" s="2072" t="s">
        <v>1209</v>
      </c>
      <c r="K61" s="2063" t="s">
        <v>1209</v>
      </c>
      <c r="L61" s="2064" t="s">
        <v>1209</v>
      </c>
      <c r="M61" s="2064" t="s">
        <v>1209</v>
      </c>
      <c r="N61" s="2070" t="s">
        <v>3040</v>
      </c>
      <c r="O61" s="2070" t="s">
        <v>3041</v>
      </c>
      <c r="P61" s="2071" t="s">
        <v>469</v>
      </c>
      <c r="Q61" s="2071">
        <v>1</v>
      </c>
      <c r="R61" s="2071" t="s">
        <v>257</v>
      </c>
      <c r="S61" s="2071" t="s">
        <v>260</v>
      </c>
      <c r="T61" s="2071" t="s">
        <v>261</v>
      </c>
      <c r="U61" s="2087" t="s">
        <v>2933</v>
      </c>
      <c r="V61" s="2260"/>
      <c r="W61" s="2093"/>
      <c r="Z61" s="271"/>
    </row>
    <row r="62" spans="1:26" s="68" customFormat="1" ht="18" x14ac:dyDescent="0.25">
      <c r="B62" s="2096" t="s">
        <v>4088</v>
      </c>
      <c r="C62" s="2074" t="s">
        <v>4089</v>
      </c>
      <c r="D62" s="2082" t="s">
        <v>1209</v>
      </c>
      <c r="E62" s="2097">
        <v>1E-50</v>
      </c>
      <c r="F62" s="2082" t="s">
        <v>1209</v>
      </c>
      <c r="G62" s="2097" t="s">
        <v>1209</v>
      </c>
      <c r="H62" s="2097" t="s">
        <v>1209</v>
      </c>
      <c r="I62" s="2097" t="s">
        <v>1209</v>
      </c>
      <c r="J62" s="2082" t="s">
        <v>1209</v>
      </c>
      <c r="K62" s="2064" t="s">
        <v>1209</v>
      </c>
      <c r="L62" s="2064" t="s">
        <v>1209</v>
      </c>
      <c r="M62" s="2064" t="s">
        <v>1209</v>
      </c>
      <c r="N62" s="2079" t="s">
        <v>3040</v>
      </c>
      <c r="O62" s="2079" t="s">
        <v>3041</v>
      </c>
      <c r="P62" s="2079" t="s">
        <v>4090</v>
      </c>
      <c r="Q62" s="2079">
        <v>1</v>
      </c>
      <c r="R62" s="2079" t="s">
        <v>257</v>
      </c>
      <c r="S62" s="2079" t="s">
        <v>260</v>
      </c>
      <c r="T62" s="2079" t="s">
        <v>261</v>
      </c>
      <c r="U62" s="2087" t="s">
        <v>2934</v>
      </c>
      <c r="V62" s="2080"/>
      <c r="W62" s="2081"/>
    </row>
    <row r="63" spans="1:26" s="68" customFormat="1" ht="18" x14ac:dyDescent="0.25">
      <c r="B63" s="2096" t="s">
        <v>4091</v>
      </c>
      <c r="C63" s="2074" t="s">
        <v>4092</v>
      </c>
      <c r="D63" s="2082" t="s">
        <v>1209</v>
      </c>
      <c r="E63" s="2097">
        <v>1E-50</v>
      </c>
      <c r="F63" s="2082" t="s">
        <v>1209</v>
      </c>
      <c r="G63" s="2097" t="s">
        <v>1209</v>
      </c>
      <c r="H63" s="2097" t="s">
        <v>1209</v>
      </c>
      <c r="I63" s="2097" t="s">
        <v>1209</v>
      </c>
      <c r="J63" s="2082" t="s">
        <v>1209</v>
      </c>
      <c r="K63" s="2064" t="s">
        <v>1209</v>
      </c>
      <c r="L63" s="2064" t="s">
        <v>1209</v>
      </c>
      <c r="M63" s="2064" t="s">
        <v>1209</v>
      </c>
      <c r="N63" s="2079" t="s">
        <v>3040</v>
      </c>
      <c r="O63" s="2079" t="s">
        <v>3041</v>
      </c>
      <c r="P63" s="2079" t="s">
        <v>4090</v>
      </c>
      <c r="Q63" s="2079">
        <v>1</v>
      </c>
      <c r="R63" s="2079" t="s">
        <v>257</v>
      </c>
      <c r="S63" s="2079" t="s">
        <v>260</v>
      </c>
      <c r="T63" s="2079" t="s">
        <v>261</v>
      </c>
      <c r="U63" s="2087" t="s">
        <v>2934</v>
      </c>
      <c r="V63" s="2080"/>
      <c r="W63" s="2081"/>
    </row>
    <row r="64" spans="1:26" s="68" customFormat="1" ht="18" x14ac:dyDescent="0.25">
      <c r="B64" s="2096" t="s">
        <v>4093</v>
      </c>
      <c r="C64" s="2074" t="s">
        <v>4094</v>
      </c>
      <c r="D64" s="2098">
        <v>0.01</v>
      </c>
      <c r="E64" s="2098">
        <v>0.01</v>
      </c>
      <c r="F64" s="2098">
        <v>3.0000000000000001E-3</v>
      </c>
      <c r="G64" s="2097" t="s">
        <v>1209</v>
      </c>
      <c r="H64" s="2097" t="s">
        <v>1209</v>
      </c>
      <c r="I64" s="2097" t="s">
        <v>1209</v>
      </c>
      <c r="J64" s="2082" t="s">
        <v>1209</v>
      </c>
      <c r="K64" s="2064" t="s">
        <v>1209</v>
      </c>
      <c r="L64" s="2064">
        <v>9.0579700000000003E-3</v>
      </c>
      <c r="M64" s="2064">
        <v>11.6807275</v>
      </c>
      <c r="N64" s="2079" t="s">
        <v>3040</v>
      </c>
      <c r="O64" s="2079" t="s">
        <v>3041</v>
      </c>
      <c r="P64" s="2079" t="s">
        <v>4090</v>
      </c>
      <c r="Q64" s="2079">
        <v>1</v>
      </c>
      <c r="R64" s="2079" t="s">
        <v>257</v>
      </c>
      <c r="S64" s="2079" t="s">
        <v>260</v>
      </c>
      <c r="T64" s="2079" t="s">
        <v>261</v>
      </c>
      <c r="U64" s="2087" t="s">
        <v>2934</v>
      </c>
      <c r="V64" s="2080"/>
      <c r="W64" s="2081"/>
    </row>
    <row r="65" spans="2:26" s="68" customFormat="1" ht="18" x14ac:dyDescent="0.25">
      <c r="B65" s="2096" t="s">
        <v>4095</v>
      </c>
      <c r="C65" s="2074" t="s">
        <v>4096</v>
      </c>
      <c r="D65" s="2082" t="s">
        <v>1209</v>
      </c>
      <c r="E65" s="2097">
        <v>1E-50</v>
      </c>
      <c r="F65" s="2082" t="s">
        <v>1209</v>
      </c>
      <c r="G65" s="2097" t="s">
        <v>1209</v>
      </c>
      <c r="H65" s="2097" t="s">
        <v>1209</v>
      </c>
      <c r="I65" s="2097" t="s">
        <v>1209</v>
      </c>
      <c r="J65" s="2082" t="s">
        <v>1209</v>
      </c>
      <c r="K65" s="2064" t="s">
        <v>1209</v>
      </c>
      <c r="L65" s="2064" t="s">
        <v>1209</v>
      </c>
      <c r="M65" s="2064" t="s">
        <v>1209</v>
      </c>
      <c r="N65" s="2079" t="s">
        <v>3040</v>
      </c>
      <c r="O65" s="2079" t="s">
        <v>3041</v>
      </c>
      <c r="P65" s="2079" t="s">
        <v>4090</v>
      </c>
      <c r="Q65" s="2079">
        <v>1</v>
      </c>
      <c r="R65" s="2079" t="s">
        <v>257</v>
      </c>
      <c r="S65" s="2079" t="s">
        <v>260</v>
      </c>
      <c r="T65" s="2079" t="s">
        <v>261</v>
      </c>
      <c r="U65" s="2087" t="s">
        <v>2934</v>
      </c>
      <c r="V65" s="2080"/>
      <c r="W65" s="2081"/>
    </row>
    <row r="66" spans="2:26" s="68" customFormat="1" ht="18" x14ac:dyDescent="0.25">
      <c r="B66" s="2096" t="s">
        <v>4097</v>
      </c>
      <c r="C66" s="2074" t="s">
        <v>4098</v>
      </c>
      <c r="D66" s="2082" t="s">
        <v>1209</v>
      </c>
      <c r="E66" s="2097">
        <v>1E-50</v>
      </c>
      <c r="F66" s="2082" t="s">
        <v>1209</v>
      </c>
      <c r="G66" s="2097" t="s">
        <v>1209</v>
      </c>
      <c r="H66" s="2097" t="s">
        <v>1209</v>
      </c>
      <c r="I66" s="2097" t="s">
        <v>1209</v>
      </c>
      <c r="J66" s="2082" t="s">
        <v>1209</v>
      </c>
      <c r="K66" s="2064" t="s">
        <v>1209</v>
      </c>
      <c r="L66" s="2064" t="s">
        <v>1209</v>
      </c>
      <c r="M66" s="2064" t="s">
        <v>1209</v>
      </c>
      <c r="N66" s="2079" t="s">
        <v>3040</v>
      </c>
      <c r="O66" s="2079" t="s">
        <v>3041</v>
      </c>
      <c r="P66" s="2079" t="s">
        <v>4090</v>
      </c>
      <c r="Q66" s="2079">
        <v>1</v>
      </c>
      <c r="R66" s="2079" t="s">
        <v>257</v>
      </c>
      <c r="S66" s="2079" t="s">
        <v>260</v>
      </c>
      <c r="T66" s="2079" t="s">
        <v>261</v>
      </c>
      <c r="U66" s="2087" t="s">
        <v>2934</v>
      </c>
      <c r="V66" s="2080"/>
      <c r="W66" s="2081"/>
    </row>
    <row r="67" spans="2:26" s="68" customFormat="1" ht="18" x14ac:dyDescent="0.25">
      <c r="B67" s="2096" t="s">
        <v>4099</v>
      </c>
      <c r="C67" s="2074" t="s">
        <v>4100</v>
      </c>
      <c r="D67" s="2082" t="s">
        <v>1209</v>
      </c>
      <c r="E67" s="2097">
        <v>1E-50</v>
      </c>
      <c r="F67" s="2082" t="s">
        <v>1209</v>
      </c>
      <c r="G67" s="2097" t="s">
        <v>1209</v>
      </c>
      <c r="H67" s="2097" t="s">
        <v>1209</v>
      </c>
      <c r="I67" s="2097" t="s">
        <v>1209</v>
      </c>
      <c r="J67" s="2097" t="s">
        <v>1209</v>
      </c>
      <c r="K67" s="2064" t="s">
        <v>1209</v>
      </c>
      <c r="L67" s="2064" t="s">
        <v>1209</v>
      </c>
      <c r="M67" s="2064" t="s">
        <v>1209</v>
      </c>
      <c r="N67" s="2079" t="s">
        <v>3040</v>
      </c>
      <c r="O67" s="2079" t="s">
        <v>3041</v>
      </c>
      <c r="P67" s="2079" t="s">
        <v>4090</v>
      </c>
      <c r="Q67" s="2079">
        <v>1</v>
      </c>
      <c r="R67" s="2079" t="s">
        <v>257</v>
      </c>
      <c r="S67" s="2079" t="s">
        <v>260</v>
      </c>
      <c r="T67" s="2079" t="s">
        <v>261</v>
      </c>
      <c r="U67" s="2087" t="s">
        <v>2934</v>
      </c>
      <c r="V67" s="2080"/>
      <c r="W67" s="2081"/>
    </row>
    <row r="68" spans="2:26" s="68" customFormat="1" ht="18" x14ac:dyDescent="0.25">
      <c r="B68" s="2096" t="s">
        <v>4101</v>
      </c>
      <c r="C68" s="2074" t="s">
        <v>4102</v>
      </c>
      <c r="D68" s="2082" t="s">
        <v>1209</v>
      </c>
      <c r="E68" s="2097">
        <v>1E-50</v>
      </c>
      <c r="F68" s="2082" t="s">
        <v>1209</v>
      </c>
      <c r="G68" s="2097" t="s">
        <v>1209</v>
      </c>
      <c r="H68" s="2097" t="s">
        <v>1209</v>
      </c>
      <c r="I68" s="2097" t="s">
        <v>1209</v>
      </c>
      <c r="J68" s="2097" t="s">
        <v>1209</v>
      </c>
      <c r="K68" s="2064" t="s">
        <v>1209</v>
      </c>
      <c r="L68" s="2064" t="s">
        <v>1209</v>
      </c>
      <c r="M68" s="2064" t="s">
        <v>1209</v>
      </c>
      <c r="N68" s="2079" t="s">
        <v>3040</v>
      </c>
      <c r="O68" s="2079" t="s">
        <v>3041</v>
      </c>
      <c r="P68" s="2079" t="s">
        <v>4090</v>
      </c>
      <c r="Q68" s="2079">
        <v>1</v>
      </c>
      <c r="R68" s="2079" t="s">
        <v>257</v>
      </c>
      <c r="S68" s="2079" t="s">
        <v>260</v>
      </c>
      <c r="T68" s="2079" t="s">
        <v>261</v>
      </c>
      <c r="U68" s="2087" t="s">
        <v>2934</v>
      </c>
      <c r="V68" s="2080"/>
      <c r="W68" s="2081"/>
    </row>
    <row r="69" spans="2:26" ht="18.75" customHeight="1" x14ac:dyDescent="0.25">
      <c r="B69" s="2092" t="s">
        <v>998</v>
      </c>
      <c r="C69" s="2068" t="s">
        <v>2874</v>
      </c>
      <c r="D69" s="2069" t="s">
        <v>1209</v>
      </c>
      <c r="E69" s="2072">
        <v>1E-50</v>
      </c>
      <c r="F69" s="2069" t="s">
        <v>1209</v>
      </c>
      <c r="G69" s="2072" t="s">
        <v>1209</v>
      </c>
      <c r="H69" s="2072" t="s">
        <v>1209</v>
      </c>
      <c r="I69" s="2072" t="s">
        <v>1209</v>
      </c>
      <c r="J69" s="2072" t="s">
        <v>1209</v>
      </c>
      <c r="K69" s="2063" t="s">
        <v>1209</v>
      </c>
      <c r="L69" s="2064" t="s">
        <v>1209</v>
      </c>
      <c r="M69" s="2064" t="s">
        <v>1209</v>
      </c>
      <c r="N69" s="2070" t="s">
        <v>3040</v>
      </c>
      <c r="O69" s="2070" t="s">
        <v>3041</v>
      </c>
      <c r="P69" s="2071" t="s">
        <v>359</v>
      </c>
      <c r="Q69" s="2071">
        <v>1</v>
      </c>
      <c r="R69" s="2071" t="s">
        <v>257</v>
      </c>
      <c r="S69" s="2071" t="s">
        <v>260</v>
      </c>
      <c r="T69" s="2071" t="s">
        <v>261</v>
      </c>
      <c r="U69" s="2087" t="s">
        <v>4618</v>
      </c>
      <c r="V69" s="2260"/>
      <c r="W69" s="2093"/>
      <c r="Z69" s="270"/>
    </row>
    <row r="70" spans="2:26" ht="18.75" customHeight="1" x14ac:dyDescent="0.25">
      <c r="B70" s="2092" t="s">
        <v>1132</v>
      </c>
      <c r="C70" s="2068" t="s">
        <v>2875</v>
      </c>
      <c r="D70" s="2069" t="s">
        <v>1209</v>
      </c>
      <c r="E70" s="2072">
        <v>1E-50</v>
      </c>
      <c r="F70" s="2069" t="s">
        <v>1209</v>
      </c>
      <c r="G70" s="2072" t="s">
        <v>1209</v>
      </c>
      <c r="H70" s="2417">
        <v>55</v>
      </c>
      <c r="I70" s="2072" t="s">
        <v>1209</v>
      </c>
      <c r="J70" s="2072" t="s">
        <v>1209</v>
      </c>
      <c r="K70" s="2063" t="s">
        <v>1209</v>
      </c>
      <c r="L70" s="2064" t="s">
        <v>1209</v>
      </c>
      <c r="M70" s="2064" t="s">
        <v>1209</v>
      </c>
      <c r="N70" s="2070" t="s">
        <v>3040</v>
      </c>
      <c r="O70" s="2070" t="s">
        <v>3041</v>
      </c>
      <c r="P70" s="2071" t="s">
        <v>359</v>
      </c>
      <c r="Q70" s="2071">
        <v>1</v>
      </c>
      <c r="R70" s="2071" t="s">
        <v>257</v>
      </c>
      <c r="S70" s="2071" t="s">
        <v>260</v>
      </c>
      <c r="T70" s="2071" t="s">
        <v>261</v>
      </c>
      <c r="U70" s="2087" t="s">
        <v>4618</v>
      </c>
      <c r="V70" s="2260"/>
      <c r="W70" s="2093"/>
      <c r="Z70" s="270"/>
    </row>
    <row r="71" spans="2:26" s="68" customFormat="1" ht="18.75" customHeight="1" x14ac:dyDescent="0.25">
      <c r="B71" s="2099" t="s">
        <v>4109</v>
      </c>
      <c r="C71" s="2074" t="s">
        <v>4110</v>
      </c>
      <c r="D71" s="2098" t="s">
        <v>1209</v>
      </c>
      <c r="E71" s="2097">
        <v>1E-50</v>
      </c>
      <c r="F71" s="2098" t="s">
        <v>1209</v>
      </c>
      <c r="G71" s="2097" t="s">
        <v>1209</v>
      </c>
      <c r="H71" s="2417">
        <v>500</v>
      </c>
      <c r="I71" s="2097" t="s">
        <v>1209</v>
      </c>
      <c r="J71" s="2097" t="s">
        <v>1209</v>
      </c>
      <c r="K71" s="2064" t="s">
        <v>1209</v>
      </c>
      <c r="L71" s="2064" t="s">
        <v>1209</v>
      </c>
      <c r="M71" s="2064" t="s">
        <v>1209</v>
      </c>
      <c r="N71" s="2079" t="s">
        <v>3040</v>
      </c>
      <c r="O71" s="2079" t="s">
        <v>3041</v>
      </c>
      <c r="P71" s="2079" t="s">
        <v>359</v>
      </c>
      <c r="Q71" s="2079">
        <v>1</v>
      </c>
      <c r="R71" s="2079" t="s">
        <v>257</v>
      </c>
      <c r="S71" s="2079" t="s">
        <v>260</v>
      </c>
      <c r="T71" s="2079" t="s">
        <v>261</v>
      </c>
      <c r="U71" s="2087" t="s">
        <v>4618</v>
      </c>
      <c r="V71" s="2080"/>
      <c r="W71" s="2081"/>
      <c r="Z71" s="628"/>
    </row>
    <row r="72" spans="2:26" ht="18.75" customHeight="1" x14ac:dyDescent="0.25">
      <c r="B72" s="2100" t="s">
        <v>355</v>
      </c>
      <c r="C72" s="2068" t="s">
        <v>2876</v>
      </c>
      <c r="D72" s="2069" t="s">
        <v>1209</v>
      </c>
      <c r="E72" s="2072">
        <v>1E-50</v>
      </c>
      <c r="F72" s="2069" t="s">
        <v>1209</v>
      </c>
      <c r="G72" s="2072" t="s">
        <v>1209</v>
      </c>
      <c r="H72" s="2417">
        <v>300</v>
      </c>
      <c r="I72" s="2072" t="s">
        <v>1209</v>
      </c>
      <c r="J72" s="2072" t="s">
        <v>1209</v>
      </c>
      <c r="K72" s="2063" t="s">
        <v>1209</v>
      </c>
      <c r="L72" s="2064" t="s">
        <v>1209</v>
      </c>
      <c r="M72" s="2064" t="s">
        <v>1209</v>
      </c>
      <c r="N72" s="2070" t="s">
        <v>3040</v>
      </c>
      <c r="O72" s="2070" t="s">
        <v>3041</v>
      </c>
      <c r="P72" s="2071" t="s">
        <v>359</v>
      </c>
      <c r="Q72" s="2071">
        <v>1</v>
      </c>
      <c r="R72" s="2071" t="s">
        <v>257</v>
      </c>
      <c r="S72" s="2071" t="s">
        <v>260</v>
      </c>
      <c r="T72" s="2071" t="s">
        <v>261</v>
      </c>
      <c r="U72" s="2087" t="s">
        <v>4618</v>
      </c>
      <c r="V72" s="2260"/>
      <c r="W72" s="2093"/>
      <c r="Z72" s="270"/>
    </row>
    <row r="73" spans="2:26" ht="18" x14ac:dyDescent="0.25">
      <c r="B73" s="2092" t="s">
        <v>1113</v>
      </c>
      <c r="C73" s="2068" t="s">
        <v>2877</v>
      </c>
      <c r="D73" s="2069" t="s">
        <v>1209</v>
      </c>
      <c r="E73" s="2072">
        <v>1E-50</v>
      </c>
      <c r="F73" s="2069" t="s">
        <v>1209</v>
      </c>
      <c r="G73" s="2072" t="s">
        <v>1209</v>
      </c>
      <c r="H73" s="2417">
        <v>5</v>
      </c>
      <c r="I73" s="2072" t="s">
        <v>1209</v>
      </c>
      <c r="J73" s="2072" t="s">
        <v>1209</v>
      </c>
      <c r="K73" s="2063" t="s">
        <v>1209</v>
      </c>
      <c r="L73" s="2064" t="s">
        <v>1209</v>
      </c>
      <c r="M73" s="2064" t="s">
        <v>1209</v>
      </c>
      <c r="N73" s="2070" t="s">
        <v>3040</v>
      </c>
      <c r="O73" s="2070" t="s">
        <v>3041</v>
      </c>
      <c r="P73" s="2071" t="s">
        <v>359</v>
      </c>
      <c r="Q73" s="2071">
        <v>1</v>
      </c>
      <c r="R73" s="2071" t="s">
        <v>257</v>
      </c>
      <c r="S73" s="2071" t="s">
        <v>260</v>
      </c>
      <c r="T73" s="2071" t="s">
        <v>261</v>
      </c>
      <c r="U73" s="2087" t="s">
        <v>4618</v>
      </c>
      <c r="V73" s="2260"/>
      <c r="W73" s="2093"/>
      <c r="Z73" s="270"/>
    </row>
    <row r="74" spans="2:26" ht="18.75" x14ac:dyDescent="0.35">
      <c r="B74" s="2331" t="s">
        <v>5283</v>
      </c>
      <c r="C74" s="2332" t="s">
        <v>5284</v>
      </c>
      <c r="D74" s="2333">
        <v>9.9999999999999995E-7</v>
      </c>
      <c r="E74" s="2333">
        <v>9.9999999999999995E-7</v>
      </c>
      <c r="F74" s="2333">
        <v>9.9999999999999995E-7</v>
      </c>
      <c r="G74" s="2333">
        <v>9.9999999999999995E-7</v>
      </c>
      <c r="H74" s="2333">
        <v>9.9999999999999995E-7</v>
      </c>
      <c r="I74" s="2333">
        <v>9.9999999999999995E-7</v>
      </c>
      <c r="J74" s="2333">
        <v>9.9999999999999995E-7</v>
      </c>
      <c r="K74" s="2333">
        <v>9.9999999999999995E-7</v>
      </c>
      <c r="L74" s="2333">
        <v>9.9999999999999995E-7</v>
      </c>
      <c r="M74" s="2333">
        <v>9.9999999999999995E-7</v>
      </c>
      <c r="N74" s="2087" t="s">
        <v>3040</v>
      </c>
      <c r="O74" s="2087" t="s">
        <v>3041</v>
      </c>
      <c r="P74" s="2334" t="s">
        <v>5285</v>
      </c>
      <c r="Q74" s="2335">
        <v>4</v>
      </c>
      <c r="R74" s="2335" t="s">
        <v>257</v>
      </c>
      <c r="S74" s="2335" t="s">
        <v>258</v>
      </c>
      <c r="T74" s="2335" t="s">
        <v>261</v>
      </c>
      <c r="U74" s="2336" t="s">
        <v>5286</v>
      </c>
      <c r="V74" s="2337" t="s">
        <v>5286</v>
      </c>
      <c r="W74" s="2338"/>
    </row>
    <row r="75" spans="2:26" ht="18.75" x14ac:dyDescent="0.35">
      <c r="B75" s="2331" t="s">
        <v>5287</v>
      </c>
      <c r="C75" s="2332" t="s">
        <v>5288</v>
      </c>
      <c r="D75" s="2333">
        <v>9.9999999999999995E-7</v>
      </c>
      <c r="E75" s="2333">
        <v>9.9999999999999995E-7</v>
      </c>
      <c r="F75" s="2333">
        <v>9.9999999999999995E-7</v>
      </c>
      <c r="G75" s="2333">
        <v>9.9999999999999995E-7</v>
      </c>
      <c r="H75" s="2333">
        <v>9.9999999999999995E-7</v>
      </c>
      <c r="I75" s="2333">
        <v>9.9999999999999995E-7</v>
      </c>
      <c r="J75" s="2333">
        <v>9.9999999999999995E-7</v>
      </c>
      <c r="K75" s="2333">
        <v>9.9999999999999995E-7</v>
      </c>
      <c r="L75" s="2333">
        <v>9.9999999999999995E-7</v>
      </c>
      <c r="M75" s="2333">
        <v>9.9999999999999995E-7</v>
      </c>
      <c r="N75" s="2087" t="s">
        <v>3040</v>
      </c>
      <c r="O75" s="2087" t="s">
        <v>3041</v>
      </c>
      <c r="P75" s="2334" t="s">
        <v>5285</v>
      </c>
      <c r="Q75" s="2335">
        <v>4</v>
      </c>
      <c r="R75" s="2335" t="s">
        <v>257</v>
      </c>
      <c r="S75" s="2335" t="s">
        <v>260</v>
      </c>
      <c r="T75" s="2335" t="s">
        <v>261</v>
      </c>
      <c r="U75" s="2336" t="s">
        <v>5286</v>
      </c>
      <c r="V75" s="2337" t="s">
        <v>5286</v>
      </c>
      <c r="W75" s="2338"/>
    </row>
    <row r="76" spans="2:26" ht="18.75" x14ac:dyDescent="0.35">
      <c r="B76" s="2331" t="s">
        <v>5289</v>
      </c>
      <c r="C76" s="2332" t="s">
        <v>5290</v>
      </c>
      <c r="D76" s="2333">
        <v>9.9999999999999995E-7</v>
      </c>
      <c r="E76" s="2333">
        <v>9.9999999999999995E-7</v>
      </c>
      <c r="F76" s="2333">
        <v>9.9999999999999995E-7</v>
      </c>
      <c r="G76" s="2333">
        <v>9.9999999999999995E-7</v>
      </c>
      <c r="H76" s="2333">
        <v>9.9999999999999995E-7</v>
      </c>
      <c r="I76" s="2333">
        <v>9.9999999999999995E-7</v>
      </c>
      <c r="J76" s="2333">
        <v>9.9999999999999995E-7</v>
      </c>
      <c r="K76" s="2333">
        <v>9.9999999999999995E-7</v>
      </c>
      <c r="L76" s="2333">
        <v>9.9999999999999995E-7</v>
      </c>
      <c r="M76" s="2333">
        <v>9.9999999999999995E-7</v>
      </c>
      <c r="N76" s="2087" t="s">
        <v>3040</v>
      </c>
      <c r="O76" s="2087" t="s">
        <v>3041</v>
      </c>
      <c r="P76" s="2334" t="s">
        <v>5285</v>
      </c>
      <c r="Q76" s="2335">
        <v>4</v>
      </c>
      <c r="R76" s="2335" t="s">
        <v>257</v>
      </c>
      <c r="S76" s="2335" t="s">
        <v>258</v>
      </c>
      <c r="T76" s="2335" t="s">
        <v>261</v>
      </c>
      <c r="U76" s="2336" t="s">
        <v>5286</v>
      </c>
      <c r="V76" s="2337" t="s">
        <v>5286</v>
      </c>
      <c r="W76" s="2338"/>
    </row>
    <row r="77" spans="2:26" ht="18.75" x14ac:dyDescent="0.35">
      <c r="B77" s="2331" t="s">
        <v>5291</v>
      </c>
      <c r="C77" s="2332" t="s">
        <v>5292</v>
      </c>
      <c r="D77" s="2333">
        <v>9.9999999999999995E-7</v>
      </c>
      <c r="E77" s="2333">
        <v>9.9999999999999995E-7</v>
      </c>
      <c r="F77" s="2333">
        <v>9.9999999999999995E-7</v>
      </c>
      <c r="G77" s="2333">
        <v>9.9999999999999995E-7</v>
      </c>
      <c r="H77" s="2333">
        <v>9.9999999999999995E-7</v>
      </c>
      <c r="I77" s="2333">
        <v>9.9999999999999995E-7</v>
      </c>
      <c r="J77" s="2333">
        <v>9.9999999999999995E-7</v>
      </c>
      <c r="K77" s="2333">
        <v>9.9999999999999995E-7</v>
      </c>
      <c r="L77" s="2333">
        <v>9.9999999999999995E-7</v>
      </c>
      <c r="M77" s="2333">
        <v>9.9999999999999995E-7</v>
      </c>
      <c r="N77" s="2087" t="s">
        <v>3040</v>
      </c>
      <c r="O77" s="2087" t="s">
        <v>3041</v>
      </c>
      <c r="P77" s="2334" t="s">
        <v>5285</v>
      </c>
      <c r="Q77" s="2335">
        <v>4</v>
      </c>
      <c r="R77" s="2335" t="s">
        <v>257</v>
      </c>
      <c r="S77" s="2335" t="s">
        <v>260</v>
      </c>
      <c r="T77" s="2335" t="s">
        <v>261</v>
      </c>
      <c r="U77" s="2336" t="s">
        <v>5286</v>
      </c>
      <c r="V77" s="2337" t="s">
        <v>5286</v>
      </c>
      <c r="W77" s="2338"/>
    </row>
    <row r="78" spans="2:26" ht="18.75" x14ac:dyDescent="0.25">
      <c r="B78" s="2101" t="s">
        <v>5124</v>
      </c>
      <c r="C78" s="2068" t="s">
        <v>1285</v>
      </c>
      <c r="D78" s="2069">
        <v>83.626000000000005</v>
      </c>
      <c r="E78" s="2069">
        <v>83.626000000000005</v>
      </c>
      <c r="F78" s="2069">
        <v>83.626000000000005</v>
      </c>
      <c r="G78" s="2069">
        <v>83.626000000000005</v>
      </c>
      <c r="H78" s="2069">
        <v>146.34549999999999</v>
      </c>
      <c r="I78" s="2069">
        <v>83.626000000000005</v>
      </c>
      <c r="J78" s="2069">
        <v>83.626000000000005</v>
      </c>
      <c r="K78" s="2063">
        <v>83.626000000000005</v>
      </c>
      <c r="L78" s="2064">
        <v>83.626000000000005</v>
      </c>
      <c r="M78" s="2064">
        <v>83.626000000000005</v>
      </c>
      <c r="N78" s="2070" t="s">
        <v>3040</v>
      </c>
      <c r="O78" s="2070" t="s">
        <v>3041</v>
      </c>
      <c r="P78" s="2071" t="s">
        <v>3298</v>
      </c>
      <c r="Q78" s="2071">
        <v>1</v>
      </c>
      <c r="R78" s="2071" t="s">
        <v>257</v>
      </c>
      <c r="S78" s="2071" t="s">
        <v>258</v>
      </c>
      <c r="T78" s="2071" t="s">
        <v>261</v>
      </c>
      <c r="U78" s="2087" t="s">
        <v>5135</v>
      </c>
      <c r="V78" s="2260"/>
      <c r="W78" s="2102" t="s">
        <v>1286</v>
      </c>
      <c r="Z78" s="270"/>
    </row>
    <row r="79" spans="2:26" s="68" customFormat="1" ht="18" x14ac:dyDescent="0.25">
      <c r="B79" s="2099" t="s">
        <v>4111</v>
      </c>
      <c r="C79" s="2074" t="s">
        <v>4112</v>
      </c>
      <c r="D79" s="2082">
        <v>0.18</v>
      </c>
      <c r="E79" s="2082">
        <v>0.5</v>
      </c>
      <c r="F79" s="2082">
        <v>0.18</v>
      </c>
      <c r="G79" s="2082">
        <v>0.5</v>
      </c>
      <c r="H79" s="2415">
        <v>0.01</v>
      </c>
      <c r="I79" s="2082">
        <v>0.5</v>
      </c>
      <c r="J79" s="2082">
        <v>0.5</v>
      </c>
      <c r="K79" s="2082">
        <v>0.5</v>
      </c>
      <c r="L79" s="2085">
        <v>0.68360100000000001</v>
      </c>
      <c r="M79" s="2085">
        <v>0.99993799999999999</v>
      </c>
      <c r="N79" s="2079">
        <v>0</v>
      </c>
      <c r="O79" s="2079">
        <v>1</v>
      </c>
      <c r="P79" s="2079" t="s">
        <v>1981</v>
      </c>
      <c r="Q79" s="2079">
        <v>2</v>
      </c>
      <c r="R79" s="2079" t="s">
        <v>257</v>
      </c>
      <c r="S79" s="2079" t="s">
        <v>258</v>
      </c>
      <c r="T79" s="2079" t="s">
        <v>261</v>
      </c>
      <c r="U79" s="2087" t="s">
        <v>4619</v>
      </c>
      <c r="V79" s="2080"/>
      <c r="W79" s="2081"/>
      <c r="Z79" s="628"/>
    </row>
    <row r="80" spans="2:26" ht="18" x14ac:dyDescent="0.25">
      <c r="B80" s="2083" t="s">
        <v>4846</v>
      </c>
      <c r="C80" s="2084" t="s">
        <v>4847</v>
      </c>
      <c r="D80" s="2103">
        <v>900</v>
      </c>
      <c r="E80" s="2103">
        <v>1000</v>
      </c>
      <c r="F80" s="2103">
        <v>900</v>
      </c>
      <c r="G80" s="2103">
        <v>1000</v>
      </c>
      <c r="H80" s="2417">
        <v>730</v>
      </c>
      <c r="I80" s="2103">
        <v>1000</v>
      </c>
      <c r="J80" s="2103">
        <v>1000</v>
      </c>
      <c r="K80" s="2103">
        <v>1000</v>
      </c>
      <c r="L80" s="2103">
        <v>1000</v>
      </c>
      <c r="M80" s="2103">
        <v>800</v>
      </c>
      <c r="N80" s="2086" t="s">
        <v>3040</v>
      </c>
      <c r="O80" s="2086" t="s">
        <v>3041</v>
      </c>
      <c r="P80" s="2086" t="s">
        <v>1981</v>
      </c>
      <c r="Q80" s="2086">
        <v>0</v>
      </c>
      <c r="R80" s="2086" t="s">
        <v>507</v>
      </c>
      <c r="S80" s="2086" t="s">
        <v>258</v>
      </c>
      <c r="T80" s="2086" t="s">
        <v>261</v>
      </c>
      <c r="U80" s="2086" t="s">
        <v>2144</v>
      </c>
      <c r="V80" s="1414"/>
      <c r="W80" s="2104"/>
    </row>
    <row r="81" spans="2:23" ht="18.75" x14ac:dyDescent="0.35">
      <c r="B81" s="2105" t="s">
        <v>435</v>
      </c>
      <c r="C81" s="2106" t="s">
        <v>3045</v>
      </c>
      <c r="D81" s="2107">
        <v>0.1258</v>
      </c>
      <c r="E81" s="2107">
        <v>0.1258</v>
      </c>
      <c r="F81" s="2107">
        <v>0.1258</v>
      </c>
      <c r="G81" s="2107">
        <v>0.1258</v>
      </c>
      <c r="H81" s="2416">
        <v>8</v>
      </c>
      <c r="I81" s="2107">
        <v>0.1258</v>
      </c>
      <c r="J81" s="2107">
        <v>0.1258</v>
      </c>
      <c r="K81" s="2107">
        <v>0.1258</v>
      </c>
      <c r="L81" s="2108">
        <v>0.1258</v>
      </c>
      <c r="M81" s="2108">
        <v>0.1258</v>
      </c>
      <c r="N81" s="2070" t="s">
        <v>3040</v>
      </c>
      <c r="O81" s="2070" t="s">
        <v>3041</v>
      </c>
      <c r="P81" s="2109" t="s">
        <v>3046</v>
      </c>
      <c r="Q81" s="2110">
        <v>1</v>
      </c>
      <c r="R81" s="2110" t="s">
        <v>436</v>
      </c>
      <c r="S81" s="2110" t="s">
        <v>258</v>
      </c>
      <c r="T81" s="2110" t="s">
        <v>801</v>
      </c>
      <c r="U81" s="2087" t="s">
        <v>4617</v>
      </c>
      <c r="V81" s="2111"/>
      <c r="W81" s="2112"/>
    </row>
    <row r="82" spans="2:23" ht="18.75" x14ac:dyDescent="0.35">
      <c r="B82" s="2105" t="s">
        <v>437</v>
      </c>
      <c r="C82" s="2113" t="s">
        <v>3047</v>
      </c>
      <c r="D82" s="2079">
        <v>5.3E-3</v>
      </c>
      <c r="E82" s="2079">
        <v>5.3E-3</v>
      </c>
      <c r="F82" s="2079">
        <v>5.3E-3</v>
      </c>
      <c r="G82" s="2079">
        <v>5.3E-3</v>
      </c>
      <c r="H82" s="2418">
        <v>90</v>
      </c>
      <c r="I82" s="2079">
        <v>5.3E-3</v>
      </c>
      <c r="J82" s="2079">
        <v>5.3E-3</v>
      </c>
      <c r="K82" s="2079">
        <v>5.3E-3</v>
      </c>
      <c r="L82" s="2086">
        <v>1.7299999999999999E-2</v>
      </c>
      <c r="M82" s="2086">
        <v>1.7299999999999999E-2</v>
      </c>
      <c r="N82" s="2070" t="s">
        <v>3040</v>
      </c>
      <c r="O82" s="2070" t="s">
        <v>3041</v>
      </c>
      <c r="P82" s="2114" t="s">
        <v>3048</v>
      </c>
      <c r="Q82" s="2110">
        <v>1</v>
      </c>
      <c r="R82" s="2110" t="s">
        <v>436</v>
      </c>
      <c r="S82" s="2110" t="s">
        <v>258</v>
      </c>
      <c r="T82" s="2110" t="s">
        <v>801</v>
      </c>
      <c r="U82" s="2087" t="s">
        <v>148</v>
      </c>
      <c r="V82" s="2111"/>
      <c r="W82" s="2112"/>
    </row>
    <row r="83" spans="2:23" ht="18.75" x14ac:dyDescent="0.35">
      <c r="B83" s="2105" t="s">
        <v>438</v>
      </c>
      <c r="C83" s="2113" t="s">
        <v>3049</v>
      </c>
      <c r="D83" s="2079">
        <v>5.4999999999999997E-3</v>
      </c>
      <c r="E83" s="2079">
        <v>5.4999999999999997E-3</v>
      </c>
      <c r="F83" s="2079">
        <v>5.4999999999999997E-3</v>
      </c>
      <c r="G83" s="2079">
        <v>5.4999999999999997E-3</v>
      </c>
      <c r="H83" s="2418">
        <v>0.05</v>
      </c>
      <c r="I83" s="2079">
        <v>5.4999999999999997E-3</v>
      </c>
      <c r="J83" s="2079">
        <v>5.4999999999999997E-3</v>
      </c>
      <c r="K83" s="2079">
        <v>5.4999999999999997E-3</v>
      </c>
      <c r="L83" s="2086">
        <v>7.9000000000000008E-3</v>
      </c>
      <c r="M83" s="2086">
        <v>7.9000000000000008E-3</v>
      </c>
      <c r="N83" s="2070" t="s">
        <v>3040</v>
      </c>
      <c r="O83" s="2070" t="s">
        <v>3041</v>
      </c>
      <c r="P83" s="2115" t="s">
        <v>3048</v>
      </c>
      <c r="Q83" s="2110">
        <v>1</v>
      </c>
      <c r="R83" s="2110" t="s">
        <v>436</v>
      </c>
      <c r="S83" s="2110" t="s">
        <v>258</v>
      </c>
      <c r="T83" s="2110" t="s">
        <v>801</v>
      </c>
      <c r="U83" s="2087" t="s">
        <v>148</v>
      </c>
      <c r="V83" s="2111"/>
      <c r="W83" s="2112"/>
    </row>
    <row r="84" spans="2:23" ht="18.75" x14ac:dyDescent="0.35">
      <c r="B84" s="2105" t="s">
        <v>439</v>
      </c>
      <c r="C84" s="2111" t="s">
        <v>3050</v>
      </c>
      <c r="D84" s="2107">
        <v>3.0244</v>
      </c>
      <c r="E84" s="2107">
        <v>3.0244</v>
      </c>
      <c r="F84" s="2107">
        <v>3.0244</v>
      </c>
      <c r="G84" s="2107">
        <v>3.0244</v>
      </c>
      <c r="H84" s="2116" t="s">
        <v>1209</v>
      </c>
      <c r="I84" s="2107">
        <v>3.0244</v>
      </c>
      <c r="J84" s="2107">
        <v>3.0244</v>
      </c>
      <c r="K84" s="2107">
        <v>3.0244</v>
      </c>
      <c r="L84" s="2108">
        <v>2.9916999999999998</v>
      </c>
      <c r="M84" s="2108">
        <v>2.9916999999999998</v>
      </c>
      <c r="N84" s="2070" t="s">
        <v>3040</v>
      </c>
      <c r="O84" s="2070" t="s">
        <v>3041</v>
      </c>
      <c r="P84" s="2117" t="s">
        <v>3051</v>
      </c>
      <c r="Q84" s="2118">
        <v>1</v>
      </c>
      <c r="R84" s="2118" t="s">
        <v>436</v>
      </c>
      <c r="S84" s="2118" t="s">
        <v>258</v>
      </c>
      <c r="T84" s="2118" t="s">
        <v>801</v>
      </c>
      <c r="U84" s="2119" t="s">
        <v>4616</v>
      </c>
      <c r="V84" s="2111"/>
      <c r="W84" s="2112"/>
    </row>
    <row r="85" spans="2:23" ht="18.75" x14ac:dyDescent="0.35">
      <c r="B85" s="2105" t="s">
        <v>1048</v>
      </c>
      <c r="C85" s="2120" t="s">
        <v>3052</v>
      </c>
      <c r="D85" s="2116" t="s">
        <v>1209</v>
      </c>
      <c r="E85" s="2072">
        <v>1E-50</v>
      </c>
      <c r="F85" s="2116" t="s">
        <v>1209</v>
      </c>
      <c r="G85" s="2116" t="s">
        <v>1209</v>
      </c>
      <c r="H85" s="2419">
        <v>4.0000000000000001E-3</v>
      </c>
      <c r="I85" s="2116" t="s">
        <v>1209</v>
      </c>
      <c r="J85" s="2116" t="s">
        <v>1209</v>
      </c>
      <c r="K85" s="2116" t="s">
        <v>1209</v>
      </c>
      <c r="L85" s="2121" t="s">
        <v>1209</v>
      </c>
      <c r="M85" s="2121" t="s">
        <v>1209</v>
      </c>
      <c r="N85" s="2070" t="s">
        <v>3040</v>
      </c>
      <c r="O85" s="2070" t="s">
        <v>3041</v>
      </c>
      <c r="P85" s="2122" t="s">
        <v>3053</v>
      </c>
      <c r="Q85" s="2118">
        <v>1</v>
      </c>
      <c r="R85" s="2118" t="s">
        <v>436</v>
      </c>
      <c r="S85" s="2118" t="s">
        <v>258</v>
      </c>
      <c r="T85" s="2118" t="s">
        <v>801</v>
      </c>
      <c r="U85" s="2119" t="s">
        <v>255</v>
      </c>
      <c r="V85" s="2111"/>
      <c r="W85" s="2112"/>
    </row>
    <row r="86" spans="2:23" ht="18.75" x14ac:dyDescent="0.35">
      <c r="B86" s="2123" t="s">
        <v>3595</v>
      </c>
      <c r="C86" s="2124" t="s">
        <v>3598</v>
      </c>
      <c r="D86" s="2125" t="s">
        <v>1209</v>
      </c>
      <c r="E86" s="2126">
        <v>1E-4</v>
      </c>
      <c r="F86" s="2125" t="s">
        <v>1209</v>
      </c>
      <c r="G86" s="2125">
        <v>1E-4</v>
      </c>
      <c r="H86" s="2125">
        <v>1E-4</v>
      </c>
      <c r="I86" s="2125">
        <v>1E-4</v>
      </c>
      <c r="J86" s="2125">
        <v>1E-4</v>
      </c>
      <c r="K86" s="2125">
        <v>1E-4</v>
      </c>
      <c r="L86" s="2116" t="s">
        <v>1209</v>
      </c>
      <c r="M86" s="2116" t="s">
        <v>1209</v>
      </c>
      <c r="N86" s="2127" t="s">
        <v>3040</v>
      </c>
      <c r="O86" s="2127" t="s">
        <v>3041</v>
      </c>
      <c r="P86" s="2122" t="s">
        <v>3053</v>
      </c>
      <c r="Q86" s="2128">
        <v>2</v>
      </c>
      <c r="R86" s="2128" t="s">
        <v>436</v>
      </c>
      <c r="S86" s="2118" t="s">
        <v>258</v>
      </c>
      <c r="T86" s="2118" t="s">
        <v>801</v>
      </c>
      <c r="U86" s="2119" t="s">
        <v>255</v>
      </c>
      <c r="V86" s="2129"/>
      <c r="W86" s="2130"/>
    </row>
    <row r="87" spans="2:23" ht="18.75" x14ac:dyDescent="0.35">
      <c r="B87" s="2123" t="s">
        <v>3596</v>
      </c>
      <c r="C87" s="2124" t="s">
        <v>3597</v>
      </c>
      <c r="D87" s="2125" t="s">
        <v>1209</v>
      </c>
      <c r="E87" s="2126">
        <v>1E-4</v>
      </c>
      <c r="F87" s="2125" t="s">
        <v>1209</v>
      </c>
      <c r="G87" s="2125">
        <v>1E-4</v>
      </c>
      <c r="H87" s="2125">
        <v>1E-4</v>
      </c>
      <c r="I87" s="2125">
        <v>1E-4</v>
      </c>
      <c r="J87" s="2125">
        <v>1E-4</v>
      </c>
      <c r="K87" s="2125">
        <v>1E-4</v>
      </c>
      <c r="L87" s="2116" t="s">
        <v>1209</v>
      </c>
      <c r="M87" s="2116" t="s">
        <v>1209</v>
      </c>
      <c r="N87" s="2127" t="s">
        <v>3040</v>
      </c>
      <c r="O87" s="2127" t="s">
        <v>3041</v>
      </c>
      <c r="P87" s="2122" t="s">
        <v>3053</v>
      </c>
      <c r="Q87" s="2128">
        <v>2</v>
      </c>
      <c r="R87" s="2128" t="s">
        <v>436</v>
      </c>
      <c r="S87" s="2118" t="s">
        <v>258</v>
      </c>
      <c r="T87" s="2118" t="s">
        <v>801</v>
      </c>
      <c r="U87" s="2119" t="s">
        <v>255</v>
      </c>
      <c r="V87" s="2129"/>
      <c r="W87" s="2130"/>
    </row>
    <row r="88" spans="2:23" ht="19.5" thickBot="1" x14ac:dyDescent="0.4">
      <c r="B88" s="2131" t="s">
        <v>440</v>
      </c>
      <c r="C88" s="2132" t="s">
        <v>3054</v>
      </c>
      <c r="D88" s="2133">
        <v>11.542299999999999</v>
      </c>
      <c r="E88" s="2133">
        <v>11.542299999999999</v>
      </c>
      <c r="F88" s="2133">
        <v>11.542299999999999</v>
      </c>
      <c r="G88" s="2133">
        <v>11.542299999999999</v>
      </c>
      <c r="H88" s="2419">
        <v>7.0000000000000007E-2</v>
      </c>
      <c r="I88" s="2133">
        <v>11.542299999999999</v>
      </c>
      <c r="J88" s="2133">
        <v>11.542299999999999</v>
      </c>
      <c r="K88" s="2133">
        <v>11.542299999999999</v>
      </c>
      <c r="L88" s="2134">
        <v>11.854799999999999</v>
      </c>
      <c r="M88" s="2134">
        <v>11.854799999999999</v>
      </c>
      <c r="N88" s="2135" t="s">
        <v>3040</v>
      </c>
      <c r="O88" s="2136" t="s">
        <v>3041</v>
      </c>
      <c r="P88" s="2137" t="s">
        <v>3055</v>
      </c>
      <c r="Q88" s="2138">
        <v>1</v>
      </c>
      <c r="R88" s="2138" t="s">
        <v>436</v>
      </c>
      <c r="S88" s="2138" t="s">
        <v>258</v>
      </c>
      <c r="T88" s="2138" t="s">
        <v>801</v>
      </c>
      <c r="U88" s="2139" t="s">
        <v>255</v>
      </c>
      <c r="V88" s="2132"/>
      <c r="W88" s="2140"/>
    </row>
    <row r="89" spans="2:23" ht="18" x14ac:dyDescent="0.35">
      <c r="B89" s="2141" t="s">
        <v>3056</v>
      </c>
      <c r="C89" s="2142" t="s">
        <v>3045</v>
      </c>
      <c r="D89" s="2143">
        <v>0.04</v>
      </c>
      <c r="E89" s="2143">
        <v>0.04</v>
      </c>
      <c r="F89" s="2143">
        <v>0.04</v>
      </c>
      <c r="G89" s="2143">
        <v>0.04</v>
      </c>
      <c r="H89" s="2143">
        <v>0.04</v>
      </c>
      <c r="I89" s="2143">
        <v>0.04</v>
      </c>
      <c r="J89" s="2143">
        <v>0.04</v>
      </c>
      <c r="K89" s="2143">
        <v>0.04</v>
      </c>
      <c r="L89" s="2144">
        <v>0.04</v>
      </c>
      <c r="M89" s="2144">
        <v>0.04</v>
      </c>
      <c r="N89" s="2143">
        <v>0</v>
      </c>
      <c r="O89" s="2145">
        <v>100</v>
      </c>
      <c r="P89" s="2146" t="s">
        <v>1856</v>
      </c>
      <c r="Q89" s="2147">
        <v>2</v>
      </c>
      <c r="R89" s="2147" t="s">
        <v>28</v>
      </c>
      <c r="S89" s="2147" t="s">
        <v>258</v>
      </c>
      <c r="T89" s="2147" t="s">
        <v>3057</v>
      </c>
      <c r="U89" s="2148" t="s">
        <v>4617</v>
      </c>
      <c r="V89" s="2142"/>
      <c r="W89" s="2149"/>
    </row>
    <row r="90" spans="2:23" ht="18" x14ac:dyDescent="0.35">
      <c r="B90" s="2105" t="s">
        <v>3058</v>
      </c>
      <c r="C90" s="2113" t="s">
        <v>3047</v>
      </c>
      <c r="D90" s="2150" t="s">
        <v>1209</v>
      </c>
      <c r="E90" s="2072">
        <v>1E-50</v>
      </c>
      <c r="F90" s="2150" t="s">
        <v>1209</v>
      </c>
      <c r="G90" s="2150" t="s">
        <v>1209</v>
      </c>
      <c r="H90" s="2150" t="s">
        <v>1209</v>
      </c>
      <c r="I90" s="2150" t="s">
        <v>1209</v>
      </c>
      <c r="J90" s="2150" t="s">
        <v>1209</v>
      </c>
      <c r="K90" s="2150" t="s">
        <v>1209</v>
      </c>
      <c r="L90" s="2151" t="s">
        <v>1209</v>
      </c>
      <c r="M90" s="2151" t="s">
        <v>1209</v>
      </c>
      <c r="N90" s="2150">
        <v>0</v>
      </c>
      <c r="O90" s="2070">
        <v>100</v>
      </c>
      <c r="P90" s="2109" t="s">
        <v>1856</v>
      </c>
      <c r="Q90" s="2110">
        <v>2</v>
      </c>
      <c r="R90" s="2110" t="s">
        <v>28</v>
      </c>
      <c r="S90" s="2110" t="s">
        <v>258</v>
      </c>
      <c r="T90" s="2110" t="s">
        <v>3057</v>
      </c>
      <c r="U90" s="2087" t="s">
        <v>148</v>
      </c>
      <c r="V90" s="2106"/>
      <c r="W90" s="2112"/>
    </row>
    <row r="91" spans="2:23" ht="18" x14ac:dyDescent="0.35">
      <c r="B91" s="2105" t="s">
        <v>3059</v>
      </c>
      <c r="C91" s="2113" t="s">
        <v>3049</v>
      </c>
      <c r="D91" s="2150" t="s">
        <v>1209</v>
      </c>
      <c r="E91" s="2072">
        <v>1E-50</v>
      </c>
      <c r="F91" s="2150" t="s">
        <v>1209</v>
      </c>
      <c r="G91" s="2150" t="s">
        <v>1209</v>
      </c>
      <c r="H91" s="2150" t="s">
        <v>1209</v>
      </c>
      <c r="I91" s="2150" t="s">
        <v>1209</v>
      </c>
      <c r="J91" s="2150" t="s">
        <v>1209</v>
      </c>
      <c r="K91" s="2150" t="s">
        <v>1209</v>
      </c>
      <c r="L91" s="2151" t="s">
        <v>1209</v>
      </c>
      <c r="M91" s="2151" t="s">
        <v>1209</v>
      </c>
      <c r="N91" s="2150">
        <v>0</v>
      </c>
      <c r="O91" s="2070">
        <v>100</v>
      </c>
      <c r="P91" s="2109" t="s">
        <v>1856</v>
      </c>
      <c r="Q91" s="2110">
        <v>2</v>
      </c>
      <c r="R91" s="2110" t="s">
        <v>28</v>
      </c>
      <c r="S91" s="2110" t="s">
        <v>258</v>
      </c>
      <c r="T91" s="2110" t="s">
        <v>3057</v>
      </c>
      <c r="U91" s="2087" t="s">
        <v>148</v>
      </c>
      <c r="V91" s="2106"/>
      <c r="W91" s="2112"/>
    </row>
    <row r="92" spans="2:23" ht="18" x14ac:dyDescent="0.35">
      <c r="B92" s="2105" t="s">
        <v>3060</v>
      </c>
      <c r="C92" s="2111" t="s">
        <v>3050</v>
      </c>
      <c r="D92" s="2150">
        <v>20.95</v>
      </c>
      <c r="E92" s="2150">
        <v>20.95</v>
      </c>
      <c r="F92" s="2150">
        <v>20.95</v>
      </c>
      <c r="G92" s="2150">
        <v>20.95</v>
      </c>
      <c r="H92" s="2150">
        <v>20.95</v>
      </c>
      <c r="I92" s="2150">
        <v>20.95</v>
      </c>
      <c r="J92" s="2150">
        <v>20.95</v>
      </c>
      <c r="K92" s="2150">
        <v>20.95</v>
      </c>
      <c r="L92" s="2151">
        <v>20.95</v>
      </c>
      <c r="M92" s="2151">
        <v>20.95</v>
      </c>
      <c r="N92" s="2150">
        <v>0</v>
      </c>
      <c r="O92" s="2070">
        <v>100</v>
      </c>
      <c r="P92" s="2109" t="s">
        <v>1856</v>
      </c>
      <c r="Q92" s="2110">
        <v>2</v>
      </c>
      <c r="R92" s="2118" t="s">
        <v>28</v>
      </c>
      <c r="S92" s="2118" t="s">
        <v>258</v>
      </c>
      <c r="T92" s="2118" t="s">
        <v>3057</v>
      </c>
      <c r="U92" s="2119" t="s">
        <v>4616</v>
      </c>
      <c r="V92" s="2106"/>
      <c r="W92" s="2112"/>
    </row>
    <row r="93" spans="2:23" ht="18" x14ac:dyDescent="0.35">
      <c r="B93" s="2105" t="s">
        <v>3061</v>
      </c>
      <c r="C93" s="2120" t="s">
        <v>3052</v>
      </c>
      <c r="D93" s="2150" t="s">
        <v>1209</v>
      </c>
      <c r="E93" s="2072">
        <v>1E-50</v>
      </c>
      <c r="F93" s="2150" t="s">
        <v>1209</v>
      </c>
      <c r="G93" s="2150" t="s">
        <v>1209</v>
      </c>
      <c r="H93" s="2150" t="s">
        <v>1209</v>
      </c>
      <c r="I93" s="2150" t="s">
        <v>1209</v>
      </c>
      <c r="J93" s="2150" t="s">
        <v>1209</v>
      </c>
      <c r="K93" s="2150" t="s">
        <v>1209</v>
      </c>
      <c r="L93" s="2151" t="s">
        <v>1209</v>
      </c>
      <c r="M93" s="2151" t="s">
        <v>1209</v>
      </c>
      <c r="N93" s="2150">
        <v>0</v>
      </c>
      <c r="O93" s="2070">
        <v>100</v>
      </c>
      <c r="P93" s="2109" t="s">
        <v>1856</v>
      </c>
      <c r="Q93" s="2110">
        <v>2</v>
      </c>
      <c r="R93" s="2118" t="s">
        <v>28</v>
      </c>
      <c r="S93" s="2118" t="s">
        <v>258</v>
      </c>
      <c r="T93" s="2118" t="s">
        <v>3057</v>
      </c>
      <c r="U93" s="2119" t="s">
        <v>255</v>
      </c>
      <c r="V93" s="2106"/>
      <c r="W93" s="2112"/>
    </row>
    <row r="94" spans="2:23" ht="18" x14ac:dyDescent="0.35">
      <c r="B94" s="2123" t="s">
        <v>3599</v>
      </c>
      <c r="C94" s="2124" t="s">
        <v>3598</v>
      </c>
      <c r="D94" s="2125" t="s">
        <v>1209</v>
      </c>
      <c r="E94" s="2072">
        <v>1E-50</v>
      </c>
      <c r="F94" s="2125" t="s">
        <v>1209</v>
      </c>
      <c r="G94" s="2150" t="s">
        <v>1209</v>
      </c>
      <c r="H94" s="2150" t="s">
        <v>1209</v>
      </c>
      <c r="I94" s="2150" t="s">
        <v>1209</v>
      </c>
      <c r="J94" s="2150" t="s">
        <v>1209</v>
      </c>
      <c r="K94" s="2150" t="s">
        <v>1209</v>
      </c>
      <c r="L94" s="2151" t="s">
        <v>1209</v>
      </c>
      <c r="M94" s="2151" t="s">
        <v>1209</v>
      </c>
      <c r="N94" s="2150">
        <v>0</v>
      </c>
      <c r="O94" s="2070">
        <v>100</v>
      </c>
      <c r="P94" s="2152" t="s">
        <v>1856</v>
      </c>
      <c r="Q94" s="2128">
        <v>2</v>
      </c>
      <c r="R94" s="2118" t="s">
        <v>28</v>
      </c>
      <c r="S94" s="2118" t="s">
        <v>258</v>
      </c>
      <c r="T94" s="2118" t="s">
        <v>3057</v>
      </c>
      <c r="U94" s="2119" t="s">
        <v>255</v>
      </c>
      <c r="V94" s="2129"/>
      <c r="W94" s="2130"/>
    </row>
    <row r="95" spans="2:23" ht="18" x14ac:dyDescent="0.35">
      <c r="B95" s="2123" t="s">
        <v>3600</v>
      </c>
      <c r="C95" s="2124" t="s">
        <v>3597</v>
      </c>
      <c r="D95" s="2125" t="s">
        <v>1209</v>
      </c>
      <c r="E95" s="2072">
        <v>1E-50</v>
      </c>
      <c r="F95" s="2125" t="s">
        <v>1209</v>
      </c>
      <c r="G95" s="2150" t="s">
        <v>1209</v>
      </c>
      <c r="H95" s="2150" t="s">
        <v>1209</v>
      </c>
      <c r="I95" s="2150" t="s">
        <v>1209</v>
      </c>
      <c r="J95" s="2150" t="s">
        <v>1209</v>
      </c>
      <c r="K95" s="2150" t="s">
        <v>1209</v>
      </c>
      <c r="L95" s="2151" t="s">
        <v>1209</v>
      </c>
      <c r="M95" s="2151" t="s">
        <v>1209</v>
      </c>
      <c r="N95" s="2150">
        <v>0</v>
      </c>
      <c r="O95" s="2070">
        <v>100</v>
      </c>
      <c r="P95" s="2152" t="s">
        <v>1856</v>
      </c>
      <c r="Q95" s="2128">
        <v>2</v>
      </c>
      <c r="R95" s="2118" t="s">
        <v>28</v>
      </c>
      <c r="S95" s="2118" t="s">
        <v>258</v>
      </c>
      <c r="T95" s="2118" t="s">
        <v>3057</v>
      </c>
      <c r="U95" s="2119" t="s">
        <v>255</v>
      </c>
      <c r="V95" s="2129"/>
      <c r="W95" s="2130"/>
    </row>
    <row r="96" spans="2:23" ht="18.75" thickBot="1" x14ac:dyDescent="0.4">
      <c r="B96" s="2131" t="s">
        <v>3062</v>
      </c>
      <c r="C96" s="2132" t="s">
        <v>3054</v>
      </c>
      <c r="D96" s="2153">
        <v>79.010000000000005</v>
      </c>
      <c r="E96" s="2153">
        <v>79.010000000000005</v>
      </c>
      <c r="F96" s="2153">
        <v>79.010000000000005</v>
      </c>
      <c r="G96" s="2153">
        <v>79.010000000000005</v>
      </c>
      <c r="H96" s="2153">
        <v>79.010000000000005</v>
      </c>
      <c r="I96" s="2153">
        <v>79.010000000000005</v>
      </c>
      <c r="J96" s="2153">
        <v>79.010000000000005</v>
      </c>
      <c r="K96" s="2153">
        <v>79.010000000000005</v>
      </c>
      <c r="L96" s="2154">
        <v>79.010000000000005</v>
      </c>
      <c r="M96" s="2154">
        <v>79.010000000000005</v>
      </c>
      <c r="N96" s="2153">
        <v>0</v>
      </c>
      <c r="O96" s="2136">
        <v>100</v>
      </c>
      <c r="P96" s="2155" t="s">
        <v>1856</v>
      </c>
      <c r="Q96" s="2138">
        <v>2</v>
      </c>
      <c r="R96" s="2138" t="s">
        <v>28</v>
      </c>
      <c r="S96" s="2138" t="s">
        <v>258</v>
      </c>
      <c r="T96" s="2138" t="s">
        <v>3057</v>
      </c>
      <c r="U96" s="2139" t="s">
        <v>255</v>
      </c>
      <c r="V96" s="2132"/>
      <c r="W96" s="2140"/>
    </row>
  </sheetData>
  <phoneticPr fontId="30" type="noConversion"/>
  <conditionalFormatting sqref="C62 C64 C66 C68">
    <cfRule type="cellIs" dxfId="143" priority="2" operator="equal">
      <formula>0</formula>
    </cfRule>
  </conditionalFormatting>
  <conditionalFormatting sqref="C63 C65 C67">
    <cfRule type="cellIs" dxfId="142" priority="1" operator="equal">
      <formula>0</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5"/>
  <dimension ref="B1:G4"/>
  <sheetViews>
    <sheetView showGridLines="0" workbookViewId="0">
      <selection activeCell="D23" sqref="D23"/>
    </sheetView>
  </sheetViews>
  <sheetFormatPr baseColWidth="10" defaultColWidth="9.140625" defaultRowHeight="15" x14ac:dyDescent="0.25"/>
  <cols>
    <col min="1" max="1" width="16.85546875" customWidth="1"/>
    <col min="2" max="2" width="7.5703125" bestFit="1" customWidth="1"/>
    <col min="3" max="3" width="19.28515625" customWidth="1"/>
    <col min="4" max="4" width="51.85546875" customWidth="1"/>
    <col min="5" max="5" width="4.85546875" bestFit="1" customWidth="1"/>
    <col min="6" max="6" width="5" bestFit="1" customWidth="1"/>
    <col min="7" max="7" width="22.28515625" customWidth="1"/>
  </cols>
  <sheetData>
    <row r="1" spans="2:7" s="45" customFormat="1" ht="57.75" customHeight="1" thickBot="1" x14ac:dyDescent="0.3"/>
    <row r="2" spans="2:7" ht="15.75" thickBot="1" x14ac:dyDescent="0.3">
      <c r="B2" s="4"/>
      <c r="C2" s="60" t="s">
        <v>115</v>
      </c>
      <c r="D2" s="61" t="s">
        <v>118</v>
      </c>
      <c r="E2" s="4"/>
      <c r="F2" s="4"/>
      <c r="G2" s="4"/>
    </row>
    <row r="3" spans="2:7" x14ac:dyDescent="0.25">
      <c r="B3" s="55" t="s">
        <v>0</v>
      </c>
      <c r="C3" s="56" t="s">
        <v>1</v>
      </c>
      <c r="D3" s="56" t="s">
        <v>5</v>
      </c>
      <c r="E3" s="57" t="s">
        <v>2</v>
      </c>
      <c r="F3" s="58" t="s">
        <v>116</v>
      </c>
      <c r="G3" s="59" t="s">
        <v>117</v>
      </c>
    </row>
    <row r="4" spans="2:7" x14ac:dyDescent="0.25">
      <c r="B4" s="6"/>
      <c r="C4" s="6"/>
      <c r="D4" s="6"/>
      <c r="E4" s="6"/>
      <c r="F4" s="6"/>
      <c r="G4" s="6"/>
    </row>
  </sheetData>
  <phoneticPr fontId="30"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6"/>
  <dimension ref="B1:G4"/>
  <sheetViews>
    <sheetView showGridLines="0" workbookViewId="0">
      <selection activeCell="C2" sqref="C2"/>
    </sheetView>
  </sheetViews>
  <sheetFormatPr baseColWidth="10" defaultColWidth="9.140625" defaultRowHeight="15" x14ac:dyDescent="0.25"/>
  <cols>
    <col min="2" max="2" width="15.140625" customWidth="1"/>
    <col min="3" max="3" width="24.85546875" customWidth="1"/>
    <col min="4" max="4" width="20.85546875" customWidth="1"/>
    <col min="7" max="7" width="23.28515625" customWidth="1"/>
  </cols>
  <sheetData>
    <row r="1" spans="2:7" s="45" customFormat="1" ht="43.5" customHeight="1" thickBot="1" x14ac:dyDescent="0.3"/>
    <row r="2" spans="2:7" ht="15.75" thickBot="1" x14ac:dyDescent="0.3">
      <c r="B2" s="4"/>
      <c r="C2" s="2" t="s">
        <v>115</v>
      </c>
      <c r="D2" s="14"/>
      <c r="E2" s="4"/>
      <c r="F2" s="4"/>
      <c r="G2" s="4"/>
    </row>
    <row r="3" spans="2:7" x14ac:dyDescent="0.25">
      <c r="B3" s="15" t="s">
        <v>0</v>
      </c>
      <c r="C3" s="16" t="s">
        <v>1</v>
      </c>
      <c r="D3" s="16" t="s">
        <v>5</v>
      </c>
      <c r="E3" s="17" t="s">
        <v>2</v>
      </c>
      <c r="F3" s="18" t="s">
        <v>116</v>
      </c>
      <c r="G3" s="19" t="s">
        <v>117</v>
      </c>
    </row>
    <row r="4" spans="2:7" x14ac:dyDescent="0.25">
      <c r="B4" s="6"/>
      <c r="C4" s="6"/>
      <c r="D4" s="6"/>
      <c r="E4" s="6"/>
      <c r="F4" s="6"/>
      <c r="G4" s="6"/>
    </row>
  </sheetData>
  <phoneticPr fontId="3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9"/>
  <dimension ref="A1:R804"/>
  <sheetViews>
    <sheetView showGridLines="0" zoomScaleNormal="100" workbookViewId="0">
      <pane ySplit="1" topLeftCell="A2" activePane="bottomLeft" state="frozen"/>
      <selection pane="bottomLeft"/>
    </sheetView>
  </sheetViews>
  <sheetFormatPr baseColWidth="10" defaultColWidth="9.140625" defaultRowHeight="15" outlineLevelRow="1" x14ac:dyDescent="0.25"/>
  <cols>
    <col min="1" max="1" width="3.5703125" style="103" customWidth="1"/>
    <col min="2" max="2" width="23.140625" style="103" bestFit="1" customWidth="1"/>
    <col min="3" max="3" width="71.28515625" style="103" customWidth="1"/>
    <col min="4" max="4" width="78.85546875" style="103" customWidth="1"/>
    <col min="5" max="5" width="20.5703125" style="952" customWidth="1"/>
    <col min="6" max="6" width="15" style="103" customWidth="1"/>
    <col min="7" max="7" width="12" style="103" bestFit="1" customWidth="1"/>
    <col min="8" max="8" width="50.140625" style="103" bestFit="1" customWidth="1"/>
    <col min="9" max="9" width="57.140625" style="103" customWidth="1"/>
    <col min="10" max="10" width="33.140625" style="103" bestFit="1" customWidth="1"/>
    <col min="11" max="11" width="33.85546875" style="103" customWidth="1"/>
    <col min="12" max="12" width="26.28515625" style="103" customWidth="1"/>
    <col min="13" max="16384" width="9.140625" style="103"/>
  </cols>
  <sheetData>
    <row r="1" spans="1:9" s="927" customFormat="1" ht="50.1" customHeight="1" thickBot="1" x14ac:dyDescent="0.3">
      <c r="A1" s="927" t="s">
        <v>1216</v>
      </c>
      <c r="E1" s="950"/>
    </row>
    <row r="2" spans="1:9" ht="15.75" thickBot="1" x14ac:dyDescent="0.3">
      <c r="C2" s="129" t="s">
        <v>320</v>
      </c>
      <c r="D2" s="2051" t="s">
        <v>317</v>
      </c>
      <c r="E2" s="2226"/>
    </row>
    <row r="3" spans="1:9" ht="15.75" thickBot="1" x14ac:dyDescent="0.3">
      <c r="B3" s="1119" t="s">
        <v>0</v>
      </c>
      <c r="C3" s="940" t="s">
        <v>1</v>
      </c>
      <c r="D3" s="940" t="s">
        <v>5</v>
      </c>
      <c r="E3" s="940" t="s">
        <v>152</v>
      </c>
      <c r="F3" s="940" t="s">
        <v>2</v>
      </c>
      <c r="G3" s="940" t="s">
        <v>300</v>
      </c>
      <c r="H3" s="940" t="s">
        <v>116</v>
      </c>
      <c r="I3" s="1120" t="s">
        <v>117</v>
      </c>
    </row>
    <row r="4" spans="1:9" ht="18" hidden="1" customHeight="1" outlineLevel="1" x14ac:dyDescent="0.25">
      <c r="B4" s="2156" t="s">
        <v>1735</v>
      </c>
      <c r="C4" s="2185" t="s">
        <v>282</v>
      </c>
      <c r="D4" s="2185" t="s">
        <v>4983</v>
      </c>
      <c r="E4" s="2227">
        <f>X_OHO+X_CASTO+X_MEOLO+X_AOB+X_NOB+X_AMX+X_AMETO+X_HMETO+X_ALGAE</f>
        <v>1055.5</v>
      </c>
      <c r="F4" s="2185" t="s">
        <v>1179</v>
      </c>
      <c r="G4" s="2185">
        <v>1</v>
      </c>
      <c r="H4" s="2185"/>
      <c r="I4" s="2275"/>
    </row>
    <row r="5" spans="1:9" s="112" customFormat="1" ht="18" hidden="1" outlineLevel="1" x14ac:dyDescent="0.25">
      <c r="B5" s="2157" t="s">
        <v>5023</v>
      </c>
      <c r="C5" s="2186" t="s">
        <v>5024</v>
      </c>
      <c r="D5" s="1965" t="s">
        <v>5031</v>
      </c>
      <c r="E5" s="2228">
        <f>X_OHO+X_CASTO+X_AMETO</f>
        <v>1000.3</v>
      </c>
      <c r="F5" s="2259" t="s">
        <v>1179</v>
      </c>
      <c r="G5" s="2259">
        <v>1</v>
      </c>
      <c r="H5" s="2259"/>
      <c r="I5" s="2276"/>
    </row>
    <row r="6" spans="1:9" ht="18" hidden="1" customHeight="1" outlineLevel="1" x14ac:dyDescent="0.25">
      <c r="B6" s="2158" t="s">
        <v>1736</v>
      </c>
      <c r="C6" s="2187" t="s">
        <v>2603</v>
      </c>
      <c r="D6" s="2187" t="s">
        <v>5443</v>
      </c>
      <c r="E6" s="2229">
        <f>X_BIO+X_B+X_B_e+X_U+X_PHA_PAO+X_PHA_GAO+X_E_ana+X_E</f>
        <v>2457.6</v>
      </c>
      <c r="F6" s="2187" t="s">
        <v>1179</v>
      </c>
      <c r="G6" s="2187">
        <v>1</v>
      </c>
      <c r="H6" s="2187"/>
      <c r="I6" s="2042"/>
    </row>
    <row r="7" spans="1:9" s="1192" customFormat="1" ht="18" hidden="1" customHeight="1" outlineLevel="1" x14ac:dyDescent="0.25">
      <c r="B7" s="2159" t="s">
        <v>2906</v>
      </c>
      <c r="C7" s="2188" t="s">
        <v>2907</v>
      </c>
      <c r="D7" s="2212" t="s">
        <v>2913</v>
      </c>
      <c r="E7" s="2230">
        <f>S_B+S_VFA+S_MEOL</f>
        <v>1.01</v>
      </c>
      <c r="F7" s="2187" t="s">
        <v>1179</v>
      </c>
      <c r="G7" s="2188">
        <v>1</v>
      </c>
      <c r="H7" s="2188"/>
      <c r="I7" s="2277"/>
    </row>
    <row r="8" spans="1:9" s="1192" customFormat="1" ht="18" hidden="1" customHeight="1" outlineLevel="1" x14ac:dyDescent="0.25">
      <c r="B8" s="2159" t="s">
        <v>2908</v>
      </c>
      <c r="C8" s="2188" t="s">
        <v>2909</v>
      </c>
      <c r="D8" s="2188" t="s">
        <v>5548</v>
      </c>
      <c r="E8" s="2230">
        <f>X_B+X_B_e+C_B</f>
        <v>79.010000000000005</v>
      </c>
      <c r="F8" s="2187" t="s">
        <v>1179</v>
      </c>
      <c r="G8" s="2188">
        <v>1</v>
      </c>
      <c r="H8" s="2188"/>
      <c r="I8" s="2277"/>
    </row>
    <row r="9" spans="1:9" ht="18" hidden="1" customHeight="1" outlineLevel="1" x14ac:dyDescent="0.25">
      <c r="B9" s="2158" t="s">
        <v>1737</v>
      </c>
      <c r="C9" s="2187" t="s">
        <v>2604</v>
      </c>
      <c r="D9" s="2187" t="s">
        <v>1738</v>
      </c>
      <c r="E9" s="2229">
        <f>X_BIO/i_CV_BIO</f>
        <v>743.30985915492965</v>
      </c>
      <c r="F9" s="2187" t="s">
        <v>1739</v>
      </c>
      <c r="G9" s="2187">
        <v>1</v>
      </c>
      <c r="H9" s="2187"/>
      <c r="I9" s="2042"/>
    </row>
    <row r="10" spans="1:9" ht="36" hidden="1" customHeight="1" outlineLevel="1" x14ac:dyDescent="0.25">
      <c r="B10" s="2158" t="s">
        <v>1740</v>
      </c>
      <c r="C10" s="2187" t="s">
        <v>2087</v>
      </c>
      <c r="D10" s="2023" t="s">
        <v>5444</v>
      </c>
      <c r="E10" s="2229">
        <f>X_VSS_BIO+X_B/i_CV_XB+X_B_e/i_CV_XBe+X_U/i_CV_XU+X_PHA_PAO/i_CV_PHA+X_PHA_GAO/i_CV_PHA+X_E_ana/i_CV_XE+X_E/i_CV_XE+f_H2O_HFO_VSS*X_HFO*M_MFeOH3/A_MFe+f_H2O_HAO_VSS*X_HAO*M_MAlOH3/A_MAl</f>
        <v>1791.2183915757478</v>
      </c>
      <c r="F10" s="2187" t="s">
        <v>1739</v>
      </c>
      <c r="G10" s="2187">
        <v>1</v>
      </c>
      <c r="H10" s="2187"/>
      <c r="I10" s="2042"/>
    </row>
    <row r="11" spans="1:9" ht="18" hidden="1" customHeight="1" outlineLevel="1" x14ac:dyDescent="0.25">
      <c r="B11" s="2158" t="s">
        <v>1743</v>
      </c>
      <c r="C11" s="2187" t="s">
        <v>2086</v>
      </c>
      <c r="D11" s="2186" t="s">
        <v>5136</v>
      </c>
      <c r="E11" s="2229">
        <f>X_VSS+S_U/i_CV_SU+S_B/i_CV_SB+f_VFA_DM*S_VFA/i_CV_VFA+C_B/i_CV_CB+C_U/i_CV_CU</f>
        <v>1799.7338114228353</v>
      </c>
      <c r="F11" s="2187" t="s">
        <v>1744</v>
      </c>
      <c r="G11" s="2187">
        <v>1</v>
      </c>
      <c r="H11" s="2187"/>
      <c r="I11" s="2042"/>
    </row>
    <row r="12" spans="1:9" ht="18" hidden="1" customHeight="1" outlineLevel="1" x14ac:dyDescent="0.25">
      <c r="B12" s="2158" t="s">
        <v>2088</v>
      </c>
      <c r="C12" s="2187" t="s">
        <v>2605</v>
      </c>
      <c r="D12" s="2187" t="s">
        <v>2596</v>
      </c>
      <c r="E12" s="2229">
        <f>X_U/i_CV_XU+S_U/i_CV_SU+C_U/i_CV_CU</f>
        <v>776.79785678684163</v>
      </c>
      <c r="F12" s="2187" t="s">
        <v>1744</v>
      </c>
      <c r="G12" s="2187">
        <v>1</v>
      </c>
      <c r="H12" s="2187"/>
      <c r="I12" s="2042"/>
    </row>
    <row r="13" spans="1:9" ht="18" hidden="1" customHeight="1" outlineLevel="1" x14ac:dyDescent="0.25">
      <c r="B13" s="2158" t="s">
        <v>1994</v>
      </c>
      <c r="C13" s="2187" t="s">
        <v>2128</v>
      </c>
      <c r="D13" s="2023" t="s">
        <v>4235</v>
      </c>
      <c r="E13" s="2229">
        <f>X_CaCO3+X_ACP+X_STR+X_Vivi+X_BSH</f>
        <v>4.9999999999999997E-50</v>
      </c>
      <c r="F13" s="2187" t="s">
        <v>1742</v>
      </c>
      <c r="G13" s="2187">
        <v>1</v>
      </c>
      <c r="H13" s="2187"/>
      <c r="I13" s="2042"/>
    </row>
    <row r="14" spans="1:9" s="112" customFormat="1" ht="54" hidden="1" outlineLevel="1" x14ac:dyDescent="0.25">
      <c r="B14" s="2157" t="s">
        <v>4862</v>
      </c>
      <c r="C14" s="1965" t="s">
        <v>4863</v>
      </c>
      <c r="D14" s="1965" t="s">
        <v>4864</v>
      </c>
      <c r="E14" s="2231">
        <f>(1-f_H2O_HFO_VSS)*X_HFO*M_MFeOH3/A_MFe+(X_HFO_L_P+X_HFO_L_P_old)*A_SFHFO_L*(M_MPO4/A_MFe)+(X_HFO_H_P+X_HFO_H_P_old)*A_SFHFO_H*(M_MPO4/A_MFe)</f>
        <v>1.4297448294386249E-2</v>
      </c>
      <c r="F14" s="2187" t="s">
        <v>1742</v>
      </c>
      <c r="G14" s="2189">
        <v>1</v>
      </c>
      <c r="H14" s="2189"/>
      <c r="I14" s="2276"/>
    </row>
    <row r="15" spans="1:9" s="102" customFormat="1" ht="36" hidden="1" outlineLevel="1" x14ac:dyDescent="0.25">
      <c r="A15" s="112"/>
      <c r="B15" s="2157" t="s">
        <v>4865</v>
      </c>
      <c r="C15" s="1965" t="s">
        <v>4866</v>
      </c>
      <c r="D15" s="1965" t="s">
        <v>4867</v>
      </c>
      <c r="E15" s="2231">
        <f>(1-f_H2O_HAO_VSS)*X_HAO*M_MAlOH3/A_MAl+(X_HAO_L_P+X_HAO_L_P_old)*A_SFHAO_L*(M_MPO4/A_MAl)+(X_HAO_H_P+X_HAO_H_P_old)*A_SFHAO_H*(M_MPO4/A_MAl)</f>
        <v>1.8894650037988993E-2</v>
      </c>
      <c r="F15" s="2187" t="s">
        <v>1742</v>
      </c>
      <c r="G15" s="2189">
        <v>1</v>
      </c>
      <c r="H15" s="2189"/>
      <c r="I15" s="2276"/>
    </row>
    <row r="16" spans="1:9" s="102" customFormat="1" ht="18" hidden="1" outlineLevel="1" x14ac:dyDescent="0.25">
      <c r="A16" s="112"/>
      <c r="B16" s="2157" t="s">
        <v>4868</v>
      </c>
      <c r="C16" s="1965" t="s">
        <v>4869</v>
      </c>
      <c r="D16" s="1965" t="s">
        <v>4870</v>
      </c>
      <c r="E16" s="2231">
        <f>X_HFO_ISS+X_HAO_ISS</f>
        <v>3.3192098332375242E-2</v>
      </c>
      <c r="F16" s="2187" t="s">
        <v>1742</v>
      </c>
      <c r="G16" s="2189">
        <v>1</v>
      </c>
      <c r="H16" s="2189"/>
      <c r="I16" s="2276"/>
    </row>
    <row r="17" spans="2:9" s="102" customFormat="1" ht="36" hidden="1" outlineLevel="1" x14ac:dyDescent="0.25">
      <c r="B17" s="2157" t="s">
        <v>4871</v>
      </c>
      <c r="C17" s="2189" t="s">
        <v>4872</v>
      </c>
      <c r="D17" s="1965" t="s">
        <v>4878</v>
      </c>
      <c r="E17" s="2231">
        <f>(f_H2O_HFO_VSS-f_H2O_HFO_TSS)*X_HFO*M_MFeOH3/A_MFe+(f_H2O_HAO_VSS-f_H2O_HAO_TSS)*X_HAO*M_MAlOH3/A_MAl</f>
        <v>9.9865764606091728E-3</v>
      </c>
      <c r="F17" s="2189" t="s">
        <v>1739</v>
      </c>
      <c r="G17" s="2189">
        <v>1</v>
      </c>
      <c r="H17" s="2189"/>
      <c r="I17" s="2278"/>
    </row>
    <row r="18" spans="2:9" ht="54" hidden="1" customHeight="1" outlineLevel="1" x14ac:dyDescent="0.25">
      <c r="B18" s="2160" t="s">
        <v>1995</v>
      </c>
      <c r="C18" s="2023" t="s">
        <v>1996</v>
      </c>
      <c r="D18" s="2023" t="s">
        <v>4236</v>
      </c>
      <c r="E18" s="2232">
        <f>(1-f_H2O_HFO_TSS)*X_HFO*M_MFeOH3/A_MFe+(X_HFO_L_P+X_HFO_L_P_old)*A_SFHFO_L*(M_MPO4/A_MFe)+(X_HFO_H_P+X_HFO_H_P_old)*A_SFHFO_H*(M_MPO4/A_MFe)</f>
        <v>1.7549958643029814E-2</v>
      </c>
      <c r="F18" s="2023" t="s">
        <v>1742</v>
      </c>
      <c r="G18" s="2023">
        <v>1</v>
      </c>
      <c r="H18" s="2023"/>
      <c r="I18" s="2036"/>
    </row>
    <row r="19" spans="2:9" s="104" customFormat="1" ht="36" hidden="1" customHeight="1" outlineLevel="1" x14ac:dyDescent="0.25">
      <c r="B19" s="2160" t="s">
        <v>4237</v>
      </c>
      <c r="C19" s="2023" t="s">
        <v>4238</v>
      </c>
      <c r="D19" s="2023" t="s">
        <v>4239</v>
      </c>
      <c r="E19" s="2232">
        <f>(1-f_H2O_HAO_TSS)*X_HAO*M_MAlOH3/A_MAl+(X_HAO_L_P+X_HAO_L_P_old)*A_SFHAO_L*(M_MPO4/A_MAl)+(X_HAO_H_P+X_HAO_H_P_old)*A_SFHAO_H*(M_MPO4/A_MAl)</f>
        <v>2.5628716149954593E-2</v>
      </c>
      <c r="F19" s="2023" t="s">
        <v>1742</v>
      </c>
      <c r="G19" s="2023">
        <v>1</v>
      </c>
      <c r="H19" s="2023"/>
      <c r="I19" s="2279"/>
    </row>
    <row r="20" spans="2:9" s="104" customFormat="1" ht="18" hidden="1" customHeight="1" outlineLevel="1" x14ac:dyDescent="0.25">
      <c r="B20" s="2158" t="s">
        <v>2939</v>
      </c>
      <c r="C20" s="2190" t="s">
        <v>2940</v>
      </c>
      <c r="D20" s="2023" t="s">
        <v>4240</v>
      </c>
      <c r="E20" s="2233">
        <f>X_HFO_TSS+X_HAO_TSS</f>
        <v>4.3178674792984408E-2</v>
      </c>
      <c r="F20" s="2190" t="s">
        <v>1742</v>
      </c>
      <c r="G20" s="2190">
        <v>1</v>
      </c>
      <c r="H20" s="2190"/>
      <c r="I20" s="2280"/>
    </row>
    <row r="21" spans="2:9" s="102" customFormat="1" ht="18" hidden="1" outlineLevel="1" x14ac:dyDescent="0.25">
      <c r="B21" s="2157" t="s">
        <v>4873</v>
      </c>
      <c r="C21" s="2189" t="s">
        <v>4874</v>
      </c>
      <c r="D21" s="1965" t="s">
        <v>4877</v>
      </c>
      <c r="E21" s="2231">
        <f>f_H2O_HFO_TSS*X_HFO*M_MFeOH3/A_MFe+f_H2O_HAO_TSS*X_HAO*M_MAlOH3/A_MAl</f>
        <v>4.8676896521996213E-3</v>
      </c>
      <c r="F21" s="2189" t="s">
        <v>1739</v>
      </c>
      <c r="G21" s="2189">
        <v>1</v>
      </c>
      <c r="H21" s="2189"/>
      <c r="I21" s="2278"/>
    </row>
    <row r="22" spans="2:9" ht="18" hidden="1" customHeight="1" outlineLevel="1" x14ac:dyDescent="0.25">
      <c r="B22" s="2158" t="s">
        <v>1993</v>
      </c>
      <c r="C22" s="2187" t="s">
        <v>2606</v>
      </c>
      <c r="D22" s="2187" t="s">
        <v>4875</v>
      </c>
      <c r="E22" s="2229">
        <f>X_Me_ISS+X_precip+X_INORG+i_TSS_PP*X_PP</f>
        <v>671.00093403381629</v>
      </c>
      <c r="F22" s="2187" t="s">
        <v>1742</v>
      </c>
      <c r="G22" s="2187">
        <v>1</v>
      </c>
      <c r="H22" s="2187"/>
      <c r="I22" s="2042"/>
    </row>
    <row r="23" spans="2:9" ht="18" hidden="1" customHeight="1" outlineLevel="1" x14ac:dyDescent="0.25">
      <c r="B23" s="2158" t="s">
        <v>1741</v>
      </c>
      <c r="C23" s="2187" t="s">
        <v>2607</v>
      </c>
      <c r="D23" s="1965" t="s">
        <v>4876</v>
      </c>
      <c r="E23" s="2229">
        <f>X_VSS+X_ISS-X_Me_H2O_TSS</f>
        <v>2462.2144579199121</v>
      </c>
      <c r="F23" s="2187" t="s">
        <v>1742</v>
      </c>
      <c r="G23" s="2187">
        <v>1</v>
      </c>
      <c r="H23" s="2187"/>
      <c r="I23" s="2042"/>
    </row>
    <row r="24" spans="2:9" ht="54" hidden="1" customHeight="1" outlineLevel="1" x14ac:dyDescent="0.25">
      <c r="B24" s="2158" t="s">
        <v>1998</v>
      </c>
      <c r="C24" s="2191" t="s">
        <v>1997</v>
      </c>
      <c r="D24" s="2187" t="s">
        <v>3646</v>
      </c>
      <c r="E24" s="2229">
        <f>X_TSS+S_U/i_CV_SU+S_B/i_CV_SB+f_VFA_DM*S_VFA/i_CV_VFA+C_B/i_CV_CB+C_U/i_CV_CU+S_NO3*M_MNO3/A_MN+S_NO2*M_MNO2/A_MN+S_NO*M_MNO/A_MN+S_N2O*M_MN2O/A_MN+S_PO4*M_MPO4/A_MP+S_CAT+S_AN+S_Ca+S_Mg+S_K+S_Fe2</f>
        <v>2859.8211301793126</v>
      </c>
      <c r="F24" s="2187" t="s">
        <v>3569</v>
      </c>
      <c r="G24" s="2187">
        <v>1</v>
      </c>
      <c r="H24" s="2187"/>
      <c r="I24" s="2042"/>
    </row>
    <row r="25" spans="2:9" ht="18.75" hidden="1" customHeight="1" outlineLevel="1" x14ac:dyDescent="0.25">
      <c r="B25" s="2158" t="s">
        <v>2090</v>
      </c>
      <c r="C25" s="2187" t="s">
        <v>2608</v>
      </c>
      <c r="D25" s="2187" t="s">
        <v>2093</v>
      </c>
      <c r="E25" s="2229">
        <f>Y_BOD_ult*(S_VFA+S_B+S_MEOL+C_B)</f>
        <v>0.96899999999999997</v>
      </c>
      <c r="F25" s="2188" t="s">
        <v>828</v>
      </c>
      <c r="G25" s="2187">
        <v>1</v>
      </c>
      <c r="H25" s="2187"/>
      <c r="I25" s="2036" t="s">
        <v>3520</v>
      </c>
    </row>
    <row r="26" spans="2:9" ht="18.75" hidden="1" customHeight="1" outlineLevel="1" x14ac:dyDescent="0.25">
      <c r="B26" s="2158" t="s">
        <v>2091</v>
      </c>
      <c r="C26" s="2187" t="s">
        <v>322</v>
      </c>
      <c r="D26" s="2187" t="s">
        <v>5445</v>
      </c>
      <c r="E26" s="2229">
        <f>Y_BOD_ult*(X_BIO+X_B+X_B_e+X_PHA_PAO+X_PHA_GAO)</f>
        <v>1099.625</v>
      </c>
      <c r="F26" s="2188" t="s">
        <v>828</v>
      </c>
      <c r="G26" s="2187">
        <v>1</v>
      </c>
      <c r="H26" s="2187"/>
      <c r="I26" s="2042"/>
    </row>
    <row r="27" spans="2:9" ht="18.75" hidden="1" customHeight="1" outlineLevel="1" x14ac:dyDescent="0.25">
      <c r="B27" s="2158" t="s">
        <v>2092</v>
      </c>
      <c r="C27" s="2187" t="s">
        <v>323</v>
      </c>
      <c r="D27" s="2187" t="s">
        <v>2094</v>
      </c>
      <c r="E27" s="2229">
        <f>S_BOD_ult+X_BOD_ult</f>
        <v>1100.5940000000001</v>
      </c>
      <c r="F27" s="2188" t="s">
        <v>828</v>
      </c>
      <c r="G27" s="2187">
        <v>1</v>
      </c>
      <c r="H27" s="2187"/>
      <c r="I27" s="2042"/>
    </row>
    <row r="28" spans="2:9" ht="18.75" hidden="1" customHeight="1" outlineLevel="1" x14ac:dyDescent="0.25">
      <c r="B28" s="2158" t="s">
        <v>324</v>
      </c>
      <c r="C28" s="2187" t="s">
        <v>2609</v>
      </c>
      <c r="D28" s="2187" t="s">
        <v>2904</v>
      </c>
      <c r="E28" s="2229">
        <f>Y_BOD_ult*(S_VFA+S_B+S_MEOL)*f_S_BOD5_BODult+Y_BOD_ult*C_B*f_C_BOD5_BODult</f>
        <v>0.86924999999999997</v>
      </c>
      <c r="F28" s="2188" t="s">
        <v>828</v>
      </c>
      <c r="G28" s="2187">
        <v>1</v>
      </c>
      <c r="H28" s="2187"/>
      <c r="I28" s="2042"/>
    </row>
    <row r="29" spans="2:9" ht="18.75" hidden="1" customHeight="1" outlineLevel="1" x14ac:dyDescent="0.25">
      <c r="B29" s="2158" t="s">
        <v>325</v>
      </c>
      <c r="C29" s="2187" t="s">
        <v>349</v>
      </c>
      <c r="D29" s="2187" t="s">
        <v>2905</v>
      </c>
      <c r="E29" s="2229">
        <f>X_BOD_ult*f_X_BOD5_BODult</f>
        <v>549.8125</v>
      </c>
      <c r="F29" s="2188" t="s">
        <v>828</v>
      </c>
      <c r="G29" s="2187">
        <v>1</v>
      </c>
      <c r="H29" s="2187"/>
      <c r="I29" s="2042"/>
    </row>
    <row r="30" spans="2:9" ht="18.75" hidden="1" customHeight="1" outlineLevel="1" x14ac:dyDescent="0.25">
      <c r="B30" s="2158" t="s">
        <v>326</v>
      </c>
      <c r="C30" s="2187" t="s">
        <v>350</v>
      </c>
      <c r="D30" s="2187" t="s">
        <v>2926</v>
      </c>
      <c r="E30" s="2229">
        <f>S_BOD_5+X_BOD_5</f>
        <v>550.68174999999997</v>
      </c>
      <c r="F30" s="2188" t="s">
        <v>828</v>
      </c>
      <c r="G30" s="2187">
        <v>1</v>
      </c>
      <c r="H30" s="2187"/>
      <c r="I30" s="2042"/>
    </row>
    <row r="31" spans="2:9" ht="18" hidden="1" customHeight="1" outlineLevel="1" x14ac:dyDescent="0.25">
      <c r="B31" s="2158" t="s">
        <v>327</v>
      </c>
      <c r="C31" s="2187" t="s">
        <v>352</v>
      </c>
      <c r="D31" s="2187" t="s">
        <v>1699</v>
      </c>
      <c r="E31" s="2229">
        <f>S_U+S_B+S_VFA+S_MEOL</f>
        <v>8.01</v>
      </c>
      <c r="F31" s="2187" t="s">
        <v>1179</v>
      </c>
      <c r="G31" s="2187">
        <v>1</v>
      </c>
      <c r="H31" s="2187"/>
      <c r="I31" s="2042"/>
    </row>
    <row r="32" spans="2:9" ht="18" hidden="1" customHeight="1" outlineLevel="1" x14ac:dyDescent="0.25">
      <c r="B32" s="2158" t="s">
        <v>351</v>
      </c>
      <c r="C32" s="2187" t="s">
        <v>2610</v>
      </c>
      <c r="D32" s="2187" t="s">
        <v>942</v>
      </c>
      <c r="E32" s="2229">
        <f>S_COD+C_B+C_U</f>
        <v>8.0299999999999994</v>
      </c>
      <c r="F32" s="2187" t="s">
        <v>1179</v>
      </c>
      <c r="G32" s="2187">
        <v>1</v>
      </c>
      <c r="H32" s="2187"/>
      <c r="I32" s="2042"/>
    </row>
    <row r="33" spans="2:9" ht="18" hidden="1" customHeight="1" outlineLevel="1" x14ac:dyDescent="0.25">
      <c r="B33" s="2158" t="s">
        <v>1745</v>
      </c>
      <c r="C33" s="2187" t="s">
        <v>328</v>
      </c>
      <c r="D33" s="2187" t="s">
        <v>1746</v>
      </c>
      <c r="E33" s="2229">
        <f>S_CCOD+X_COD</f>
        <v>2465.63</v>
      </c>
      <c r="F33" s="2187" t="s">
        <v>1179</v>
      </c>
      <c r="G33" s="2187">
        <v>1</v>
      </c>
      <c r="H33" s="2187"/>
      <c r="I33" s="2042"/>
    </row>
    <row r="34" spans="2:9" s="104" customFormat="1" ht="36" hidden="1" customHeight="1" outlineLevel="1" x14ac:dyDescent="0.25">
      <c r="B34" s="2158" t="s">
        <v>2408</v>
      </c>
      <c r="C34" s="2187" t="s">
        <v>2409</v>
      </c>
      <c r="D34" s="2187" t="s">
        <v>3637</v>
      </c>
      <c r="E34" s="2229">
        <f>T_COD+S_H2+S_CH4+E_EQFe2*S_Fe2+(3*A_MFe/M_MVivi*E_EQFe2)*X_Vivi-E_EQNO3*S_NO3-E_EQNO2*S_NO2-E_EQNO*S_NO-E_EQN2O*S_N2O-E_EQN2*S_N2-S_O2</f>
        <v>2409.5122257205489</v>
      </c>
      <c r="F34" s="2187" t="s">
        <v>1179</v>
      </c>
      <c r="G34" s="2187">
        <v>1</v>
      </c>
      <c r="H34" s="2187"/>
      <c r="I34" s="2280"/>
    </row>
    <row r="35" spans="2:9" ht="36" hidden="1" customHeight="1" outlineLevel="1" x14ac:dyDescent="0.25">
      <c r="B35" s="2158" t="s">
        <v>1747</v>
      </c>
      <c r="C35" s="2187" t="s">
        <v>335</v>
      </c>
      <c r="D35" s="2187" t="s">
        <v>5516</v>
      </c>
      <c r="E35" s="2229">
        <f>S_NHx+S_N_B+i_N_CB*C_B+X_N_B+X_N_Be+i_N_SU*S_U+i_N_CU*C_U+X_N_U+i_N_BIO*X_BIO+i_N_XE*(X_E_ana+X_E)+i_N_XSTR*X_STR</f>
        <v>108.96120000000001</v>
      </c>
      <c r="F35" s="2187" t="s">
        <v>884</v>
      </c>
      <c r="G35" s="2187">
        <v>1</v>
      </c>
      <c r="H35" s="2187"/>
      <c r="I35" s="2042"/>
    </row>
    <row r="36" spans="2:9" s="112" customFormat="1" ht="18" hidden="1" customHeight="1" outlineLevel="1" x14ac:dyDescent="0.25">
      <c r="B36" s="2161" t="s">
        <v>4776</v>
      </c>
      <c r="C36" s="1965" t="s">
        <v>4777</v>
      </c>
      <c r="D36" s="1965" t="s">
        <v>5517</v>
      </c>
      <c r="E36" s="2231">
        <f>S_N_B+i_N_CB*C_B+X_N_B+X_N_Be+i_N_BIO*X_BIO</f>
        <v>79.885100000000008</v>
      </c>
      <c r="F36" s="2189" t="s">
        <v>884</v>
      </c>
      <c r="G36" s="2189">
        <v>1</v>
      </c>
      <c r="H36" s="2189"/>
      <c r="I36" s="2281"/>
    </row>
    <row r="37" spans="2:9" s="4" customFormat="1" ht="18" hidden="1" customHeight="1" outlineLevel="1" x14ac:dyDescent="0.25">
      <c r="B37" s="2162" t="s">
        <v>4778</v>
      </c>
      <c r="C37" s="2192" t="s">
        <v>4779</v>
      </c>
      <c r="D37" s="1965" t="s">
        <v>4780</v>
      </c>
      <c r="E37" s="2234">
        <f>S_NHx+S_NOx+S_NH2OH+S_NO</f>
        <v>6.14</v>
      </c>
      <c r="F37" s="1414" t="s">
        <v>336</v>
      </c>
      <c r="G37" s="1414">
        <v>1</v>
      </c>
      <c r="H37" s="1414"/>
      <c r="I37" s="2282"/>
    </row>
    <row r="38" spans="2:9" ht="18" hidden="1" customHeight="1" outlineLevel="1" x14ac:dyDescent="0.25">
      <c r="B38" s="2158" t="s">
        <v>1748</v>
      </c>
      <c r="C38" s="2187" t="s">
        <v>337</v>
      </c>
      <c r="D38" s="2187" t="s">
        <v>4775</v>
      </c>
      <c r="E38" s="2229">
        <f>T_KN+S_NH2OH+S_NO+S_NOx</f>
        <v>114.10120000000001</v>
      </c>
      <c r="F38" s="2187" t="s">
        <v>884</v>
      </c>
      <c r="G38" s="2187">
        <v>1</v>
      </c>
      <c r="H38" s="2187"/>
      <c r="I38" s="2042"/>
    </row>
    <row r="39" spans="2:9" s="112" customFormat="1" ht="18" hidden="1" outlineLevel="1" x14ac:dyDescent="0.25">
      <c r="B39" s="2157" t="s">
        <v>5142</v>
      </c>
      <c r="C39" s="2186" t="s">
        <v>5137</v>
      </c>
      <c r="D39" s="2186" t="s">
        <v>5138</v>
      </c>
      <c r="E39" s="2228">
        <f>T_KN-S_KN</f>
        <v>107.39100000000001</v>
      </c>
      <c r="F39" s="2259" t="s">
        <v>884</v>
      </c>
      <c r="G39" s="2259">
        <v>1</v>
      </c>
      <c r="H39" s="2259"/>
      <c r="I39" s="2276"/>
    </row>
    <row r="40" spans="2:9" ht="18" hidden="1" customHeight="1" outlineLevel="1" x14ac:dyDescent="0.25">
      <c r="B40" s="2160" t="s">
        <v>3423</v>
      </c>
      <c r="C40" s="2023" t="s">
        <v>3424</v>
      </c>
      <c r="D40" s="2023" t="s">
        <v>3425</v>
      </c>
      <c r="E40" s="2232">
        <f>S_NHx+S_N_B+i_N_CB*C_B+i_N_SU*S_U+i_N_CU*C_U</f>
        <v>1.5702</v>
      </c>
      <c r="F40" s="2023" t="s">
        <v>884</v>
      </c>
      <c r="G40" s="2023">
        <v>1</v>
      </c>
      <c r="H40" s="2023"/>
      <c r="I40" s="2036"/>
    </row>
    <row r="41" spans="2:9" s="112" customFormat="1" ht="18" hidden="1" customHeight="1" outlineLevel="1" x14ac:dyDescent="0.25">
      <c r="B41" s="2161" t="s">
        <v>4641</v>
      </c>
      <c r="C41" s="2189" t="s">
        <v>4642</v>
      </c>
      <c r="D41" s="1965" t="s">
        <v>4643</v>
      </c>
      <c r="E41" s="2231">
        <f>S_U*i_N_SU</f>
        <v>7.0000000000000007E-2</v>
      </c>
      <c r="F41" s="2189" t="s">
        <v>884</v>
      </c>
      <c r="G41" s="2189">
        <v>1</v>
      </c>
      <c r="H41" s="2189" t="s">
        <v>4262</v>
      </c>
      <c r="I41" s="2281"/>
    </row>
    <row r="42" spans="2:9" s="930" customFormat="1" ht="18" hidden="1" customHeight="1" outlineLevel="1" x14ac:dyDescent="0.25">
      <c r="B42" s="2159" t="s">
        <v>4767</v>
      </c>
      <c r="C42" s="2187" t="s">
        <v>4766</v>
      </c>
      <c r="D42" s="2193" t="s">
        <v>4765</v>
      </c>
      <c r="E42" s="2230">
        <f>S_NO_OHO+S_NO_AOB</f>
        <v>0.03</v>
      </c>
      <c r="F42" s="2188" t="s">
        <v>336</v>
      </c>
      <c r="G42" s="2188">
        <v>1</v>
      </c>
      <c r="H42" s="2188"/>
      <c r="I42" s="2283"/>
    </row>
    <row r="43" spans="2:9" s="930" customFormat="1" ht="18" hidden="1" customHeight="1" outlineLevel="1" x14ac:dyDescent="0.25">
      <c r="B43" s="2159" t="s">
        <v>2257</v>
      </c>
      <c r="C43" s="2187" t="s">
        <v>2611</v>
      </c>
      <c r="D43" s="2193" t="s">
        <v>4774</v>
      </c>
      <c r="E43" s="2230">
        <f>S_NO2+S_NO3</f>
        <v>5.0999999999999996</v>
      </c>
      <c r="F43" s="2188" t="s">
        <v>336</v>
      </c>
      <c r="G43" s="2188">
        <v>1</v>
      </c>
      <c r="H43" s="2188"/>
      <c r="I43" s="2283"/>
    </row>
    <row r="44" spans="2:9" s="930" customFormat="1" ht="18" hidden="1" customHeight="1" outlineLevel="1" x14ac:dyDescent="0.25">
      <c r="B44" s="2159" t="s">
        <v>5549</v>
      </c>
      <c r="C44" s="2187" t="s">
        <v>5556</v>
      </c>
      <c r="D44" s="2193" t="s">
        <v>5557</v>
      </c>
      <c r="E44" s="2230">
        <f>S_NO2+S_NO3+S_NO+S_NH2OH</f>
        <v>5.14</v>
      </c>
      <c r="F44" s="2188" t="s">
        <v>336</v>
      </c>
      <c r="G44" s="2188">
        <v>1</v>
      </c>
      <c r="H44" s="2188"/>
      <c r="I44" s="2283"/>
    </row>
    <row r="45" spans="2:9" ht="36" hidden="1" customHeight="1" outlineLevel="1" x14ac:dyDescent="0.25">
      <c r="B45" s="2158" t="s">
        <v>1749</v>
      </c>
      <c r="C45" s="2187" t="s">
        <v>790</v>
      </c>
      <c r="D45" s="2023" t="s">
        <v>5518</v>
      </c>
      <c r="E45" s="2229">
        <f>i_P_BIO*(X_BIO+X_E_ana+X_E)+S_PO4+S_P_B+i_P_CB*C_B+X_P_B+X_P_Be+i_P_SU*S_U+X_P_U+i_P_CU*C_U+X_PP+i_P_XSTR*X_STR+X_HFO_P+X_HAO_P+i_P_XACP*X_ACP+i_P_XVivi*X_Vivi+i_P_XBSH*X_BSH</f>
        <v>90.736040000000003</v>
      </c>
      <c r="F45" s="2187" t="s">
        <v>886</v>
      </c>
      <c r="G45" s="2187">
        <v>1</v>
      </c>
      <c r="H45" s="2187"/>
      <c r="I45" s="2042"/>
    </row>
    <row r="46" spans="2:9" s="112" customFormat="1" ht="18" hidden="1" outlineLevel="1" x14ac:dyDescent="0.25">
      <c r="B46" s="2157" t="s">
        <v>5139</v>
      </c>
      <c r="C46" s="2186" t="s">
        <v>5140</v>
      </c>
      <c r="D46" s="2186" t="s">
        <v>5141</v>
      </c>
      <c r="E46" s="2228">
        <f>T_P-S_P</f>
        <v>90.212000000000003</v>
      </c>
      <c r="F46" s="2259" t="s">
        <v>886</v>
      </c>
      <c r="G46" s="2259">
        <v>1</v>
      </c>
      <c r="H46" s="2259"/>
      <c r="I46" s="2276"/>
    </row>
    <row r="47" spans="2:9" ht="18" hidden="1" customHeight="1" outlineLevel="1" x14ac:dyDescent="0.25">
      <c r="B47" s="2160" t="s">
        <v>3426</v>
      </c>
      <c r="C47" s="2023" t="s">
        <v>3427</v>
      </c>
      <c r="D47" s="2019" t="s">
        <v>3428</v>
      </c>
      <c r="E47" s="2232">
        <f>S_PO4+S_P_B+i_P_CB*C_B+i_P_SU*S_U+i_P_CU*C_U</f>
        <v>0.52404000000000006</v>
      </c>
      <c r="F47" s="2023" t="s">
        <v>886</v>
      </c>
      <c r="G47" s="2023">
        <v>1</v>
      </c>
      <c r="H47" s="2023"/>
      <c r="I47" s="2036"/>
    </row>
    <row r="48" spans="2:9" ht="18" hidden="1" customHeight="1" outlineLevel="1" x14ac:dyDescent="0.25">
      <c r="B48" s="2158" t="s">
        <v>1750</v>
      </c>
      <c r="C48" s="2187" t="s">
        <v>468</v>
      </c>
      <c r="D48" s="2023" t="s">
        <v>1751</v>
      </c>
      <c r="E48" s="2229">
        <f>X_HFO_H+X_HFO_L+X_HFO_L_P+X_HFO_H_P+X_HFO_old+X_HFO_L_P_old+X_HFO_H_P_old</f>
        <v>0.01</v>
      </c>
      <c r="F48" s="2187" t="s">
        <v>1933</v>
      </c>
      <c r="G48" s="2187">
        <v>1</v>
      </c>
      <c r="H48" s="2187"/>
      <c r="I48" s="2042"/>
    </row>
    <row r="49" spans="1:14" ht="18" hidden="1" customHeight="1" outlineLevel="1" x14ac:dyDescent="0.25">
      <c r="B49" s="2160" t="s">
        <v>4241</v>
      </c>
      <c r="C49" s="2023" t="s">
        <v>4242</v>
      </c>
      <c r="D49" s="2023" t="s">
        <v>4243</v>
      </c>
      <c r="E49" s="2235">
        <f>X_HAO_H+X_HAO_L+X_HAO_L_P+X_HAO_H_P+X_HAO_old+X_HAO_L_P_old+X_HAO_H_P_old</f>
        <v>0.01</v>
      </c>
      <c r="F49" s="2023" t="s">
        <v>4244</v>
      </c>
      <c r="G49" s="2023">
        <v>1</v>
      </c>
      <c r="H49" s="2023"/>
      <c r="I49" s="2036"/>
    </row>
    <row r="50" spans="1:14" ht="18" hidden="1" customHeight="1" outlineLevel="1" x14ac:dyDescent="0.25">
      <c r="B50" s="2158" t="s">
        <v>1752</v>
      </c>
      <c r="C50" s="2187" t="s">
        <v>1598</v>
      </c>
      <c r="D50" s="2187" t="s">
        <v>1870</v>
      </c>
      <c r="E50" s="2229">
        <f>X_HFO+S_Fe2+X_Vivi*3*A_MFe/M_MVivi</f>
        <v>0.01</v>
      </c>
      <c r="F50" s="2187" t="s">
        <v>1933</v>
      </c>
      <c r="G50" s="2187">
        <v>1</v>
      </c>
      <c r="H50" s="2187"/>
      <c r="I50" s="2042"/>
    </row>
    <row r="51" spans="1:14" ht="18" hidden="1" customHeight="1" outlineLevel="1" x14ac:dyDescent="0.25">
      <c r="B51" s="2160" t="s">
        <v>4245</v>
      </c>
      <c r="C51" s="2023" t="s">
        <v>4246</v>
      </c>
      <c r="D51" s="2023" t="s">
        <v>4247</v>
      </c>
      <c r="E51" s="2232">
        <f>X_HAO</f>
        <v>0.01</v>
      </c>
      <c r="F51" s="2023" t="s">
        <v>4244</v>
      </c>
      <c r="G51" s="2023">
        <v>1</v>
      </c>
      <c r="H51" s="2023"/>
      <c r="I51" s="2036"/>
    </row>
    <row r="52" spans="1:14" ht="36" hidden="1" customHeight="1" outlineLevel="1" x14ac:dyDescent="0.25">
      <c r="B52" s="2160" t="s">
        <v>4248</v>
      </c>
      <c r="C52" s="2023" t="s">
        <v>4249</v>
      </c>
      <c r="D52" s="2023" t="s">
        <v>4250</v>
      </c>
      <c r="E52" s="2232">
        <f>S_Ca+i_Ca_PP*A_MCa/A_MP*X_PP+i_Ca_INORG*X_INORG+X_ACP*3*A_MCa/M_MACP+X_CaCO3*A_MCa/M_MCaCO3+X_BSH*A_MCa/M_MBSH</f>
        <v>180.76360322156796</v>
      </c>
      <c r="F52" s="2260" t="s">
        <v>984</v>
      </c>
      <c r="G52" s="2260">
        <v>1</v>
      </c>
      <c r="H52" s="2023"/>
      <c r="I52" s="2036"/>
    </row>
    <row r="53" spans="1:14" ht="18" hidden="1" customHeight="1" outlineLevel="1" x14ac:dyDescent="0.25">
      <c r="B53" s="2160" t="s">
        <v>4251</v>
      </c>
      <c r="C53" s="2023" t="s">
        <v>4252</v>
      </c>
      <c r="D53" s="2023" t="s">
        <v>4253</v>
      </c>
      <c r="E53" s="2232">
        <f>S_Mg+i_Mg_PP*A_MMg/A_MP*X_PP+i_Mg_INORG*X_INORG+X_STR*A_MMg/M_MSTR</f>
        <v>54.478624608282161</v>
      </c>
      <c r="F53" s="2260" t="s">
        <v>834</v>
      </c>
      <c r="G53" s="2260">
        <v>1</v>
      </c>
      <c r="H53" s="2023"/>
      <c r="I53" s="2036"/>
    </row>
    <row r="54" spans="1:14" ht="18" hidden="1" customHeight="1" outlineLevel="1" x14ac:dyDescent="0.25">
      <c r="B54" s="2158" t="s">
        <v>1753</v>
      </c>
      <c r="C54" s="2187" t="s">
        <v>2612</v>
      </c>
      <c r="D54" s="2023" t="s">
        <v>4257</v>
      </c>
      <c r="E54" s="2229">
        <f>(X_HFO_L_P+X_HFO_L_P_old)*A_SFHFO_L*(A_MP/A_MFe)+(X_HFO_H_P+X_HFO_H_P_old)*A_SFHFO_H*(A_MP/A_MFe)</f>
        <v>1.5529865549288207E-50</v>
      </c>
      <c r="F54" s="2187" t="s">
        <v>886</v>
      </c>
      <c r="G54" s="2187">
        <v>1</v>
      </c>
      <c r="H54" s="2187"/>
      <c r="I54" s="2042"/>
    </row>
    <row r="55" spans="1:14" ht="18" hidden="1" customHeight="1" outlineLevel="1" x14ac:dyDescent="0.25">
      <c r="B55" s="2160" t="s">
        <v>4254</v>
      </c>
      <c r="C55" s="2023" t="s">
        <v>4255</v>
      </c>
      <c r="D55" s="2023" t="s">
        <v>4256</v>
      </c>
      <c r="E55" s="2232">
        <f>(X_HAO_L_P+X_HAO_L_P_old)*A_SFHAO_L*(A_MP/A_MAl)+(X_HAO_H_P+X_HAO_H_P_old)*A_SFHAO_H*(A_MP/A_MAl)</f>
        <v>2.5255184789578044E-50</v>
      </c>
      <c r="F55" s="2023" t="s">
        <v>886</v>
      </c>
      <c r="G55" s="2023">
        <v>1</v>
      </c>
      <c r="H55" s="2023"/>
      <c r="I55" s="2036"/>
    </row>
    <row r="56" spans="1:14" ht="18" hidden="1" customHeight="1" outlineLevel="1" x14ac:dyDescent="0.25">
      <c r="B56" s="2163" t="s">
        <v>3566</v>
      </c>
      <c r="C56" s="2025" t="s">
        <v>3567</v>
      </c>
      <c r="D56" s="2025" t="s">
        <v>3568</v>
      </c>
      <c r="E56" s="2236">
        <f>S_NHx-S_NOx</f>
        <v>-4.0999999999999996</v>
      </c>
      <c r="F56" s="2023" t="s">
        <v>884</v>
      </c>
      <c r="G56" s="2023">
        <v>1</v>
      </c>
      <c r="H56" s="2025"/>
      <c r="I56" s="2043"/>
    </row>
    <row r="57" spans="1:14" ht="18" hidden="1" customHeight="1" outlineLevel="1" x14ac:dyDescent="0.25">
      <c r="A57" s="1192"/>
      <c r="B57" s="2163" t="s">
        <v>2597</v>
      </c>
      <c r="C57" s="2025" t="s">
        <v>1942</v>
      </c>
      <c r="D57" s="2025" t="s">
        <v>1943</v>
      </c>
      <c r="E57" s="2236">
        <f>X_VSS/X_TSS</f>
        <v>0.72748268771395963</v>
      </c>
      <c r="F57" s="2023" t="s">
        <v>3573</v>
      </c>
      <c r="G57" s="2023">
        <v>2</v>
      </c>
      <c r="H57" s="2025"/>
      <c r="I57" s="2043"/>
      <c r="J57" s="1192"/>
      <c r="K57" s="1192"/>
      <c r="L57" s="1192"/>
      <c r="M57" s="1192"/>
      <c r="N57" s="1192"/>
    </row>
    <row r="58" spans="1:14" ht="18" hidden="1" customHeight="1" outlineLevel="1" x14ac:dyDescent="0.25">
      <c r="A58" s="1192"/>
      <c r="B58" s="2163" t="s">
        <v>3574</v>
      </c>
      <c r="C58" s="2192" t="s">
        <v>394</v>
      </c>
      <c r="D58" s="2025" t="s">
        <v>1279</v>
      </c>
      <c r="E58" s="2236">
        <f>S_ALK</f>
        <v>5.5299706224952441E-3</v>
      </c>
      <c r="F58" s="2023" t="s">
        <v>1873</v>
      </c>
      <c r="G58" s="2023">
        <v>1</v>
      </c>
      <c r="H58" s="2025" t="s">
        <v>11</v>
      </c>
      <c r="I58" s="2043"/>
      <c r="J58" s="1192"/>
      <c r="K58" s="1192"/>
      <c r="L58" s="1192"/>
      <c r="M58" s="1192"/>
      <c r="N58" s="1192"/>
    </row>
    <row r="59" spans="1:14" s="7" customFormat="1" ht="18" hidden="1" customHeight="1" outlineLevel="1" x14ac:dyDescent="0.25">
      <c r="B59" s="2164" t="s">
        <v>4258</v>
      </c>
      <c r="C59" s="2193" t="s">
        <v>4259</v>
      </c>
      <c r="D59" s="2213" t="s">
        <v>4260</v>
      </c>
      <c r="E59" s="2237">
        <f>MAX(0,f_TOC_1*T_COD-f_TOC_2)</f>
        <v>822.20027224000012</v>
      </c>
      <c r="F59" s="2193" t="s">
        <v>4261</v>
      </c>
      <c r="G59" s="2193">
        <v>1</v>
      </c>
      <c r="H59" s="2193" t="s">
        <v>4262</v>
      </c>
      <c r="I59" s="2284"/>
    </row>
    <row r="60" spans="1:14" s="7" customFormat="1" ht="54.75" hidden="1" customHeight="1" outlineLevel="1" x14ac:dyDescent="0.25">
      <c r="B60" s="2350" t="s">
        <v>4263</v>
      </c>
      <c r="C60" s="2340" t="s">
        <v>4264</v>
      </c>
      <c r="D60" s="2425" t="s">
        <v>5446</v>
      </c>
      <c r="E60" s="2351">
        <f>(X_VSS_BIO*(i_vw_BIO+i_iw_BIO+i_wh_BIO)+X_VSS_BIO*(i_vw_EPS+i_wh_EPS)+X_E/i_CV_XE*(i_vw_XE+i_wh_XE)+X_E/i_CV_XE*(i_vw_EPS+i_wh_EPS)+X_B/i_CV_XB*(i_vw_XB+i_wh_XB)+X_B_e/i_CV_XBe*(i_vw_XBe+i_wh_XBe)+X_U/i_CV_XU*(i_vw_XU+i_wh_XU)+X_PHA_PAO/i_CV_PHA*(i_vw_PHA+i_wh_PHA)+X_PHA_GAO/i_CV_PHA*(i_vw_PHA+i_wh_PHA)+C_B/i_CV_CB*i_vw_CB+C_U/i_CV_CU*i_vw_CU)/X_VSS</f>
        <v>2.025927517283026</v>
      </c>
      <c r="F60" s="2315" t="s">
        <v>4053</v>
      </c>
      <c r="G60" s="2315">
        <v>1</v>
      </c>
      <c r="H60" s="2315"/>
      <c r="I60" s="2104"/>
    </row>
    <row r="61" spans="1:14" s="4" customFormat="1" ht="18" hidden="1" outlineLevel="1" x14ac:dyDescent="0.25">
      <c r="B61" s="2457" t="s">
        <v>5361</v>
      </c>
      <c r="C61" s="2186" t="s">
        <v>5362</v>
      </c>
      <c r="D61" s="2458" t="s">
        <v>5527</v>
      </c>
      <c r="E61" s="2459">
        <f>(i_CV_BIO-i_CV_XE*f_E)/(1-f_E)</f>
        <v>1.42</v>
      </c>
      <c r="F61" s="2186" t="s">
        <v>1884</v>
      </c>
      <c r="G61" s="2186">
        <v>2</v>
      </c>
      <c r="H61" s="2186"/>
      <c r="I61" s="2460"/>
    </row>
    <row r="62" spans="1:14" s="7" customFormat="1" ht="18" hidden="1" outlineLevel="1" x14ac:dyDescent="0.25">
      <c r="B62" s="2339" t="s">
        <v>5293</v>
      </c>
      <c r="C62" s="2340" t="s">
        <v>5294</v>
      </c>
      <c r="D62" s="2341" t="s">
        <v>5295</v>
      </c>
      <c r="E62" s="2342">
        <f>S_PFOA+X_PFOA</f>
        <v>1.9999999999999999E-6</v>
      </c>
      <c r="F62" s="2259" t="s">
        <v>5296</v>
      </c>
      <c r="G62" s="2340">
        <v>4</v>
      </c>
      <c r="H62" s="2340" t="s">
        <v>5286</v>
      </c>
      <c r="I62" s="2343"/>
    </row>
    <row r="63" spans="1:14" s="7" customFormat="1" ht="18.75" hidden="1" outlineLevel="1" thickBot="1" x14ac:dyDescent="0.3">
      <c r="B63" s="2344" t="s">
        <v>5297</v>
      </c>
      <c r="C63" s="2345" t="s">
        <v>5298</v>
      </c>
      <c r="D63" s="2346" t="s">
        <v>5299</v>
      </c>
      <c r="E63" s="2347">
        <f>S_PFOS+X_PFOS</f>
        <v>1.9999999999999999E-6</v>
      </c>
      <c r="F63" s="2348" t="s">
        <v>5296</v>
      </c>
      <c r="G63" s="2345">
        <v>4</v>
      </c>
      <c r="H63" s="2345" t="s">
        <v>5286</v>
      </c>
      <c r="I63" s="2349"/>
    </row>
    <row r="64" spans="1:14" ht="15.75" collapsed="1" thickBot="1" x14ac:dyDescent="0.3">
      <c r="B64" s="130"/>
      <c r="C64" s="130"/>
      <c r="D64" s="130"/>
      <c r="E64" s="130"/>
      <c r="F64" s="130"/>
      <c r="G64" s="130"/>
      <c r="H64" s="130"/>
      <c r="I64" s="130"/>
    </row>
    <row r="65" spans="1:9" ht="15.75" thickBot="1" x14ac:dyDescent="0.3">
      <c r="C65" s="1118" t="s">
        <v>4265</v>
      </c>
      <c r="D65" s="2051" t="s">
        <v>301</v>
      </c>
      <c r="E65" s="103"/>
    </row>
    <row r="66" spans="1:9" ht="15.75" thickBot="1" x14ac:dyDescent="0.3">
      <c r="B66" s="1119" t="s">
        <v>0</v>
      </c>
      <c r="C66" s="940" t="s">
        <v>1</v>
      </c>
      <c r="D66" s="940" t="s">
        <v>5</v>
      </c>
      <c r="E66" s="940" t="s">
        <v>152</v>
      </c>
      <c r="F66" s="940" t="s">
        <v>2</v>
      </c>
      <c r="G66" s="940" t="s">
        <v>300</v>
      </c>
      <c r="H66" s="940" t="s">
        <v>116</v>
      </c>
      <c r="I66" s="1120" t="s">
        <v>117</v>
      </c>
    </row>
    <row r="67" spans="1:9" s="112" customFormat="1" ht="18" hidden="1" customHeight="1" outlineLevel="1" x14ac:dyDescent="0.25">
      <c r="A67" s="3"/>
      <c r="B67" s="2157" t="s">
        <v>5447</v>
      </c>
      <c r="C67" s="2186" t="s">
        <v>5448</v>
      </c>
      <c r="D67" s="2186" t="s">
        <v>5449</v>
      </c>
      <c r="E67" s="2228">
        <f>X_PHA_PAO+X_PHA_GAO</f>
        <v>23</v>
      </c>
      <c r="F67" s="2259" t="s">
        <v>1179</v>
      </c>
      <c r="G67" s="2259">
        <v>1</v>
      </c>
      <c r="H67" s="2259"/>
      <c r="I67" s="2276"/>
    </row>
    <row r="68" spans="1:9" ht="18" hidden="1" customHeight="1" outlineLevel="1" x14ac:dyDescent="0.25">
      <c r="A68" s="7"/>
      <c r="B68" s="2160" t="s">
        <v>4266</v>
      </c>
      <c r="C68" s="2186" t="s">
        <v>5450</v>
      </c>
      <c r="D68" s="2186" t="s">
        <v>5447</v>
      </c>
      <c r="E68" s="2232">
        <f>X_PHA_CASTO</f>
        <v>23</v>
      </c>
      <c r="F68" s="2023" t="s">
        <v>1179</v>
      </c>
      <c r="G68" s="2023">
        <v>1</v>
      </c>
      <c r="H68" s="2023"/>
      <c r="I68" s="2036"/>
    </row>
    <row r="69" spans="1:9" s="7" customFormat="1" ht="18" hidden="1" customHeight="1" outlineLevel="1" x14ac:dyDescent="0.25">
      <c r="B69" s="2164" t="s">
        <v>4267</v>
      </c>
      <c r="C69" s="2192" t="s">
        <v>4918</v>
      </c>
      <c r="D69" s="2214" t="s">
        <v>5455</v>
      </c>
      <c r="E69" s="2237">
        <f>X_PHA_PAO/X_STC</f>
        <v>0.86956521739130432</v>
      </c>
      <c r="F69" s="2023" t="s">
        <v>283</v>
      </c>
      <c r="G69" s="2193">
        <v>1</v>
      </c>
      <c r="H69" s="2193"/>
      <c r="I69" s="2284"/>
    </row>
    <row r="70" spans="1:9" s="7" customFormat="1" ht="18" hidden="1" customHeight="1" outlineLevel="1" x14ac:dyDescent="0.25">
      <c r="B70" s="2164" t="s">
        <v>4268</v>
      </c>
      <c r="C70" s="2192" t="s">
        <v>4919</v>
      </c>
      <c r="D70" s="2214" t="s">
        <v>5456</v>
      </c>
      <c r="E70" s="2237">
        <f>X_PHA_GAO/X_STC</f>
        <v>0.13043478260869565</v>
      </c>
      <c r="F70" s="2023" t="s">
        <v>283</v>
      </c>
      <c r="G70" s="2193">
        <v>1</v>
      </c>
      <c r="H70" s="2193"/>
      <c r="I70" s="2284"/>
    </row>
    <row r="71" spans="1:9" ht="18" hidden="1" customHeight="1" outlineLevel="1" x14ac:dyDescent="0.25">
      <c r="A71" s="7"/>
      <c r="B71" s="2160" t="s">
        <v>4269</v>
      </c>
      <c r="C71" s="2186" t="s">
        <v>5525</v>
      </c>
      <c r="D71" s="2023" t="s">
        <v>4270</v>
      </c>
      <c r="E71" s="2232">
        <f>actPAO*X_CASTO</f>
        <v>434.78260869565219</v>
      </c>
      <c r="F71" s="2023" t="s">
        <v>1179</v>
      </c>
      <c r="G71" s="2023">
        <v>1</v>
      </c>
      <c r="H71" s="2023"/>
      <c r="I71" s="2036"/>
    </row>
    <row r="72" spans="1:9" ht="18" hidden="1" customHeight="1" outlineLevel="1" x14ac:dyDescent="0.25">
      <c r="A72" s="7"/>
      <c r="B72" s="2160" t="s">
        <v>4271</v>
      </c>
      <c r="C72" s="2186" t="s">
        <v>5526</v>
      </c>
      <c r="D72" s="2023" t="s">
        <v>4272</v>
      </c>
      <c r="E72" s="2232">
        <f>actGAO*X_CASTO</f>
        <v>65.217391304347828</v>
      </c>
      <c r="F72" s="2023" t="s">
        <v>1179</v>
      </c>
      <c r="G72" s="2023">
        <v>1</v>
      </c>
      <c r="H72" s="2023"/>
      <c r="I72" s="2036"/>
    </row>
    <row r="73" spans="1:9" s="7" customFormat="1" ht="18" hidden="1" customHeight="1" outlineLevel="1" x14ac:dyDescent="0.25">
      <c r="B73" s="2164" t="s">
        <v>4273</v>
      </c>
      <c r="C73" s="2193" t="s">
        <v>4274</v>
      </c>
      <c r="D73" s="2214" t="s">
        <v>4275</v>
      </c>
      <c r="E73" s="2237">
        <f>L_ogsatORP_GAO_T</f>
        <v>0.94784643692158232</v>
      </c>
      <c r="F73" s="2023" t="s">
        <v>283</v>
      </c>
      <c r="G73" s="2193">
        <v>1</v>
      </c>
      <c r="H73" s="2193"/>
      <c r="I73" s="2284"/>
    </row>
    <row r="74" spans="1:9" s="7" customFormat="1" ht="18" hidden="1" customHeight="1" outlineLevel="1" x14ac:dyDescent="0.25">
      <c r="B74" s="2164" t="s">
        <v>4276</v>
      </c>
      <c r="C74" s="2193" t="s">
        <v>4277</v>
      </c>
      <c r="D74" s="2215" t="s">
        <v>4278</v>
      </c>
      <c r="E74" s="2237">
        <f>(1-L_ogsatORP_GAO_T)</f>
        <v>5.2153563078417675E-2</v>
      </c>
      <c r="F74" s="2023" t="s">
        <v>283</v>
      </c>
      <c r="G74" s="2193">
        <v>1</v>
      </c>
      <c r="H74" s="2193"/>
      <c r="I74" s="2284"/>
    </row>
    <row r="75" spans="1:9" s="7" customFormat="1" ht="18" hidden="1" customHeight="1" outlineLevel="1" x14ac:dyDescent="0.25">
      <c r="B75" s="2164" t="s">
        <v>4279</v>
      </c>
      <c r="C75" s="2193" t="s">
        <v>4280</v>
      </c>
      <c r="D75" s="2214" t="s">
        <v>4281</v>
      </c>
      <c r="E75" s="2237">
        <f>(1-L_ogsatORP_GAO_T)*L_oginhORP_PAO</f>
        <v>1.0749650524059162E-10</v>
      </c>
      <c r="F75" s="2023" t="s">
        <v>283</v>
      </c>
      <c r="G75" s="2193">
        <v>1</v>
      </c>
      <c r="H75" s="2193"/>
      <c r="I75" s="2284"/>
    </row>
    <row r="76" spans="1:9" s="1193" customFormat="1" ht="18.75" hidden="1" customHeight="1" outlineLevel="1" x14ac:dyDescent="0.25">
      <c r="A76" s="103"/>
      <c r="B76" s="2160" t="s">
        <v>4282</v>
      </c>
      <c r="C76" s="2186" t="s">
        <v>5451</v>
      </c>
      <c r="D76" s="2023" t="s">
        <v>5453</v>
      </c>
      <c r="E76" s="2235">
        <f>(Y_PAO_PHA_ox*X_PHA_PAO+Y_GAO_PHA_ox*X_PHA_GAO)/X_STC</f>
        <v>0.63391304347826094</v>
      </c>
      <c r="F76" s="2023" t="s">
        <v>4283</v>
      </c>
      <c r="G76" s="2267">
        <v>2</v>
      </c>
      <c r="H76" s="2023"/>
      <c r="I76" s="2036"/>
    </row>
    <row r="77" spans="1:9" s="1193" customFormat="1" ht="18.75" hidden="1" customHeight="1" outlineLevel="1" x14ac:dyDescent="0.25">
      <c r="A77" s="103"/>
      <c r="B77" s="2160" t="s">
        <v>4284</v>
      </c>
      <c r="C77" s="2186" t="s">
        <v>5452</v>
      </c>
      <c r="D77" s="2186" t="s">
        <v>5454</v>
      </c>
      <c r="E77" s="2235">
        <f>(Y_PAO_PHA_anox*X_PHA_PAO+Y_GAO_PHA_anox*X_PHA_GAO)/X_STC</f>
        <v>0.5173913043478261</v>
      </c>
      <c r="F77" s="2023" t="s">
        <v>4283</v>
      </c>
      <c r="G77" s="2267">
        <v>2</v>
      </c>
      <c r="H77" s="2023"/>
      <c r="I77" s="2036"/>
    </row>
    <row r="78" spans="1:9" s="1193" customFormat="1" ht="18.75" hidden="1" customHeight="1" outlineLevel="1" thickBot="1" x14ac:dyDescent="0.3">
      <c r="A78" s="103"/>
      <c r="B78" s="2166" t="s">
        <v>4285</v>
      </c>
      <c r="C78" s="2195" t="s">
        <v>4286</v>
      </c>
      <c r="D78" s="2020" t="s">
        <v>5457</v>
      </c>
      <c r="E78" s="2238">
        <f>(i_CIT_PHA*X_PHA_PAO+i_CIT_PHA*X_PHA_GAO)/X_STC</f>
        <v>0.33300000000000002</v>
      </c>
      <c r="F78" s="2194" t="s">
        <v>1886</v>
      </c>
      <c r="G78" s="2020">
        <v>2</v>
      </c>
      <c r="H78" s="2020"/>
      <c r="I78" s="2037"/>
    </row>
    <row r="79" spans="1:9" ht="15.75" collapsed="1" thickBot="1" x14ac:dyDescent="0.3">
      <c r="B79" s="130"/>
      <c r="C79" s="130"/>
      <c r="D79" s="130"/>
      <c r="E79" s="130"/>
      <c r="F79" s="130"/>
      <c r="G79" s="130"/>
      <c r="H79" s="130"/>
      <c r="I79" s="130"/>
    </row>
    <row r="80" spans="1:9" ht="15.75" thickBot="1" x14ac:dyDescent="0.3">
      <c r="C80" s="1118" t="s">
        <v>2141</v>
      </c>
      <c r="D80" s="2051" t="s">
        <v>301</v>
      </c>
      <c r="E80" s="103"/>
    </row>
    <row r="81" spans="1:10" ht="15.75" thickBot="1" x14ac:dyDescent="0.3">
      <c r="B81" s="1119" t="s">
        <v>0</v>
      </c>
      <c r="C81" s="940" t="s">
        <v>1</v>
      </c>
      <c r="D81" s="940" t="s">
        <v>5</v>
      </c>
      <c r="E81" s="940" t="s">
        <v>152</v>
      </c>
      <c r="F81" s="940" t="s">
        <v>2</v>
      </c>
      <c r="G81" s="940" t="s">
        <v>300</v>
      </c>
      <c r="H81" s="940" t="s">
        <v>116</v>
      </c>
      <c r="I81" s="1120" t="s">
        <v>117</v>
      </c>
    </row>
    <row r="82" spans="1:10" s="7" customFormat="1" ht="18" hidden="1" customHeight="1" outlineLevel="1" x14ac:dyDescent="0.25">
      <c r="B82" s="1935" t="s">
        <v>2142</v>
      </c>
      <c r="C82" s="2196" t="s">
        <v>2173</v>
      </c>
      <c r="D82" s="2214" t="s">
        <v>4287</v>
      </c>
      <c r="E82" s="2239">
        <f>O_RPbase+(O_RPmax_SO2-O_RPbase)*S_O2/(K_ORP_SO2+S_O2)</f>
        <v>285.36585365853659</v>
      </c>
      <c r="F82" s="2024" t="s">
        <v>2136</v>
      </c>
      <c r="G82" s="2024">
        <v>1</v>
      </c>
      <c r="H82" s="2024"/>
      <c r="I82" s="2286"/>
    </row>
    <row r="83" spans="1:10" s="7" customFormat="1" ht="18" hidden="1" customHeight="1" outlineLevel="1" x14ac:dyDescent="0.25">
      <c r="B83" s="2164" t="s">
        <v>2143</v>
      </c>
      <c r="C83" s="2193" t="s">
        <v>4288</v>
      </c>
      <c r="D83" s="2214" t="s">
        <v>5550</v>
      </c>
      <c r="E83" s="2237">
        <f>O_RPbase+(O_RPmax_SNOx-O_RPbase)*S_NOx_Tot/(K_ORP_SNOx+S_NOx_Tot)</f>
        <v>62.938931297709985</v>
      </c>
      <c r="F83" s="2193" t="s">
        <v>2136</v>
      </c>
      <c r="G83" s="2193">
        <v>1</v>
      </c>
      <c r="H83" s="2193"/>
      <c r="I83" s="2284"/>
    </row>
    <row r="84" spans="1:10" s="3" customFormat="1" ht="18" hidden="1" outlineLevel="1" x14ac:dyDescent="0.25">
      <c r="A84" s="4"/>
      <c r="B84" s="2350" t="s">
        <v>5534</v>
      </c>
      <c r="C84" s="2340" t="s">
        <v>5535</v>
      </c>
      <c r="D84" s="2214" t="s">
        <v>5536</v>
      </c>
      <c r="E84" s="2351">
        <f>A_AR/r_bCODDR</f>
        <v>7.7213149883158437E-5</v>
      </c>
      <c r="F84" s="2259" t="s">
        <v>283</v>
      </c>
      <c r="G84" s="2315">
        <v>1</v>
      </c>
      <c r="H84" s="2315"/>
      <c r="I84" s="2104"/>
    </row>
    <row r="85" spans="1:10" s="3" customFormat="1" ht="18" hidden="1" outlineLevel="1" x14ac:dyDescent="0.25">
      <c r="A85" s="4"/>
      <c r="B85" s="2350" t="s">
        <v>5537</v>
      </c>
      <c r="C85" s="2340" t="s">
        <v>5538</v>
      </c>
      <c r="D85" s="2214" t="s">
        <v>5539</v>
      </c>
      <c r="E85" s="2351">
        <f>O_RPbase*(r_atioAAR_rbCODDR)/(K_ORP_ana+r_atioAAR_rbCODDR)</f>
        <v>-0.46256457793721245</v>
      </c>
      <c r="F85" s="2315" t="s">
        <v>2136</v>
      </c>
      <c r="G85" s="2315">
        <v>1</v>
      </c>
      <c r="H85" s="2315"/>
      <c r="I85" s="2104"/>
    </row>
    <row r="86" spans="1:10" s="3" customFormat="1" ht="18.75" hidden="1" outlineLevel="1" thickBot="1" x14ac:dyDescent="0.3">
      <c r="A86" s="4"/>
      <c r="B86" s="2463" t="s">
        <v>2144</v>
      </c>
      <c r="C86" s="2345" t="s">
        <v>2141</v>
      </c>
      <c r="D86" s="2346" t="s">
        <v>5540</v>
      </c>
      <c r="E86" s="2464">
        <f>MAX(O_RPO2,O_RPNOx,O_RPana)</f>
        <v>285.36585365853659</v>
      </c>
      <c r="F86" s="1704" t="s">
        <v>2136</v>
      </c>
      <c r="G86" s="1704">
        <v>1</v>
      </c>
      <c r="H86" s="1704"/>
      <c r="I86" s="2465"/>
    </row>
    <row r="87" spans="1:10" ht="15.75" collapsed="1" thickBot="1" x14ac:dyDescent="0.3">
      <c r="B87" s="130"/>
      <c r="C87" s="130"/>
      <c r="D87" s="130"/>
      <c r="E87" s="130"/>
      <c r="F87" s="130"/>
      <c r="G87" s="130"/>
      <c r="H87" s="130"/>
      <c r="I87" s="130"/>
    </row>
    <row r="88" spans="1:10" ht="15.75" thickBot="1" x14ac:dyDescent="0.3">
      <c r="C88" s="1118" t="s">
        <v>4289</v>
      </c>
      <c r="D88" s="2051" t="s">
        <v>301</v>
      </c>
      <c r="E88" s="103"/>
    </row>
    <row r="89" spans="1:10" ht="15.75" thickBot="1" x14ac:dyDescent="0.3">
      <c r="B89" s="1119" t="s">
        <v>0</v>
      </c>
      <c r="C89" s="940" t="s">
        <v>1</v>
      </c>
      <c r="D89" s="940" t="s">
        <v>5</v>
      </c>
      <c r="E89" s="940" t="s">
        <v>152</v>
      </c>
      <c r="F89" s="940" t="s">
        <v>2</v>
      </c>
      <c r="G89" s="940" t="s">
        <v>300</v>
      </c>
      <c r="H89" s="940" t="s">
        <v>116</v>
      </c>
      <c r="I89" s="1120" t="s">
        <v>117</v>
      </c>
    </row>
    <row r="90" spans="1:10" s="7" customFormat="1" ht="18" hidden="1" customHeight="1" outlineLevel="1" x14ac:dyDescent="0.25">
      <c r="A90" s="103"/>
      <c r="B90" s="1935" t="s">
        <v>2688</v>
      </c>
      <c r="C90" s="2196" t="s">
        <v>2689</v>
      </c>
      <c r="D90" s="2214" t="s">
        <v>4853</v>
      </c>
      <c r="E90" s="2239">
        <f>(1/(1+EXP(((S_ORPswitch-o_ffsetORPswitch)-(L_ogsatORP_PAO_Half))*(L_ogsatORP_PAO_Slope))))</f>
        <v>2.0611536181902037E-9</v>
      </c>
      <c r="F90" s="2024" t="s">
        <v>283</v>
      </c>
      <c r="G90" s="2024">
        <v>2</v>
      </c>
      <c r="H90" s="2024"/>
      <c r="I90" s="2286"/>
    </row>
    <row r="91" spans="1:10" s="7" customFormat="1" ht="30" hidden="1" customHeight="1" outlineLevel="1" x14ac:dyDescent="0.25">
      <c r="A91" s="103"/>
      <c r="B91" s="1935" t="s">
        <v>4290</v>
      </c>
      <c r="C91" s="2196" t="s">
        <v>4291</v>
      </c>
      <c r="D91" s="2214" t="s">
        <v>4292</v>
      </c>
      <c r="E91" s="2239">
        <f>(L_ogsatORP_GAO_Half_25-L_ogsatORP_GAO_Half_15)/(25-15)</f>
        <v>-5</v>
      </c>
      <c r="F91" s="2024" t="s">
        <v>4293</v>
      </c>
      <c r="G91" s="2024">
        <v>1</v>
      </c>
      <c r="H91" s="2024"/>
      <c r="I91" s="2286"/>
    </row>
    <row r="92" spans="1:10" s="7" customFormat="1" ht="30" hidden="1" customHeight="1" outlineLevel="1" x14ac:dyDescent="0.25">
      <c r="A92" s="103"/>
      <c r="B92" s="1935" t="s">
        <v>4294</v>
      </c>
      <c r="C92" s="2196" t="s">
        <v>4295</v>
      </c>
      <c r="D92" s="2214" t="s">
        <v>4296</v>
      </c>
      <c r="E92" s="2239">
        <f>L_ogsatORP_GAO_Half_25-s_lORP_GAO_Half_T*25</f>
        <v>-45</v>
      </c>
      <c r="F92" s="2024" t="s">
        <v>2136</v>
      </c>
      <c r="G92" s="2024">
        <v>1</v>
      </c>
      <c r="H92" s="2024"/>
      <c r="I92" s="2286"/>
    </row>
    <row r="93" spans="1:10" s="7" customFormat="1" ht="18" hidden="1" customHeight="1" outlineLevel="1" x14ac:dyDescent="0.25">
      <c r="A93" s="103"/>
      <c r="B93" s="2164" t="s">
        <v>4297</v>
      </c>
      <c r="C93" s="2196" t="s">
        <v>5471</v>
      </c>
      <c r="D93" s="2216" t="s">
        <v>4298</v>
      </c>
      <c r="E93" s="2216">
        <f>s_lORP_GAO_Half_T*T__+y_ORP_GAO_Half_T</f>
        <v>-145</v>
      </c>
      <c r="F93" s="2216" t="s">
        <v>2136</v>
      </c>
      <c r="G93" s="2216">
        <v>2</v>
      </c>
      <c r="H93" s="2193"/>
      <c r="I93" s="2284"/>
      <c r="J93" s="103"/>
    </row>
    <row r="94" spans="1:10" s="7" customFormat="1" ht="18" hidden="1" customHeight="1" outlineLevel="1" x14ac:dyDescent="0.25">
      <c r="A94" s="103"/>
      <c r="B94" s="2164" t="s">
        <v>4299</v>
      </c>
      <c r="C94" s="2196" t="s">
        <v>5472</v>
      </c>
      <c r="D94" s="2217" t="s">
        <v>4854</v>
      </c>
      <c r="E94" s="2240">
        <f>(1/(1+EXP(((L_ogsatORP_GAO_Half_T)-(S_ORPswitch-o_ffsetORPswitch))*(L_ogsatORP_GAO_Slope))))</f>
        <v>0.94784643692158232</v>
      </c>
      <c r="F94" s="2216" t="s">
        <v>283</v>
      </c>
      <c r="G94" s="2216">
        <v>2</v>
      </c>
      <c r="H94" s="2193"/>
      <c r="I94" s="2284"/>
      <c r="J94" s="103"/>
    </row>
    <row r="95" spans="1:10" s="7" customFormat="1" ht="18.75" hidden="1" customHeight="1" outlineLevel="1" thickBot="1" x14ac:dyDescent="0.3">
      <c r="A95" s="103"/>
      <c r="B95" s="2165" t="s">
        <v>3038</v>
      </c>
      <c r="C95" s="2194" t="s">
        <v>3039</v>
      </c>
      <c r="D95" s="2218" t="s">
        <v>4644</v>
      </c>
      <c r="E95" s="2241">
        <f>(1/(1+EXP(((O_RP)-(L_ogsatORP_HFO_Half))*(L_ogsatORP_HFO_Slope))))</f>
        <v>1.8355812980967403E-17</v>
      </c>
      <c r="F95" s="2218" t="s">
        <v>283</v>
      </c>
      <c r="G95" s="2218">
        <v>2</v>
      </c>
      <c r="H95" s="2194"/>
      <c r="I95" s="2285"/>
      <c r="J95" s="103"/>
    </row>
    <row r="96" spans="1:10" s="112" customFormat="1" ht="15.75" collapsed="1" thickBot="1" x14ac:dyDescent="0.3">
      <c r="B96" s="125"/>
      <c r="C96" s="125"/>
      <c r="D96" s="2219"/>
      <c r="E96" s="2219"/>
      <c r="F96" s="125"/>
      <c r="G96" s="125"/>
      <c r="H96" s="125"/>
      <c r="I96" s="125"/>
    </row>
    <row r="97" spans="2:9" s="1730" customFormat="1" ht="15.75" thickBot="1" x14ac:dyDescent="0.3">
      <c r="B97" s="4"/>
      <c r="C97" s="1657" t="s">
        <v>4984</v>
      </c>
      <c r="D97" s="14" t="s">
        <v>301</v>
      </c>
      <c r="E97" s="2242"/>
      <c r="F97" s="4"/>
      <c r="G97" s="4"/>
      <c r="H97" s="4"/>
      <c r="I97" s="4"/>
    </row>
    <row r="98" spans="2:9" ht="15.75" thickBot="1" x14ac:dyDescent="0.3">
      <c r="B98" s="1119" t="s">
        <v>0</v>
      </c>
      <c r="C98" s="940" t="s">
        <v>1</v>
      </c>
      <c r="D98" s="940" t="s">
        <v>5</v>
      </c>
      <c r="E98" s="940" t="s">
        <v>152</v>
      </c>
      <c r="F98" s="940" t="s">
        <v>2</v>
      </c>
      <c r="G98" s="940" t="s">
        <v>300</v>
      </c>
      <c r="H98" s="940" t="s">
        <v>116</v>
      </c>
      <c r="I98" s="1120" t="s">
        <v>117</v>
      </c>
    </row>
    <row r="99" spans="2:9" s="1730" customFormat="1" ht="18.75" hidden="1" outlineLevel="1" thickBot="1" x14ac:dyDescent="0.3">
      <c r="B99" s="2167" t="s">
        <v>4985</v>
      </c>
      <c r="C99" s="2197" t="s">
        <v>4986</v>
      </c>
      <c r="D99" s="2197" t="s">
        <v>5061</v>
      </c>
      <c r="E99" s="2197">
        <f>(1/(1+EXP(((X_TSS/K_XTSS_lightextinction)-(1))*(100))))*(1/(1+EXP(((1)-(J_photosynt_solar/J_photosynt_solar_opt))*(100))))</f>
        <v>3.1393009872987806E-64</v>
      </c>
      <c r="F99" s="2261" t="s">
        <v>283</v>
      </c>
      <c r="G99" s="2197">
        <v>2</v>
      </c>
      <c r="H99" s="2270" t="s">
        <v>4963</v>
      </c>
      <c r="I99" s="2287"/>
    </row>
    <row r="100" spans="2:9" ht="15.75" collapsed="1" thickBot="1" x14ac:dyDescent="0.3">
      <c r="B100" s="130"/>
      <c r="C100" s="130"/>
      <c r="D100" s="130"/>
      <c r="E100" s="130"/>
      <c r="F100" s="130"/>
      <c r="G100" s="130"/>
      <c r="H100" s="130"/>
      <c r="I100" s="130"/>
    </row>
    <row r="101" spans="2:9" ht="15.75" thickBot="1" x14ac:dyDescent="0.3">
      <c r="C101" s="1118" t="s">
        <v>1207</v>
      </c>
      <c r="D101" s="2051" t="s">
        <v>301</v>
      </c>
      <c r="E101" s="103"/>
    </row>
    <row r="102" spans="2:9" ht="15.75" thickBot="1" x14ac:dyDescent="0.3">
      <c r="B102" s="1119" t="s">
        <v>0</v>
      </c>
      <c r="C102" s="940" t="s">
        <v>1</v>
      </c>
      <c r="D102" s="940" t="s">
        <v>5</v>
      </c>
      <c r="E102" s="940" t="s">
        <v>152</v>
      </c>
      <c r="F102" s="940" t="s">
        <v>2</v>
      </c>
      <c r="G102" s="940" t="s">
        <v>300</v>
      </c>
      <c r="H102" s="940" t="s">
        <v>116</v>
      </c>
      <c r="I102" s="1120" t="s">
        <v>117</v>
      </c>
    </row>
    <row r="103" spans="2:9" s="112" customFormat="1" ht="18" hidden="1" customHeight="1" outlineLevel="1" x14ac:dyDescent="0.25">
      <c r="B103" s="2168" t="s">
        <v>1754</v>
      </c>
      <c r="C103" s="2198" t="s">
        <v>2613</v>
      </c>
      <c r="D103" s="2198" t="s">
        <v>1755</v>
      </c>
      <c r="E103" s="2243">
        <f>((conc_Mg2p_I^(1/3)*conc_NH4p_I^(1/3)*conc_PO43m_I^(1/3)-K_sp_STR^(1/3))/K_sp_STR^(1/3))</f>
        <v>-0.96443559715132532</v>
      </c>
      <c r="F103" s="2262" t="s">
        <v>1981</v>
      </c>
      <c r="G103" s="2198">
        <v>2</v>
      </c>
      <c r="H103" s="2262" t="s">
        <v>1612</v>
      </c>
      <c r="I103" s="2288"/>
    </row>
    <row r="104" spans="2:9" s="112" customFormat="1" ht="18" hidden="1" customHeight="1" outlineLevel="1" x14ac:dyDescent="0.25">
      <c r="B104" s="2169" t="s">
        <v>1754</v>
      </c>
      <c r="C104" s="2199" t="s">
        <v>2613</v>
      </c>
      <c r="D104" s="2199" t="s">
        <v>1755</v>
      </c>
      <c r="E104" s="2244">
        <f>((conc_Mg2p_I^(1/3)*conc_NH4p_I^(1/3)*conc_PO43m_I^(1/3)-K_sp_STR^(1/3))/K_sp_STR^(1/3))</f>
        <v>-0.96443559715132532</v>
      </c>
      <c r="F104" s="2244" t="s">
        <v>1981</v>
      </c>
      <c r="G104" s="2199">
        <v>2</v>
      </c>
      <c r="H104" s="2271" t="s">
        <v>5258</v>
      </c>
      <c r="I104" s="2289"/>
    </row>
    <row r="105" spans="2:9" s="112" customFormat="1" ht="18" hidden="1" customHeight="1" outlineLevel="1" x14ac:dyDescent="0.25">
      <c r="B105" s="2169" t="s">
        <v>1754</v>
      </c>
      <c r="C105" s="2199" t="s">
        <v>2613</v>
      </c>
      <c r="D105" s="2199">
        <v>0</v>
      </c>
      <c r="E105" s="2244">
        <f>0</f>
        <v>0</v>
      </c>
      <c r="F105" s="2244" t="s">
        <v>1981</v>
      </c>
      <c r="G105" s="2199">
        <v>0</v>
      </c>
      <c r="H105" s="2271" t="s">
        <v>5259</v>
      </c>
      <c r="I105" s="2289"/>
    </row>
    <row r="106" spans="2:9" s="112" customFormat="1" ht="18" hidden="1" customHeight="1" outlineLevel="1" x14ac:dyDescent="0.25">
      <c r="B106" s="2169" t="s">
        <v>1366</v>
      </c>
      <c r="C106" s="2199" t="s">
        <v>2502</v>
      </c>
      <c r="D106" s="2199" t="s">
        <v>2614</v>
      </c>
      <c r="E106" s="2199">
        <f>IF(P_recipDrivingForceSTR&gt;0,q_STR_PREC,q_STR_DISS*M_satXSTR_KSTR_DISS)</f>
        <v>0</v>
      </c>
      <c r="F106" s="2199" t="s">
        <v>1313</v>
      </c>
      <c r="G106" s="2199">
        <v>0</v>
      </c>
      <c r="H106" s="2244"/>
      <c r="I106" s="2289"/>
    </row>
    <row r="107" spans="2:9" s="112" customFormat="1" ht="18" hidden="1" customHeight="1" outlineLevel="1" x14ac:dyDescent="0.25">
      <c r="B107" s="2170" t="s">
        <v>1599</v>
      </c>
      <c r="C107" s="2200" t="s">
        <v>2615</v>
      </c>
      <c r="D107" s="2200" t="s">
        <v>1756</v>
      </c>
      <c r="E107" s="2245">
        <f>(conc_Ca2p_I^(3/5)*conc_PO43m_I^(2/5)-K_sp_ACP^(1/5))/K_sp_ACP^(1/5)</f>
        <v>-0.58898459210680687</v>
      </c>
      <c r="F107" s="2244" t="s">
        <v>1981</v>
      </c>
      <c r="G107" s="2200">
        <v>2</v>
      </c>
      <c r="H107" s="2272" t="s">
        <v>1612</v>
      </c>
      <c r="I107" s="2290"/>
    </row>
    <row r="108" spans="2:9" s="112" customFormat="1" ht="18" hidden="1" customHeight="1" outlineLevel="1" x14ac:dyDescent="0.25">
      <c r="B108" s="2170" t="s">
        <v>1599</v>
      </c>
      <c r="C108" s="2200" t="s">
        <v>2615</v>
      </c>
      <c r="D108" s="2200" t="s">
        <v>1756</v>
      </c>
      <c r="E108" s="2245">
        <f>(conc_Ca2p_I^(3/5)*conc_PO43m_I^(2/5)-K_sp_ACP^(1/5))/K_sp_ACP^(1/5)</f>
        <v>-0.58898459210680687</v>
      </c>
      <c r="F108" s="2244" t="s">
        <v>1981</v>
      </c>
      <c r="G108" s="2200">
        <v>2</v>
      </c>
      <c r="H108" s="2271" t="s">
        <v>5258</v>
      </c>
      <c r="I108" s="2290"/>
    </row>
    <row r="109" spans="2:9" s="112" customFormat="1" ht="18" hidden="1" customHeight="1" outlineLevel="1" x14ac:dyDescent="0.25">
      <c r="B109" s="2169" t="s">
        <v>1599</v>
      </c>
      <c r="C109" s="2199" t="s">
        <v>2615</v>
      </c>
      <c r="D109" s="2199">
        <v>0</v>
      </c>
      <c r="E109" s="2199">
        <f>0</f>
        <v>0</v>
      </c>
      <c r="F109" s="2244" t="s">
        <v>1981</v>
      </c>
      <c r="G109" s="2199">
        <v>0</v>
      </c>
      <c r="H109" s="2271" t="s">
        <v>5259</v>
      </c>
      <c r="I109" s="2289"/>
    </row>
    <row r="110" spans="2:9" s="112" customFormat="1" ht="18" hidden="1" customHeight="1" outlineLevel="1" x14ac:dyDescent="0.25">
      <c r="B110" s="2169" t="s">
        <v>1367</v>
      </c>
      <c r="C110" s="2199" t="s">
        <v>2504</v>
      </c>
      <c r="D110" s="2199" t="s">
        <v>2616</v>
      </c>
      <c r="E110" s="2199">
        <f>IF(P_recipDrivingForceACP&gt;0,q_ACP_PREC,-q_ACP_DISS*M_satXACP_KACP_DISS)</f>
        <v>0</v>
      </c>
      <c r="F110" s="2199" t="s">
        <v>1313</v>
      </c>
      <c r="G110" s="2199">
        <v>0</v>
      </c>
      <c r="H110" s="2244"/>
      <c r="I110" s="2289"/>
    </row>
    <row r="111" spans="2:9" s="112" customFormat="1" ht="18" hidden="1" customHeight="1" outlineLevel="1" x14ac:dyDescent="0.25">
      <c r="B111" s="2170" t="s">
        <v>4300</v>
      </c>
      <c r="C111" s="2200" t="s">
        <v>4301</v>
      </c>
      <c r="D111" s="2200" t="s">
        <v>4302</v>
      </c>
      <c r="E111" s="2245">
        <f>(conc_Ca2p_I^(1/2)*conc_HPO42m_I^(1/2)-K_sp_BSH^(1/2))/K_sp_BSH^(1/2)</f>
        <v>-0.70194703022622273</v>
      </c>
      <c r="F111" s="2244" t="s">
        <v>1981</v>
      </c>
      <c r="G111" s="2200">
        <v>2</v>
      </c>
      <c r="H111" s="2272" t="s">
        <v>1612</v>
      </c>
      <c r="I111" s="2290"/>
    </row>
    <row r="112" spans="2:9" s="112" customFormat="1" ht="18" hidden="1" customHeight="1" outlineLevel="1" x14ac:dyDescent="0.25">
      <c r="B112" s="2170" t="s">
        <v>4300</v>
      </c>
      <c r="C112" s="2200" t="s">
        <v>4301</v>
      </c>
      <c r="D112" s="2200" t="s">
        <v>4302</v>
      </c>
      <c r="E112" s="2245">
        <f>(conc_Ca2p_I^(1/2)*conc_HPO42m_I^(1/2)-K_sp_BSH^(1/2))/K_sp_BSH^(1/2)</f>
        <v>-0.70194703022622273</v>
      </c>
      <c r="F112" s="2244" t="s">
        <v>1981</v>
      </c>
      <c r="G112" s="2200">
        <v>2</v>
      </c>
      <c r="H112" s="2271" t="s">
        <v>5258</v>
      </c>
      <c r="I112" s="2290"/>
    </row>
    <row r="113" spans="2:9" s="112" customFormat="1" ht="18" hidden="1" customHeight="1" outlineLevel="1" x14ac:dyDescent="0.25">
      <c r="B113" s="2169" t="s">
        <v>4300</v>
      </c>
      <c r="C113" s="2199" t="s">
        <v>4301</v>
      </c>
      <c r="D113" s="2199">
        <v>0</v>
      </c>
      <c r="E113" s="2199">
        <f>0</f>
        <v>0</v>
      </c>
      <c r="F113" s="2244" t="s">
        <v>1981</v>
      </c>
      <c r="G113" s="2199">
        <v>0</v>
      </c>
      <c r="H113" s="2271" t="s">
        <v>5259</v>
      </c>
      <c r="I113" s="2289"/>
    </row>
    <row r="114" spans="2:9" s="112" customFormat="1" ht="18" hidden="1" customHeight="1" outlineLevel="1" x14ac:dyDescent="0.25">
      <c r="B114" s="2169" t="s">
        <v>4303</v>
      </c>
      <c r="C114" s="2199" t="s">
        <v>4304</v>
      </c>
      <c r="D114" s="2199" t="s">
        <v>4305</v>
      </c>
      <c r="E114" s="2199">
        <f>IF(P_recipDrivingForceBSH&gt;0,q_BSH_PREC,-q_BSH_DISS*M_satXBSH_KBSH_DISS)</f>
        <v>0</v>
      </c>
      <c r="F114" s="2199" t="s">
        <v>4306</v>
      </c>
      <c r="G114" s="2199">
        <v>0</v>
      </c>
      <c r="H114" s="2244"/>
      <c r="I114" s="2289"/>
    </row>
    <row r="115" spans="2:9" s="112" customFormat="1" ht="18" hidden="1" customHeight="1" outlineLevel="1" x14ac:dyDescent="0.25">
      <c r="B115" s="2170" t="s">
        <v>1600</v>
      </c>
      <c r="C115" s="2200" t="s">
        <v>2617</v>
      </c>
      <c r="D115" s="2200" t="s">
        <v>1757</v>
      </c>
      <c r="E115" s="2245">
        <f>(conc_Ca2p_I^(1/2)*conc_CO32m_I^(1/2)-K_sp_CaCO3^(1/2))/K_sp_CaCO3^(1/2)</f>
        <v>-0.82475976089429781</v>
      </c>
      <c r="F115" s="2244" t="s">
        <v>1981</v>
      </c>
      <c r="G115" s="2200">
        <v>2</v>
      </c>
      <c r="H115" s="2272" t="s">
        <v>1612</v>
      </c>
      <c r="I115" s="2290"/>
    </row>
    <row r="116" spans="2:9" s="112" customFormat="1" ht="18" hidden="1" customHeight="1" outlineLevel="1" x14ac:dyDescent="0.25">
      <c r="B116" s="2170" t="s">
        <v>1600</v>
      </c>
      <c r="C116" s="2200" t="s">
        <v>2617</v>
      </c>
      <c r="D116" s="2200" t="s">
        <v>1757</v>
      </c>
      <c r="E116" s="2245">
        <f>(conc_Ca2p_I^(1/2)*conc_CO32m_I^(1/2)-K_sp_CaCO3^(1/2))/K_sp_CaCO3^(1/2)</f>
        <v>-0.82475976089429781</v>
      </c>
      <c r="F116" s="2244" t="s">
        <v>1981</v>
      </c>
      <c r="G116" s="2200">
        <v>2</v>
      </c>
      <c r="H116" s="2271" t="s">
        <v>5258</v>
      </c>
      <c r="I116" s="2290"/>
    </row>
    <row r="117" spans="2:9" s="112" customFormat="1" ht="18" hidden="1" customHeight="1" outlineLevel="1" x14ac:dyDescent="0.25">
      <c r="B117" s="2169" t="s">
        <v>1600</v>
      </c>
      <c r="C117" s="2199" t="s">
        <v>2617</v>
      </c>
      <c r="D117" s="2199">
        <v>0</v>
      </c>
      <c r="E117" s="2199">
        <f>0</f>
        <v>0</v>
      </c>
      <c r="F117" s="2244" t="s">
        <v>1981</v>
      </c>
      <c r="G117" s="2199">
        <v>0</v>
      </c>
      <c r="H117" s="2271" t="s">
        <v>5259</v>
      </c>
      <c r="I117" s="2289"/>
    </row>
    <row r="118" spans="2:9" s="112" customFormat="1" ht="18" hidden="1" customHeight="1" outlineLevel="1" x14ac:dyDescent="0.25">
      <c r="B118" s="2169" t="s">
        <v>1368</v>
      </c>
      <c r="C118" s="2199" t="s">
        <v>2500</v>
      </c>
      <c r="D118" s="2199" t="s">
        <v>2618</v>
      </c>
      <c r="E118" s="2199">
        <f>IF(P_recipDrivingForceCaCO3&gt;0,q_CaCO3_PREC,-q_CaCO3_DISS*M_satXCaCO3_KCaCO3_DISS)</f>
        <v>0</v>
      </c>
      <c r="F118" s="2199" t="s">
        <v>1313</v>
      </c>
      <c r="G118" s="2199">
        <v>0</v>
      </c>
      <c r="H118" s="2244"/>
      <c r="I118" s="2289"/>
    </row>
    <row r="119" spans="2:9" s="112" customFormat="1" ht="18" hidden="1" customHeight="1" outlineLevel="1" x14ac:dyDescent="0.25">
      <c r="B119" s="2170" t="s">
        <v>1758</v>
      </c>
      <c r="C119" s="2200" t="s">
        <v>2619</v>
      </c>
      <c r="D119" s="2200" t="s">
        <v>1759</v>
      </c>
      <c r="E119" s="2246">
        <f>((conc_Fe2p_I^(3/5)*conc_PO43m_I^(2/5)-K_sp_Vivi^(1/5))/K_sp_Vivi^(1/5))</f>
        <v>-1</v>
      </c>
      <c r="F119" s="2244" t="s">
        <v>1981</v>
      </c>
      <c r="G119" s="2200">
        <v>2</v>
      </c>
      <c r="H119" s="2272" t="s">
        <v>1612</v>
      </c>
      <c r="I119" s="2290"/>
    </row>
    <row r="120" spans="2:9" s="112" customFormat="1" ht="18" hidden="1" customHeight="1" outlineLevel="1" x14ac:dyDescent="0.25">
      <c r="B120" s="2170" t="s">
        <v>1758</v>
      </c>
      <c r="C120" s="2200" t="s">
        <v>2619</v>
      </c>
      <c r="D120" s="2200" t="s">
        <v>1759</v>
      </c>
      <c r="E120" s="2246">
        <f>((conc_Fe2p_I^(3/5)*conc_PO43m_I^(2/5)-K_sp_Vivi^(1/5))/K_sp_Vivi^(1/5))</f>
        <v>-1</v>
      </c>
      <c r="F120" s="2244" t="s">
        <v>1981</v>
      </c>
      <c r="G120" s="2200">
        <v>2</v>
      </c>
      <c r="H120" s="2271" t="s">
        <v>5258</v>
      </c>
      <c r="I120" s="2290"/>
    </row>
    <row r="121" spans="2:9" s="112" customFormat="1" ht="18" hidden="1" customHeight="1" outlineLevel="1" x14ac:dyDescent="0.25">
      <c r="B121" s="2169" t="s">
        <v>1758</v>
      </c>
      <c r="C121" s="2199" t="s">
        <v>2619</v>
      </c>
      <c r="D121" s="2199">
        <v>0</v>
      </c>
      <c r="E121" s="2244">
        <f>0</f>
        <v>0</v>
      </c>
      <c r="F121" s="2244" t="s">
        <v>1981</v>
      </c>
      <c r="G121" s="2199">
        <v>0</v>
      </c>
      <c r="H121" s="2271" t="s">
        <v>5259</v>
      </c>
      <c r="I121" s="2289"/>
    </row>
    <row r="122" spans="2:9" s="112" customFormat="1" ht="18" hidden="1" customHeight="1" outlineLevel="1" thickBot="1" x14ac:dyDescent="0.3">
      <c r="B122" s="2171" t="s">
        <v>1369</v>
      </c>
      <c r="C122" s="2201" t="s">
        <v>2506</v>
      </c>
      <c r="D122" s="2201" t="s">
        <v>2620</v>
      </c>
      <c r="E122" s="2201">
        <f>IF(P_recipDrivingForceVivi&gt;0,q_Vivi_PREC,-q_Vivi_DISS*M_satXVivi_KVivi_DISS)</f>
        <v>0</v>
      </c>
      <c r="F122" s="2201" t="s">
        <v>1313</v>
      </c>
      <c r="G122" s="2201">
        <v>0</v>
      </c>
      <c r="H122" s="2273"/>
      <c r="I122" s="2291"/>
    </row>
    <row r="123" spans="2:9" ht="15.75" collapsed="1" thickBot="1" x14ac:dyDescent="0.3">
      <c r="B123" s="130"/>
      <c r="C123" s="130"/>
      <c r="D123" s="130"/>
      <c r="E123" s="130"/>
      <c r="F123" s="130"/>
      <c r="G123" s="130"/>
      <c r="H123" s="130"/>
      <c r="I123" s="130"/>
    </row>
    <row r="124" spans="2:9" ht="15.75" thickBot="1" x14ac:dyDescent="0.3">
      <c r="C124" s="1118" t="s">
        <v>329</v>
      </c>
      <c r="D124" s="2051" t="s">
        <v>301</v>
      </c>
      <c r="E124" s="103"/>
    </row>
    <row r="125" spans="2:9" ht="15.75" thickBot="1" x14ac:dyDescent="0.3">
      <c r="B125" s="1119" t="s">
        <v>0</v>
      </c>
      <c r="C125" s="940" t="s">
        <v>1</v>
      </c>
      <c r="D125" s="940" t="s">
        <v>5</v>
      </c>
      <c r="E125" s="940" t="s">
        <v>152</v>
      </c>
      <c r="F125" s="940" t="s">
        <v>2</v>
      </c>
      <c r="G125" s="940" t="s">
        <v>300</v>
      </c>
      <c r="H125" s="940" t="s">
        <v>116</v>
      </c>
      <c r="I125" s="1120" t="s">
        <v>117</v>
      </c>
    </row>
    <row r="126" spans="2:9" ht="18" hidden="1" customHeight="1" outlineLevel="1" x14ac:dyDescent="0.25">
      <c r="B126" s="2172" t="s">
        <v>330</v>
      </c>
      <c r="C126" s="2202" t="s">
        <v>2910</v>
      </c>
      <c r="D126" s="2220" t="s">
        <v>5507</v>
      </c>
      <c r="E126" s="2247">
        <f>C_OUR+N_OUR-(v_89_SO2*r_89)</f>
        <v>643.02416622286182</v>
      </c>
      <c r="F126" s="2263" t="s">
        <v>353</v>
      </c>
      <c r="G126" s="2263">
        <v>1</v>
      </c>
      <c r="H126" s="2469" t="s">
        <v>2099</v>
      </c>
      <c r="I126" s="2292"/>
    </row>
    <row r="127" spans="2:9" ht="51" hidden="1" customHeight="1" outlineLevel="1" x14ac:dyDescent="0.25">
      <c r="B127" s="1935" t="s">
        <v>2095</v>
      </c>
      <c r="C127" s="1965" t="s">
        <v>2623</v>
      </c>
      <c r="D127" s="2208" t="s">
        <v>4583</v>
      </c>
      <c r="E127" s="2239">
        <f>-(v_1_SO2*r_1+v_6_SO2*r_6+v_13_SO2*r_13+v_20_SO2*r_20+v_23_SO2*r_23+v_26_SO2*r_26+v_31_SO2*r_31)</f>
        <v>372.4839220066911</v>
      </c>
      <c r="F127" s="1965" t="s">
        <v>353</v>
      </c>
      <c r="G127" s="1965">
        <v>1</v>
      </c>
      <c r="H127" s="2259" t="s">
        <v>2099</v>
      </c>
      <c r="I127" s="2293"/>
    </row>
    <row r="128" spans="2:9" ht="18" hidden="1" customHeight="1" outlineLevel="1" x14ac:dyDescent="0.25">
      <c r="B128" s="1935" t="s">
        <v>2096</v>
      </c>
      <c r="C128" s="2024" t="s">
        <v>2624</v>
      </c>
      <c r="D128" s="2208" t="s">
        <v>4859</v>
      </c>
      <c r="E128" s="2239">
        <f>-(v_41_SO2*r_41+v_42_SO2*r_42+v_43_SO2*r_43+v_48_SO2*r_48)</f>
        <v>270.54024421617066</v>
      </c>
      <c r="F128" s="2024" t="s">
        <v>353</v>
      </c>
      <c r="G128" s="1965">
        <v>1</v>
      </c>
      <c r="H128" s="2259" t="s">
        <v>2099</v>
      </c>
      <c r="I128" s="2293"/>
    </row>
    <row r="129" spans="2:9" ht="51" hidden="1" customHeight="1" outlineLevel="1" x14ac:dyDescent="0.25">
      <c r="B129" s="2173" t="s">
        <v>2621</v>
      </c>
      <c r="C129" s="1965" t="s">
        <v>332</v>
      </c>
      <c r="D129" s="2209" t="s">
        <v>5508</v>
      </c>
      <c r="E129" s="2239">
        <f>-(v_2_SNO3*r_2+v_7_SNO3*r_7+v_17_SNO3*r_17+v_22_SNO3*r_22+v_25_SNO3*r_25+v_28_SNO3*r_28+v_33_SNO3*r_33+v_80_SNO3*r_80)</f>
        <v>6.3638159030897672</v>
      </c>
      <c r="F129" s="1965" t="s">
        <v>1760</v>
      </c>
      <c r="G129" s="1965">
        <v>1</v>
      </c>
      <c r="H129" s="2259" t="s">
        <v>2099</v>
      </c>
      <c r="I129" s="2294"/>
    </row>
    <row r="130" spans="2:9" ht="69" hidden="1" customHeight="1" outlineLevel="1" x14ac:dyDescent="0.25">
      <c r="B130" s="2173" t="s">
        <v>2622</v>
      </c>
      <c r="C130" s="1965" t="s">
        <v>2258</v>
      </c>
      <c r="D130" s="2209" t="s">
        <v>5509</v>
      </c>
      <c r="E130" s="2248">
        <f>-(v_3_SNO2*r_3+v_8_SNO2*r_8+v_16_SNO2*r_16+v_21_SNO2*r_21+v_24_SNO2*r_24+v_27_SNO2*r_27+v_32_SNO2*r_32+v_45_SNO2*r_45+v_48_SNO2*r_48+v_54_SNO2*r_54+v_79_SNO2*r_79)</f>
        <v>59.981608380993862</v>
      </c>
      <c r="F130" s="1965" t="s">
        <v>1760</v>
      </c>
      <c r="G130" s="1965">
        <v>1</v>
      </c>
      <c r="H130" s="2259" t="s">
        <v>2099</v>
      </c>
      <c r="I130" s="2294"/>
    </row>
    <row r="131" spans="2:9" ht="18" hidden="1" customHeight="1" outlineLevel="1" x14ac:dyDescent="0.25">
      <c r="B131" s="2173" t="s">
        <v>3933</v>
      </c>
      <c r="C131" s="1965" t="s">
        <v>3935</v>
      </c>
      <c r="D131" s="2173" t="s">
        <v>5111</v>
      </c>
      <c r="E131" s="2248">
        <f>N_2OPR_denit+N_2OPR_nit+N_2OPR_AR</f>
        <v>2.0594556184322932</v>
      </c>
      <c r="F131" s="1965" t="s">
        <v>3940</v>
      </c>
      <c r="G131" s="1965">
        <v>2</v>
      </c>
      <c r="H131" s="2259" t="s">
        <v>2099</v>
      </c>
      <c r="I131" s="2294"/>
    </row>
    <row r="132" spans="2:9" ht="18" hidden="1" customHeight="1" outlineLevel="1" x14ac:dyDescent="0.25">
      <c r="B132" s="2173" t="s">
        <v>4769</v>
      </c>
      <c r="C132" s="1965" t="s">
        <v>4770</v>
      </c>
      <c r="D132" s="2209" t="s">
        <v>4771</v>
      </c>
      <c r="E132" s="2248">
        <f>MAX(0,-(v_4_SN2O*r_4+v_9_SN2O*r_9+v_5_SN2O*r_5+v_10_SN2O*r_10))</f>
        <v>0</v>
      </c>
      <c r="F132" s="1965" t="s">
        <v>3940</v>
      </c>
      <c r="G132" s="1965">
        <v>2</v>
      </c>
      <c r="H132" s="2259" t="s">
        <v>2099</v>
      </c>
      <c r="I132" s="2294"/>
    </row>
    <row r="133" spans="2:9" ht="18" hidden="1" customHeight="1" outlineLevel="1" x14ac:dyDescent="0.25">
      <c r="B133" s="2173" t="s">
        <v>3942</v>
      </c>
      <c r="C133" s="1965" t="s">
        <v>3944</v>
      </c>
      <c r="D133" s="2209" t="s">
        <v>4768</v>
      </c>
      <c r="E133" s="2248">
        <f>MAX(0,v_4_SN2O*r_4+v_9_SN2O*r_9+v_5_SN2O*r_5+v_10_SN2O*r_10)</f>
        <v>2.0500517789232475</v>
      </c>
      <c r="F133" s="1965" t="s">
        <v>3940</v>
      </c>
      <c r="G133" s="1965">
        <v>2</v>
      </c>
      <c r="H133" s="2259" t="s">
        <v>2099</v>
      </c>
      <c r="I133" s="2294"/>
    </row>
    <row r="134" spans="2:9" ht="18" hidden="1" customHeight="1" outlineLevel="1" x14ac:dyDescent="0.25">
      <c r="B134" s="2173" t="s">
        <v>3943</v>
      </c>
      <c r="C134" s="1965" t="s">
        <v>3945</v>
      </c>
      <c r="D134" s="2173" t="s">
        <v>5110</v>
      </c>
      <c r="E134" s="2248">
        <f>N_2OPR_NN+N_2OPR_ND</f>
        <v>8.1860016492988005E-3</v>
      </c>
      <c r="F134" s="1965" t="s">
        <v>3940</v>
      </c>
      <c r="G134" s="1965">
        <v>2</v>
      </c>
      <c r="H134" s="2259" t="s">
        <v>2099</v>
      </c>
      <c r="I134" s="2294"/>
    </row>
    <row r="135" spans="2:9" ht="18" hidden="1" customHeight="1" outlineLevel="1" x14ac:dyDescent="0.25">
      <c r="B135" s="2173" t="s">
        <v>3934</v>
      </c>
      <c r="C135" s="1965" t="s">
        <v>3936</v>
      </c>
      <c r="D135" s="2209" t="s">
        <v>4584</v>
      </c>
      <c r="E135" s="2248">
        <f>v_44_SN2O*r_44</f>
        <v>7.2527472527472523E-3</v>
      </c>
      <c r="F135" s="1965" t="s">
        <v>3940</v>
      </c>
      <c r="G135" s="1965">
        <v>2</v>
      </c>
      <c r="H135" s="2259" t="s">
        <v>2099</v>
      </c>
      <c r="I135" s="2294"/>
    </row>
    <row r="136" spans="2:9" ht="18" hidden="1" customHeight="1" outlineLevel="1" x14ac:dyDescent="0.25">
      <c r="B136" s="2173" t="s">
        <v>3937</v>
      </c>
      <c r="C136" s="1965" t="s">
        <v>3938</v>
      </c>
      <c r="D136" s="2209" t="s">
        <v>4860</v>
      </c>
      <c r="E136" s="2248">
        <f>v_45_SN2O*r_45</f>
        <v>9.3325439655154833E-4</v>
      </c>
      <c r="F136" s="1965" t="s">
        <v>3940</v>
      </c>
      <c r="G136" s="1965">
        <v>2</v>
      </c>
      <c r="H136" s="2259" t="s">
        <v>2099</v>
      </c>
      <c r="I136" s="2294"/>
    </row>
    <row r="137" spans="2:9" ht="18" hidden="1" customHeight="1" outlineLevel="1" x14ac:dyDescent="0.25">
      <c r="B137" s="2173" t="s">
        <v>5108</v>
      </c>
      <c r="C137" s="1965" t="s">
        <v>5109</v>
      </c>
      <c r="D137" s="2209" t="s">
        <v>5127</v>
      </c>
      <c r="E137" s="2248">
        <f>v_51_SN2O*r_51+v_52_SN2O*r_52+v_53_SN2O*r_53</f>
        <v>1.2178378597468289E-3</v>
      </c>
      <c r="F137" s="1965" t="s">
        <v>3940</v>
      </c>
      <c r="G137" s="1965">
        <v>2</v>
      </c>
      <c r="H137" s="2259" t="s">
        <v>2099</v>
      </c>
      <c r="I137" s="2294"/>
    </row>
    <row r="138" spans="2:9" ht="51" hidden="1" customHeight="1" outlineLevel="1" x14ac:dyDescent="0.25">
      <c r="B138" s="2173" t="s">
        <v>333</v>
      </c>
      <c r="C138" s="1965" t="s">
        <v>334</v>
      </c>
      <c r="D138" s="2209" t="s">
        <v>5510</v>
      </c>
      <c r="E138" s="2248">
        <f>i_N_BIO*(r_1+r_2+r_3+r_4+r_5+r_6+r_7+r_8+r_9+r_10+r_11+r_12+r_13+r_16+r_17+r_20+r_21+r_22+r_26+r_27+r_28+r_36+r_37+r_42+r_61+r_57+r_60)-(v_41_SNHx*r_41+v_54_SNHx*r_54+v_100_SNHx*r_100)</f>
        <v>128.49507187833404</v>
      </c>
      <c r="F138" s="1965" t="s">
        <v>1760</v>
      </c>
      <c r="G138" s="1965">
        <v>1</v>
      </c>
      <c r="H138" s="2259" t="s">
        <v>2099</v>
      </c>
      <c r="I138" s="2294"/>
    </row>
    <row r="139" spans="2:9" s="112" customFormat="1" ht="18" hidden="1" outlineLevel="1" x14ac:dyDescent="0.25">
      <c r="B139" s="2157" t="s">
        <v>4881</v>
      </c>
      <c r="C139" s="1965" t="s">
        <v>4882</v>
      </c>
      <c r="D139" s="2209" t="s">
        <v>5128</v>
      </c>
      <c r="E139" s="2249">
        <f>-(v_54_SNHx*r_54+v_54_SNO2*r_54)</f>
        <v>6.7069527708493656E-3</v>
      </c>
      <c r="F139" s="2189" t="s">
        <v>1760</v>
      </c>
      <c r="G139" s="2189">
        <v>1</v>
      </c>
      <c r="H139" s="2259" t="s">
        <v>2099</v>
      </c>
      <c r="I139" s="2295"/>
    </row>
    <row r="140" spans="2:9" ht="18" hidden="1" customHeight="1" outlineLevel="1" x14ac:dyDescent="0.25">
      <c r="B140" s="2173" t="s">
        <v>1875</v>
      </c>
      <c r="C140" s="1965" t="s">
        <v>1876</v>
      </c>
      <c r="D140" s="2209" t="s">
        <v>2382</v>
      </c>
      <c r="E140" s="2236">
        <f>P_URBIO+P_URCHEM</f>
        <v>319.94747331746009</v>
      </c>
      <c r="F140" s="1965" t="s">
        <v>1877</v>
      </c>
      <c r="G140" s="1965">
        <v>1</v>
      </c>
      <c r="H140" s="2259" t="s">
        <v>2099</v>
      </c>
      <c r="I140" s="2294"/>
    </row>
    <row r="141" spans="2:9" ht="51" hidden="1" customHeight="1" outlineLevel="1" x14ac:dyDescent="0.25">
      <c r="B141" s="2173" t="s">
        <v>1878</v>
      </c>
      <c r="C141" s="2025" t="s">
        <v>2911</v>
      </c>
      <c r="D141" s="2209" t="s">
        <v>5129</v>
      </c>
      <c r="E141" s="2236">
        <f>i_P_BIO*(r_1+r_2+r_3+r_4+r_5+r_6+r_7+r_8+r_9+r_10+r_11+r_12+r_13+r_16+r_17+r_20+r_21+r_22+r_36+r_37+r_42+r_48+r_54+r_57+r_60)-(v_23_SPO4*r_23+v_24_SPO4*r_24+v_25_SPO4*r_25)</f>
        <v>319.94747331746009</v>
      </c>
      <c r="F141" s="1965" t="s">
        <v>1877</v>
      </c>
      <c r="G141" s="1965">
        <v>1</v>
      </c>
      <c r="H141" s="2259" t="s">
        <v>2099</v>
      </c>
      <c r="I141" s="2294"/>
    </row>
    <row r="142" spans="2:9" ht="51" hidden="1" customHeight="1" outlineLevel="1" x14ac:dyDescent="0.25">
      <c r="B142" s="2173" t="s">
        <v>1879</v>
      </c>
      <c r="C142" s="2025" t="s">
        <v>2912</v>
      </c>
      <c r="D142" s="2209" t="s">
        <v>5511</v>
      </c>
      <c r="E142" s="2236">
        <f>-(v_83_SPO4*r_83+v_84_SPO4*r_84+v_94_SPO4*r_94+v_95_SPO4*r_95+v_98_SPO4*r_98+v_99_SPO4*r_99+v_100_SPO4*r_100+v_101_SPO4*r_101)</f>
        <v>1.0650929042615618E-48</v>
      </c>
      <c r="F142" s="1965" t="s">
        <v>1877</v>
      </c>
      <c r="G142" s="1965">
        <v>1</v>
      </c>
      <c r="H142" s="2259" t="s">
        <v>2099</v>
      </c>
      <c r="I142" s="2294"/>
    </row>
    <row r="143" spans="2:9" ht="51" hidden="1" customHeight="1" outlineLevel="1" x14ac:dyDescent="0.25">
      <c r="B143" s="2173" t="s">
        <v>1880</v>
      </c>
      <c r="C143" s="2025" t="s">
        <v>1881</v>
      </c>
      <c r="D143" s="2209" t="s">
        <v>5512</v>
      </c>
      <c r="E143" s="2236">
        <f>v_29_SPO4*r_29+v_35_SPO4*r_35+v_38_SPO4*r_38+v_39_SPO4*r_39+v_74_SPO4*r_74+v_79_SPO4*r_79+v_80_SPO4*r_80+v_85_SPO4*r_85+v_86_SPO4*r_86+v_87_SPO4*r_87+v_88_SPO4*r_88+v_94_SPO4*r_94+v_95_SPO4*r_95+v_96_SPO4*r_96</f>
        <v>8.8634891075117554</v>
      </c>
      <c r="F143" s="1965" t="s">
        <v>1877</v>
      </c>
      <c r="G143" s="1965">
        <v>1</v>
      </c>
      <c r="H143" s="2259" t="s">
        <v>2099</v>
      </c>
      <c r="I143" s="2294"/>
    </row>
    <row r="144" spans="2:9" ht="51" hidden="1" customHeight="1" outlineLevel="1" x14ac:dyDescent="0.25">
      <c r="B144" s="2173" t="s">
        <v>5134</v>
      </c>
      <c r="C144" s="2025" t="s">
        <v>5132</v>
      </c>
      <c r="D144" s="2209" t="s">
        <v>5120</v>
      </c>
      <c r="E144" s="2236">
        <f>q_NH2OH_NO2*EXP(a_NH2OH_NO2_pH*p_H)</f>
        <v>2.5767820679402402</v>
      </c>
      <c r="F144" s="1965" t="s">
        <v>5096</v>
      </c>
      <c r="G144" s="1965"/>
      <c r="H144" s="1965" t="s">
        <v>11</v>
      </c>
      <c r="I144" s="2294"/>
    </row>
    <row r="145" spans="1:10" ht="54.75" hidden="1" customHeight="1" outlineLevel="1" thickBot="1" x14ac:dyDescent="0.3">
      <c r="B145" s="2174" t="s">
        <v>5134</v>
      </c>
      <c r="C145" s="1969" t="s">
        <v>5132</v>
      </c>
      <c r="D145" s="2221" t="s">
        <v>5131</v>
      </c>
      <c r="E145" s="2250">
        <f>0</f>
        <v>0</v>
      </c>
      <c r="F145" s="1969" t="s">
        <v>5096</v>
      </c>
      <c r="G145" s="1969"/>
      <c r="H145" s="1969" t="s">
        <v>1150</v>
      </c>
      <c r="I145" s="2296"/>
    </row>
    <row r="146" spans="1:10" s="112" customFormat="1" ht="72" hidden="1" outlineLevel="1" x14ac:dyDescent="0.25">
      <c r="A146" s="4"/>
      <c r="B146" s="2157" t="s">
        <v>5541</v>
      </c>
      <c r="C146" s="2186" t="s">
        <v>5542</v>
      </c>
      <c r="D146" s="2466" t="s">
        <v>5546</v>
      </c>
      <c r="E146" s="2467">
        <f>-(v_1_SVFA*r_1+v_2_SVFA*r_2+v_3_SVFA*r_3+v_4_SVFA*r_4+v_5_SVFA*r_5+v_29_SVFA*29+v_30_SVFA*r_30+v_57_SVFA*r_57+v_6_SB*r_6+v_7_SB*r_7+v_8_SB*r_8+v_9_SB*r_9+v_10_SB*r_10+v_11_SB*r_11+v_12_SB*r_12+v_36_SB*r_36+v_37_SB*r_37+v_13_SMEOL*r_13+v_16_SMEOL*r_16+v_17_SMEOL*r_17)</f>
        <v>563.50611315017818</v>
      </c>
      <c r="F146" s="2259" t="s">
        <v>5543</v>
      </c>
      <c r="G146" s="2259">
        <v>1</v>
      </c>
      <c r="H146" s="2259"/>
      <c r="I146" s="2468"/>
      <c r="J146" s="1730"/>
    </row>
    <row r="147" spans="1:10" s="112" customFormat="1" ht="33" hidden="1" outlineLevel="1" x14ac:dyDescent="0.25">
      <c r="A147" s="4"/>
      <c r="B147" s="2157" t="s">
        <v>5544</v>
      </c>
      <c r="C147" s="2186" t="s">
        <v>5545</v>
      </c>
      <c r="D147" s="2466" t="s">
        <v>5547</v>
      </c>
      <c r="E147" s="2467">
        <f>v_11_SH2*r_11+v_12_SH2*r_12+v_36_SH2*r_36+v_37_SH2*r_37+v_57_SCH4*r_57+v_60_SCH4*r_60</f>
        <v>4.3510081974740746E-2</v>
      </c>
      <c r="F147" s="2259" t="s">
        <v>5543</v>
      </c>
      <c r="G147" s="2259">
        <v>1</v>
      </c>
      <c r="H147" s="2259"/>
      <c r="I147" s="2468"/>
      <c r="J147" s="1730"/>
    </row>
    <row r="148" spans="1:10" ht="15.75" collapsed="1" thickBot="1" x14ac:dyDescent="0.3">
      <c r="B148" s="130"/>
      <c r="C148" s="130"/>
      <c r="E148" s="130"/>
      <c r="F148" s="130"/>
      <c r="G148" s="130"/>
      <c r="H148" s="130"/>
      <c r="I148" s="130"/>
    </row>
    <row r="149" spans="1:10" ht="15.75" thickBot="1" x14ac:dyDescent="0.3">
      <c r="C149" s="1118" t="s">
        <v>2131</v>
      </c>
      <c r="D149" s="2051" t="s">
        <v>301</v>
      </c>
      <c r="E149" s="103"/>
    </row>
    <row r="150" spans="1:10" ht="15.75" thickBot="1" x14ac:dyDescent="0.3">
      <c r="B150" s="1119" t="s">
        <v>0</v>
      </c>
      <c r="C150" s="940" t="s">
        <v>1</v>
      </c>
      <c r="D150" s="940" t="s">
        <v>5</v>
      </c>
      <c r="E150" s="940" t="s">
        <v>152</v>
      </c>
      <c r="F150" s="940" t="s">
        <v>2</v>
      </c>
      <c r="G150" s="940" t="s">
        <v>300</v>
      </c>
      <c r="H150" s="940" t="s">
        <v>116</v>
      </c>
      <c r="I150" s="1120" t="s">
        <v>117</v>
      </c>
    </row>
    <row r="151" spans="1:10" s="956" customFormat="1" ht="18" hidden="1" customHeight="1" outlineLevel="1" x14ac:dyDescent="0.25">
      <c r="B151" s="2175" t="s">
        <v>1980</v>
      </c>
      <c r="C151" s="2185" t="s">
        <v>2625</v>
      </c>
      <c r="D151" s="2222" t="s">
        <v>2098</v>
      </c>
      <c r="E151" s="2251">
        <f>m_tox_ana_max</f>
        <v>10</v>
      </c>
      <c r="F151" s="2264" t="s">
        <v>1981</v>
      </c>
      <c r="G151" s="2264">
        <v>1</v>
      </c>
      <c r="H151" s="2251" t="s">
        <v>1208</v>
      </c>
      <c r="I151" s="2297"/>
      <c r="J151" s="127"/>
    </row>
    <row r="152" spans="1:10" s="956" customFormat="1" ht="18.75" hidden="1" customHeight="1" outlineLevel="1" thickBot="1" x14ac:dyDescent="0.3">
      <c r="B152" s="2176" t="s">
        <v>1980</v>
      </c>
      <c r="C152" s="2203" t="s">
        <v>2626</v>
      </c>
      <c r="D152" s="2203">
        <v>0</v>
      </c>
      <c r="E152" s="2203">
        <f>0</f>
        <v>0</v>
      </c>
      <c r="F152" s="2265" t="s">
        <v>1981</v>
      </c>
      <c r="G152" s="2265">
        <v>1</v>
      </c>
      <c r="H152" s="2203" t="s">
        <v>2099</v>
      </c>
      <c r="I152" s="2298"/>
      <c r="J152" s="127"/>
    </row>
    <row r="153" spans="1:10" ht="15.75" collapsed="1" thickBot="1" x14ac:dyDescent="0.3">
      <c r="B153" s="130"/>
      <c r="C153" s="130"/>
      <c r="D153" s="130"/>
      <c r="E153" s="130"/>
      <c r="F153" s="130"/>
      <c r="G153" s="130"/>
      <c r="H153" s="130"/>
      <c r="I153" s="130"/>
    </row>
    <row r="154" spans="1:10" ht="15.75" thickBot="1" x14ac:dyDescent="0.3">
      <c r="C154" s="1118" t="s">
        <v>2886</v>
      </c>
      <c r="D154" s="2051" t="s">
        <v>301</v>
      </c>
      <c r="E154" s="103"/>
    </row>
    <row r="155" spans="1:10" ht="15.75" thickBot="1" x14ac:dyDescent="0.3">
      <c r="B155" s="1119" t="s">
        <v>0</v>
      </c>
      <c r="C155" s="940" t="s">
        <v>1</v>
      </c>
      <c r="D155" s="940" t="s">
        <v>5</v>
      </c>
      <c r="E155" s="940" t="s">
        <v>152</v>
      </c>
      <c r="F155" s="940" t="s">
        <v>2</v>
      </c>
      <c r="G155" s="940" t="s">
        <v>300</v>
      </c>
      <c r="H155" s="940" t="s">
        <v>116</v>
      </c>
      <c r="I155" s="1120" t="s">
        <v>117</v>
      </c>
    </row>
    <row r="156" spans="1:10" s="1197" customFormat="1" ht="18" hidden="1" customHeight="1" outlineLevel="1" x14ac:dyDescent="0.25">
      <c r="B156" s="1194" t="s">
        <v>2259</v>
      </c>
      <c r="C156" s="957" t="s">
        <v>2627</v>
      </c>
      <c r="D156" s="957" t="s">
        <v>2260</v>
      </c>
      <c r="E156" s="1195">
        <f>K_NHx_AOB_AS</f>
        <v>0.01</v>
      </c>
      <c r="F156" s="957" t="s">
        <v>336</v>
      </c>
      <c r="G156" s="957">
        <v>2</v>
      </c>
      <c r="H156" s="1731" t="s">
        <v>1247</v>
      </c>
      <c r="I156" s="1196"/>
    </row>
    <row r="157" spans="1:10" s="1197" customFormat="1" ht="18" hidden="1" customHeight="1" outlineLevel="1" x14ac:dyDescent="0.25">
      <c r="B157" s="960" t="s">
        <v>2259</v>
      </c>
      <c r="C157" s="958" t="s">
        <v>2627</v>
      </c>
      <c r="D157" s="958" t="s">
        <v>3382</v>
      </c>
      <c r="E157" s="521">
        <f>K_NHx_AOB_AS*f_KS_biofilm</f>
        <v>4.0000000000000001E-3</v>
      </c>
      <c r="F157" s="958" t="s">
        <v>336</v>
      </c>
      <c r="G157" s="958">
        <v>2</v>
      </c>
      <c r="H157" s="931" t="s">
        <v>1174</v>
      </c>
      <c r="I157" s="1198" t="s">
        <v>3422</v>
      </c>
    </row>
    <row r="158" spans="1:10" s="1197" customFormat="1" ht="18" hidden="1" customHeight="1" outlineLevel="1" x14ac:dyDescent="0.25">
      <c r="B158" s="1199" t="s">
        <v>3950</v>
      </c>
      <c r="C158" s="959" t="s">
        <v>3951</v>
      </c>
      <c r="D158" s="959" t="s">
        <v>3952</v>
      </c>
      <c r="E158" s="888">
        <f>K_NHx_NH2OH_AOB_AS</f>
        <v>0.7</v>
      </c>
      <c r="F158" s="959" t="s">
        <v>336</v>
      </c>
      <c r="G158" s="959">
        <v>2</v>
      </c>
      <c r="H158" s="1732" t="s">
        <v>1247</v>
      </c>
      <c r="I158" s="1200"/>
    </row>
    <row r="159" spans="1:10" s="1197" customFormat="1" ht="18" hidden="1" customHeight="1" outlineLevel="1" x14ac:dyDescent="0.25">
      <c r="B159" s="960" t="s">
        <v>3950</v>
      </c>
      <c r="C159" s="959" t="s">
        <v>3951</v>
      </c>
      <c r="D159" s="958" t="s">
        <v>3953</v>
      </c>
      <c r="E159" s="521">
        <f>K_NHx_AOB_AS*f_KS_biofilm</f>
        <v>4.0000000000000001E-3</v>
      </c>
      <c r="F159" s="958" t="s">
        <v>336</v>
      </c>
      <c r="G159" s="958">
        <v>2</v>
      </c>
      <c r="H159" s="931" t="s">
        <v>1174</v>
      </c>
      <c r="I159" s="1198" t="s">
        <v>3422</v>
      </c>
    </row>
    <row r="160" spans="1:10" s="1197" customFormat="1" ht="18" hidden="1" customHeight="1" outlineLevel="1" x14ac:dyDescent="0.25">
      <c r="B160" s="1199" t="s">
        <v>3885</v>
      </c>
      <c r="C160" s="959" t="s">
        <v>3884</v>
      </c>
      <c r="D160" s="959" t="s">
        <v>3886</v>
      </c>
      <c r="E160" s="888">
        <f>K_NH2OH_AOB_AS</f>
        <v>0.9</v>
      </c>
      <c r="F160" s="959" t="s">
        <v>336</v>
      </c>
      <c r="G160" s="959">
        <v>2</v>
      </c>
      <c r="H160" s="1732" t="s">
        <v>1247</v>
      </c>
      <c r="I160" s="1200"/>
    </row>
    <row r="161" spans="2:18" s="1197" customFormat="1" ht="18" hidden="1" customHeight="1" outlineLevel="1" x14ac:dyDescent="0.25">
      <c r="B161" s="960" t="s">
        <v>3885</v>
      </c>
      <c r="C161" s="959" t="s">
        <v>3884</v>
      </c>
      <c r="D161" s="958" t="s">
        <v>3887</v>
      </c>
      <c r="E161" s="521">
        <f>K_NHx_AOB_AS*f_KS_biofilm</f>
        <v>4.0000000000000001E-3</v>
      </c>
      <c r="F161" s="958" t="s">
        <v>336</v>
      </c>
      <c r="G161" s="958">
        <v>2</v>
      </c>
      <c r="H161" s="931" t="s">
        <v>1174</v>
      </c>
      <c r="I161" s="1198" t="s">
        <v>3422</v>
      </c>
    </row>
    <row r="162" spans="2:18" s="1197" customFormat="1" ht="18.75" hidden="1" customHeight="1" outlineLevel="1" x14ac:dyDescent="0.25">
      <c r="B162" s="960" t="s">
        <v>2261</v>
      </c>
      <c r="C162" s="958" t="s">
        <v>2628</v>
      </c>
      <c r="D162" s="958" t="s">
        <v>2262</v>
      </c>
      <c r="E162" s="521">
        <f>K_CO2_AOB_pH_AS</f>
        <v>1E-3</v>
      </c>
      <c r="F162" s="521" t="s">
        <v>1934</v>
      </c>
      <c r="G162" s="958">
        <v>2</v>
      </c>
      <c r="H162" s="931" t="s">
        <v>5260</v>
      </c>
      <c r="I162" s="1198"/>
    </row>
    <row r="163" spans="2:18" s="1197" customFormat="1" ht="18.75" hidden="1" customHeight="1" outlineLevel="1" x14ac:dyDescent="0.25">
      <c r="B163" s="960" t="s">
        <v>2261</v>
      </c>
      <c r="C163" s="958" t="s">
        <v>2628</v>
      </c>
      <c r="D163" s="958" t="s">
        <v>2263</v>
      </c>
      <c r="E163" s="521">
        <f>K_CO2_AOB_pH_sidestream</f>
        <v>4.0000000000000001E-3</v>
      </c>
      <c r="F163" s="521" t="s">
        <v>1934</v>
      </c>
      <c r="G163" s="958">
        <v>2</v>
      </c>
      <c r="H163" s="931" t="s">
        <v>1601</v>
      </c>
      <c r="I163" s="1198"/>
    </row>
    <row r="164" spans="2:18" s="1197" customFormat="1" ht="18.75" hidden="1" customHeight="1" outlineLevel="1" x14ac:dyDescent="0.25">
      <c r="B164" s="1201" t="s">
        <v>3902</v>
      </c>
      <c r="C164" s="519" t="s">
        <v>3882</v>
      </c>
      <c r="D164" s="958" t="s">
        <v>3908</v>
      </c>
      <c r="E164" s="521">
        <f>K_O2_NHx_AOB_AS</f>
        <v>0.5</v>
      </c>
      <c r="F164" s="521" t="s">
        <v>1178</v>
      </c>
      <c r="G164" s="958">
        <v>2</v>
      </c>
      <c r="H164" s="931" t="s">
        <v>1604</v>
      </c>
      <c r="I164" s="1198"/>
    </row>
    <row r="165" spans="2:18" s="1197" customFormat="1" ht="18.75" hidden="1" customHeight="1" outlineLevel="1" x14ac:dyDescent="0.25">
      <c r="B165" s="1201" t="s">
        <v>3902</v>
      </c>
      <c r="C165" s="519" t="s">
        <v>3882</v>
      </c>
      <c r="D165" s="958" t="s">
        <v>3904</v>
      </c>
      <c r="E165" s="521">
        <f>K_O2_AOB_sidestream</f>
        <v>0.5</v>
      </c>
      <c r="F165" s="521" t="s">
        <v>1178</v>
      </c>
      <c r="G165" s="958">
        <v>2</v>
      </c>
      <c r="H165" s="931" t="s">
        <v>1601</v>
      </c>
      <c r="I165" s="1198"/>
    </row>
    <row r="166" spans="2:18" s="1197" customFormat="1" ht="18.75" hidden="1" customHeight="1" outlineLevel="1" x14ac:dyDescent="0.25">
      <c r="B166" s="1201" t="s">
        <v>3902</v>
      </c>
      <c r="C166" s="519" t="s">
        <v>3882</v>
      </c>
      <c r="D166" s="958" t="s">
        <v>3905</v>
      </c>
      <c r="E166" s="521">
        <f>K_O2_AOB_AS*f_KS_biofilm</f>
        <v>0.2</v>
      </c>
      <c r="F166" s="521" t="s">
        <v>1178</v>
      </c>
      <c r="G166" s="958">
        <v>2</v>
      </c>
      <c r="H166" s="931" t="s">
        <v>1605</v>
      </c>
      <c r="I166" s="1198" t="s">
        <v>3422</v>
      </c>
    </row>
    <row r="167" spans="2:18" s="1197" customFormat="1" ht="18.75" hidden="1" customHeight="1" outlineLevel="1" x14ac:dyDescent="0.25">
      <c r="B167" s="1201" t="s">
        <v>3903</v>
      </c>
      <c r="C167" s="519" t="s">
        <v>3883</v>
      </c>
      <c r="D167" s="958" t="s">
        <v>3909</v>
      </c>
      <c r="E167" s="521">
        <f>K_O2_NH2OH_AOB_AS</f>
        <v>0.15</v>
      </c>
      <c r="F167" s="521" t="s">
        <v>1178</v>
      </c>
      <c r="G167" s="958">
        <v>2</v>
      </c>
      <c r="H167" s="931" t="s">
        <v>1604</v>
      </c>
      <c r="I167" s="1198"/>
    </row>
    <row r="168" spans="2:18" s="1197" customFormat="1" ht="18.75" hidden="1" customHeight="1" outlineLevel="1" x14ac:dyDescent="0.25">
      <c r="B168" s="1201" t="s">
        <v>3903</v>
      </c>
      <c r="C168" s="519" t="s">
        <v>3883</v>
      </c>
      <c r="D168" s="958" t="s">
        <v>3906</v>
      </c>
      <c r="E168" s="521">
        <f>K_O2_AOB_sidestream</f>
        <v>0.5</v>
      </c>
      <c r="F168" s="521" t="s">
        <v>1178</v>
      </c>
      <c r="G168" s="958">
        <v>2</v>
      </c>
      <c r="H168" s="931" t="s">
        <v>1601</v>
      </c>
      <c r="I168" s="1198"/>
    </row>
    <row r="169" spans="2:18" s="1197" customFormat="1" ht="18.75" hidden="1" customHeight="1" outlineLevel="1" x14ac:dyDescent="0.25">
      <c r="B169" s="1201" t="s">
        <v>3903</v>
      </c>
      <c r="C169" s="519" t="s">
        <v>3883</v>
      </c>
      <c r="D169" s="958" t="s">
        <v>3907</v>
      </c>
      <c r="E169" s="521">
        <f>K_O2_AOB_AS*f_KS_biofilm</f>
        <v>0.2</v>
      </c>
      <c r="F169" s="521" t="s">
        <v>1178</v>
      </c>
      <c r="G169" s="958">
        <v>2</v>
      </c>
      <c r="H169" s="931" t="s">
        <v>1605</v>
      </c>
      <c r="I169" s="1198" t="s">
        <v>3422</v>
      </c>
    </row>
    <row r="170" spans="2:18" s="1197" customFormat="1" ht="18" hidden="1" customHeight="1" outlineLevel="1" x14ac:dyDescent="0.25">
      <c r="B170" s="960" t="s">
        <v>2267</v>
      </c>
      <c r="C170" s="958" t="s">
        <v>2630</v>
      </c>
      <c r="D170" s="958" t="s">
        <v>2268</v>
      </c>
      <c r="E170" s="961">
        <f>K_NOx_AOB_AS</f>
        <v>0.03</v>
      </c>
      <c r="F170" s="521" t="s">
        <v>884</v>
      </c>
      <c r="G170" s="958">
        <v>2</v>
      </c>
      <c r="H170" s="931" t="s">
        <v>1247</v>
      </c>
      <c r="I170" s="1198"/>
    </row>
    <row r="171" spans="2:18" s="1197" customFormat="1" ht="18" hidden="1" customHeight="1" outlineLevel="1" x14ac:dyDescent="0.25">
      <c r="B171" s="960" t="s">
        <v>2267</v>
      </c>
      <c r="C171" s="958" t="s">
        <v>2630</v>
      </c>
      <c r="D171" s="958" t="s">
        <v>3384</v>
      </c>
      <c r="E171" s="961">
        <f>K_NOx_AOB_AS*f_KS_biofilm</f>
        <v>1.2E-2</v>
      </c>
      <c r="F171" s="521" t="s">
        <v>884</v>
      </c>
      <c r="G171" s="958">
        <v>2</v>
      </c>
      <c r="H171" s="931" t="s">
        <v>1174</v>
      </c>
      <c r="I171" s="1198" t="s">
        <v>3422</v>
      </c>
    </row>
    <row r="172" spans="2:18" s="1197" customFormat="1" ht="18" hidden="1" customHeight="1" outlineLevel="1" x14ac:dyDescent="0.25">
      <c r="B172" s="960" t="s">
        <v>3929</v>
      </c>
      <c r="C172" s="958" t="s">
        <v>3930</v>
      </c>
      <c r="D172" s="958" t="s">
        <v>3927</v>
      </c>
      <c r="E172" s="961">
        <f>K_HNO2_AOB_AS</f>
        <v>4.0000000000000001E-3</v>
      </c>
      <c r="F172" s="521" t="s">
        <v>884</v>
      </c>
      <c r="G172" s="958">
        <v>2</v>
      </c>
      <c r="H172" s="931" t="s">
        <v>1247</v>
      </c>
      <c r="I172" s="1198"/>
    </row>
    <row r="173" spans="2:18" s="1197" customFormat="1" ht="18" hidden="1" customHeight="1" outlineLevel="1" x14ac:dyDescent="0.25">
      <c r="B173" s="960" t="s">
        <v>3929</v>
      </c>
      <c r="C173" s="958" t="s">
        <v>3930</v>
      </c>
      <c r="D173" s="958" t="s">
        <v>3928</v>
      </c>
      <c r="E173" s="961">
        <f>K_HNO2_AOB_AS*f_KS_biofilm</f>
        <v>1.6000000000000001E-3</v>
      </c>
      <c r="F173" s="521" t="s">
        <v>884</v>
      </c>
      <c r="G173" s="958">
        <v>3</v>
      </c>
      <c r="H173" s="931" t="s">
        <v>1174</v>
      </c>
      <c r="I173" s="1198"/>
    </row>
    <row r="174" spans="2:18" s="1202" customFormat="1" ht="18" hidden="1" customHeight="1" outlineLevel="1" x14ac:dyDescent="0.25">
      <c r="B174" s="1201" t="s">
        <v>3893</v>
      </c>
      <c r="C174" s="519" t="s">
        <v>3888</v>
      </c>
      <c r="D174" s="958" t="s">
        <v>3872</v>
      </c>
      <c r="E174" s="579">
        <f>K_NO_NO2_AOB_AS</f>
        <v>2.9999999999999997E-4</v>
      </c>
      <c r="F174" s="521" t="s">
        <v>884</v>
      </c>
      <c r="G174" s="958">
        <v>2</v>
      </c>
      <c r="H174" s="931" t="s">
        <v>1247</v>
      </c>
      <c r="I174" s="1198"/>
      <c r="J174" s="1197"/>
      <c r="K174" s="956"/>
      <c r="L174" s="956"/>
      <c r="M174" s="956"/>
      <c r="N174" s="956"/>
      <c r="O174" s="956"/>
      <c r="P174" s="956"/>
      <c r="Q174" s="956"/>
      <c r="R174" s="956"/>
    </row>
    <row r="175" spans="2:18" s="1202" customFormat="1" ht="18" hidden="1" customHeight="1" outlineLevel="1" x14ac:dyDescent="0.25">
      <c r="B175" s="1201" t="s">
        <v>3893</v>
      </c>
      <c r="C175" s="519" t="s">
        <v>3888</v>
      </c>
      <c r="D175" s="958" t="s">
        <v>3890</v>
      </c>
      <c r="E175" s="579">
        <f>K_NO_NO2_AOB_AS*f_KS</f>
        <v>2.9999999999999997E-5</v>
      </c>
      <c r="F175" s="521" t="s">
        <v>884</v>
      </c>
      <c r="G175" s="958">
        <v>3</v>
      </c>
      <c r="H175" s="931" t="s">
        <v>1174</v>
      </c>
      <c r="I175" s="1198"/>
      <c r="J175" s="1197"/>
      <c r="K175" s="956"/>
      <c r="L175" s="956"/>
      <c r="M175" s="956"/>
      <c r="N175" s="956"/>
      <c r="O175" s="956"/>
      <c r="P175" s="956"/>
      <c r="Q175" s="956"/>
      <c r="R175" s="956"/>
    </row>
    <row r="176" spans="2:18" s="1202" customFormat="1" ht="18" hidden="1" customHeight="1" outlineLevel="1" x14ac:dyDescent="0.25">
      <c r="B176" s="1201" t="s">
        <v>3894</v>
      </c>
      <c r="C176" s="519" t="s">
        <v>3889</v>
      </c>
      <c r="D176" s="958" t="s">
        <v>3873</v>
      </c>
      <c r="E176" s="579">
        <f>K_NO_N2O_AOB_AS</f>
        <v>8.0000000000000002E-3</v>
      </c>
      <c r="F176" s="521" t="s">
        <v>884</v>
      </c>
      <c r="G176" s="958">
        <v>2</v>
      </c>
      <c r="H176" s="931" t="s">
        <v>1247</v>
      </c>
      <c r="I176" s="1198"/>
      <c r="J176" s="1197"/>
      <c r="K176" s="956"/>
      <c r="L176" s="956"/>
      <c r="M176" s="956"/>
      <c r="N176" s="956"/>
      <c r="O176" s="956"/>
      <c r="P176" s="956"/>
      <c r="Q176" s="956"/>
      <c r="R176" s="956"/>
    </row>
    <row r="177" spans="2:18" s="1202" customFormat="1" ht="18" hidden="1" customHeight="1" outlineLevel="1" x14ac:dyDescent="0.25">
      <c r="B177" s="1201" t="s">
        <v>3894</v>
      </c>
      <c r="C177" s="519" t="s">
        <v>3889</v>
      </c>
      <c r="D177" s="958" t="s">
        <v>3891</v>
      </c>
      <c r="E177" s="579">
        <f>K_NO_N2O_AOB_AS*f_KS</f>
        <v>8.0000000000000004E-4</v>
      </c>
      <c r="F177" s="521" t="s">
        <v>884</v>
      </c>
      <c r="G177" s="958">
        <v>3</v>
      </c>
      <c r="H177" s="931" t="s">
        <v>1174</v>
      </c>
      <c r="I177" s="1198"/>
      <c r="J177" s="1197"/>
      <c r="K177" s="956"/>
      <c r="L177" s="956"/>
      <c r="M177" s="956"/>
      <c r="N177" s="956"/>
      <c r="O177" s="956"/>
      <c r="P177" s="956"/>
      <c r="Q177" s="956"/>
      <c r="R177" s="956"/>
    </row>
    <row r="178" spans="2:18" s="1197" customFormat="1" ht="18" hidden="1" customHeight="1" outlineLevel="1" x14ac:dyDescent="0.25">
      <c r="B178" s="1201" t="s">
        <v>3895</v>
      </c>
      <c r="C178" s="519" t="s">
        <v>3875</v>
      </c>
      <c r="D178" s="958" t="s">
        <v>3874</v>
      </c>
      <c r="E178" s="961">
        <f>K_iO2_AOB_AS</f>
        <v>0.8</v>
      </c>
      <c r="F178" s="521" t="s">
        <v>884</v>
      </c>
      <c r="G178" s="958">
        <v>2</v>
      </c>
      <c r="H178" s="931" t="s">
        <v>1247</v>
      </c>
      <c r="I178" s="1198"/>
    </row>
    <row r="179" spans="2:18" s="1197" customFormat="1" ht="18" hidden="1" customHeight="1" outlineLevel="1" x14ac:dyDescent="0.25">
      <c r="B179" s="1201" t="s">
        <v>3895</v>
      </c>
      <c r="C179" s="519" t="s">
        <v>3875</v>
      </c>
      <c r="D179" s="958" t="s">
        <v>3892</v>
      </c>
      <c r="E179" s="579">
        <f>K_iO2_AOB_AS*f_KS</f>
        <v>8.0000000000000016E-2</v>
      </c>
      <c r="F179" s="521" t="s">
        <v>884</v>
      </c>
      <c r="G179" s="958">
        <v>3</v>
      </c>
      <c r="H179" s="931" t="s">
        <v>1174</v>
      </c>
      <c r="I179" s="1198"/>
    </row>
    <row r="180" spans="2:18" s="1197" customFormat="1" ht="18.75" hidden="1" customHeight="1" outlineLevel="1" x14ac:dyDescent="0.25">
      <c r="B180" s="960" t="s">
        <v>2264</v>
      </c>
      <c r="C180" s="958" t="s">
        <v>2629</v>
      </c>
      <c r="D180" s="958" t="s">
        <v>2265</v>
      </c>
      <c r="E180" s="521">
        <f>K_O2_AOB_AS</f>
        <v>0.5</v>
      </c>
      <c r="F180" s="521" t="s">
        <v>1178</v>
      </c>
      <c r="G180" s="958">
        <v>2</v>
      </c>
      <c r="H180" s="931" t="s">
        <v>1604</v>
      </c>
      <c r="I180" s="1198"/>
    </row>
    <row r="181" spans="2:18" s="1197" customFormat="1" ht="18.75" hidden="1" customHeight="1" outlineLevel="1" x14ac:dyDescent="0.25">
      <c r="B181" s="960" t="s">
        <v>2264</v>
      </c>
      <c r="C181" s="958" t="s">
        <v>2629</v>
      </c>
      <c r="D181" s="958" t="s">
        <v>2266</v>
      </c>
      <c r="E181" s="521">
        <f>K_O2_AOB_sidestream</f>
        <v>0.5</v>
      </c>
      <c r="F181" s="521" t="s">
        <v>1178</v>
      </c>
      <c r="G181" s="958">
        <v>2</v>
      </c>
      <c r="H181" s="931" t="s">
        <v>1601</v>
      </c>
      <c r="I181" s="1198"/>
    </row>
    <row r="182" spans="2:18" s="1197" customFormat="1" ht="19.5" hidden="1" customHeight="1" outlineLevel="1" thickBot="1" x14ac:dyDescent="0.3">
      <c r="B182" s="1203" t="s">
        <v>2264</v>
      </c>
      <c r="C182" s="962" t="s">
        <v>2629</v>
      </c>
      <c r="D182" s="962" t="s">
        <v>3383</v>
      </c>
      <c r="E182" s="926">
        <f>K_O2_AOB_AS*f_KS_biofilm</f>
        <v>0.2</v>
      </c>
      <c r="F182" s="926" t="s">
        <v>1178</v>
      </c>
      <c r="G182" s="962">
        <v>2</v>
      </c>
      <c r="H182" s="1733" t="s">
        <v>1605</v>
      </c>
      <c r="I182" s="1204" t="s">
        <v>3422</v>
      </c>
    </row>
    <row r="183" spans="2:18" ht="15.75" collapsed="1" thickBot="1" x14ac:dyDescent="0.3">
      <c r="B183" s="130"/>
      <c r="C183" s="130"/>
      <c r="D183" s="130"/>
      <c r="E183" s="130"/>
      <c r="F183" s="130"/>
      <c r="G183" s="130"/>
      <c r="H183" s="130"/>
      <c r="I183" s="130"/>
    </row>
    <row r="184" spans="2:18" ht="15.75" thickBot="1" x14ac:dyDescent="0.3">
      <c r="C184" s="1118" t="s">
        <v>2638</v>
      </c>
      <c r="D184" s="2051" t="s">
        <v>301</v>
      </c>
      <c r="E184" s="103"/>
    </row>
    <row r="185" spans="2:18" ht="15.75" thickBot="1" x14ac:dyDescent="0.3">
      <c r="B185" s="1119" t="s">
        <v>0</v>
      </c>
      <c r="C185" s="940" t="s">
        <v>1</v>
      </c>
      <c r="D185" s="940" t="s">
        <v>5</v>
      </c>
      <c r="E185" s="940" t="s">
        <v>152</v>
      </c>
      <c r="F185" s="940" t="s">
        <v>2</v>
      </c>
      <c r="G185" s="940" t="s">
        <v>300</v>
      </c>
      <c r="H185" s="940" t="s">
        <v>116</v>
      </c>
      <c r="I185" s="1120" t="s">
        <v>117</v>
      </c>
    </row>
    <row r="186" spans="2:18" s="1197" customFormat="1" ht="18" hidden="1" customHeight="1" outlineLevel="1" x14ac:dyDescent="0.25">
      <c r="B186" s="1199" t="s">
        <v>2269</v>
      </c>
      <c r="C186" s="959" t="s">
        <v>2634</v>
      </c>
      <c r="D186" s="959" t="s">
        <v>2270</v>
      </c>
      <c r="E186" s="888">
        <f>K_NO2_NOB_AS</f>
        <v>0.1</v>
      </c>
      <c r="F186" s="959" t="s">
        <v>336</v>
      </c>
      <c r="G186" s="959">
        <v>2</v>
      </c>
      <c r="H186" s="1732" t="s">
        <v>1247</v>
      </c>
      <c r="I186" s="1200"/>
    </row>
    <row r="187" spans="2:18" s="1197" customFormat="1" ht="18" hidden="1" customHeight="1" outlineLevel="1" x14ac:dyDescent="0.25">
      <c r="B187" s="1205" t="s">
        <v>2269</v>
      </c>
      <c r="C187" s="963" t="s">
        <v>2634</v>
      </c>
      <c r="D187" s="964" t="s">
        <v>3385</v>
      </c>
      <c r="E187" s="364">
        <f>K_NO2_NOB_AS*f_KS_biofilm</f>
        <v>4.0000000000000008E-2</v>
      </c>
      <c r="F187" s="964" t="s">
        <v>336</v>
      </c>
      <c r="G187" s="964">
        <v>2</v>
      </c>
      <c r="H187" s="1734" t="s">
        <v>1174</v>
      </c>
      <c r="I187" s="1206" t="s">
        <v>3422</v>
      </c>
    </row>
    <row r="188" spans="2:18" s="1197" customFormat="1" ht="18.75" hidden="1" customHeight="1" outlineLevel="1" x14ac:dyDescent="0.25">
      <c r="B188" s="1205" t="s">
        <v>2271</v>
      </c>
      <c r="C188" s="963" t="s">
        <v>2635</v>
      </c>
      <c r="D188" s="964" t="s">
        <v>2272</v>
      </c>
      <c r="E188" s="364">
        <f>K_CO2_NOB_pH_AS</f>
        <v>2.0000000000000002E-5</v>
      </c>
      <c r="F188" s="364" t="s">
        <v>1934</v>
      </c>
      <c r="G188" s="964">
        <v>2</v>
      </c>
      <c r="H188" s="1734"/>
      <c r="I188" s="1206"/>
    </row>
    <row r="189" spans="2:18" s="1197" customFormat="1" ht="18.75" hidden="1" customHeight="1" outlineLevel="1" x14ac:dyDescent="0.25">
      <c r="B189" s="1205" t="s">
        <v>2273</v>
      </c>
      <c r="C189" s="963" t="s">
        <v>2636</v>
      </c>
      <c r="D189" s="964" t="s">
        <v>2274</v>
      </c>
      <c r="E189" s="364">
        <f>K_O2_NOB_AS</f>
        <v>0.5</v>
      </c>
      <c r="F189" s="364" t="s">
        <v>1178</v>
      </c>
      <c r="G189" s="964">
        <v>2</v>
      </c>
      <c r="H189" s="1734" t="s">
        <v>1604</v>
      </c>
      <c r="I189" s="1206"/>
    </row>
    <row r="190" spans="2:18" s="1197" customFormat="1" ht="18.75" hidden="1" customHeight="1" outlineLevel="1" x14ac:dyDescent="0.25">
      <c r="B190" s="1205" t="s">
        <v>2273</v>
      </c>
      <c r="C190" s="963" t="s">
        <v>2636</v>
      </c>
      <c r="D190" s="964" t="s">
        <v>2275</v>
      </c>
      <c r="E190" s="364">
        <f>K_O2_NOB_sidestream</f>
        <v>0.5</v>
      </c>
      <c r="F190" s="364" t="s">
        <v>1178</v>
      </c>
      <c r="G190" s="964">
        <v>2</v>
      </c>
      <c r="H190" s="1734" t="s">
        <v>1601</v>
      </c>
      <c r="I190" s="1206"/>
    </row>
    <row r="191" spans="2:18" s="1197" customFormat="1" ht="18.75" hidden="1" customHeight="1" outlineLevel="1" x14ac:dyDescent="0.25">
      <c r="B191" s="1205" t="s">
        <v>2273</v>
      </c>
      <c r="C191" s="963" t="s">
        <v>2636</v>
      </c>
      <c r="D191" s="964" t="s">
        <v>3386</v>
      </c>
      <c r="E191" s="364">
        <f>K_O2_NOB_AS*f_KS_biofilm</f>
        <v>0.2</v>
      </c>
      <c r="F191" s="364" t="s">
        <v>1178</v>
      </c>
      <c r="G191" s="964">
        <v>2</v>
      </c>
      <c r="H191" s="1734" t="s">
        <v>1605</v>
      </c>
      <c r="I191" s="1206" t="s">
        <v>3422</v>
      </c>
    </row>
    <row r="192" spans="2:18" s="1197" customFormat="1" ht="18" hidden="1" customHeight="1" outlineLevel="1" x14ac:dyDescent="0.25">
      <c r="B192" s="1205" t="s">
        <v>2276</v>
      </c>
      <c r="C192" s="963" t="s">
        <v>2637</v>
      </c>
      <c r="D192" s="964" t="s">
        <v>2277</v>
      </c>
      <c r="E192" s="965">
        <f>K_NOx_NOB_AS</f>
        <v>0.03</v>
      </c>
      <c r="F192" s="364" t="s">
        <v>884</v>
      </c>
      <c r="G192" s="964">
        <v>2</v>
      </c>
      <c r="H192" s="1734" t="s">
        <v>1247</v>
      </c>
      <c r="I192" s="1206"/>
    </row>
    <row r="193" spans="2:9" s="1197" customFormat="1" ht="18" hidden="1" customHeight="1" outlineLevel="1" x14ac:dyDescent="0.25">
      <c r="B193" s="1205" t="s">
        <v>2276</v>
      </c>
      <c r="C193" s="963" t="s">
        <v>2637</v>
      </c>
      <c r="D193" s="964" t="s">
        <v>3387</v>
      </c>
      <c r="E193" s="965">
        <f>K_NOx_NOB_AS*f_KS_biofilm</f>
        <v>1.2E-2</v>
      </c>
      <c r="F193" s="364" t="s">
        <v>884</v>
      </c>
      <c r="G193" s="964">
        <v>2</v>
      </c>
      <c r="H193" s="1734" t="s">
        <v>1174</v>
      </c>
      <c r="I193" s="1206" t="s">
        <v>3422</v>
      </c>
    </row>
    <row r="194" spans="2:9" s="1197" customFormat="1" ht="18.75" hidden="1" customHeight="1" outlineLevel="1" x14ac:dyDescent="0.25">
      <c r="B194" s="1207" t="s">
        <v>2631</v>
      </c>
      <c r="C194" s="963" t="s">
        <v>2632</v>
      </c>
      <c r="D194" s="963" t="s">
        <v>2633</v>
      </c>
      <c r="E194" s="965">
        <f>K_iNH3_NOB_pH_AS</f>
        <v>9999</v>
      </c>
      <c r="F194" s="966" t="s">
        <v>2166</v>
      </c>
      <c r="G194" s="964">
        <v>2</v>
      </c>
      <c r="H194" s="1734" t="s">
        <v>1247</v>
      </c>
      <c r="I194" s="1206"/>
    </row>
    <row r="195" spans="2:9" s="1197" customFormat="1" ht="18" hidden="1" customHeight="1" outlineLevel="1" x14ac:dyDescent="0.25">
      <c r="B195" s="1205" t="s">
        <v>2631</v>
      </c>
      <c r="C195" s="963" t="s">
        <v>2632</v>
      </c>
      <c r="D195" s="964" t="s">
        <v>3388</v>
      </c>
      <c r="E195" s="965">
        <f>K_iNH3_NOB_pH_AS*f_KS_biofilm</f>
        <v>3999.6000000000004</v>
      </c>
      <c r="F195" s="364" t="s">
        <v>2166</v>
      </c>
      <c r="G195" s="964">
        <v>2</v>
      </c>
      <c r="H195" s="1734" t="s">
        <v>1174</v>
      </c>
      <c r="I195" s="1206" t="s">
        <v>3422</v>
      </c>
    </row>
    <row r="196" spans="2:9" s="1197" customFormat="1" ht="18.75" hidden="1" customHeight="1" outlineLevel="1" x14ac:dyDescent="0.25">
      <c r="B196" s="1207" t="s">
        <v>5097</v>
      </c>
      <c r="C196" s="963" t="s">
        <v>5098</v>
      </c>
      <c r="D196" s="963" t="s">
        <v>5099</v>
      </c>
      <c r="E196" s="965">
        <f>K_iNH2OH_NOB_AS</f>
        <v>10</v>
      </c>
      <c r="F196" s="966" t="s">
        <v>850</v>
      </c>
      <c r="G196" s="964">
        <v>2</v>
      </c>
      <c r="H196" s="1734" t="s">
        <v>1247</v>
      </c>
      <c r="I196" s="1206"/>
    </row>
    <row r="197" spans="2:9" s="1197" customFormat="1" ht="19.5" hidden="1" customHeight="1" outlineLevel="1" thickBot="1" x14ac:dyDescent="0.3">
      <c r="B197" s="1208" t="s">
        <v>5097</v>
      </c>
      <c r="C197" s="967" t="s">
        <v>5098</v>
      </c>
      <c r="D197" s="967" t="s">
        <v>5100</v>
      </c>
      <c r="E197" s="968">
        <f>K_iNH3_NOB_pH_AS*f_KS_biofilm</f>
        <v>3999.6000000000004</v>
      </c>
      <c r="F197" s="969" t="s">
        <v>850</v>
      </c>
      <c r="G197" s="967">
        <v>2</v>
      </c>
      <c r="H197" s="1735" t="s">
        <v>1174</v>
      </c>
      <c r="I197" s="1209" t="s">
        <v>3422</v>
      </c>
    </row>
    <row r="198" spans="2:9" ht="15.75" collapsed="1" thickBot="1" x14ac:dyDescent="0.3">
      <c r="B198" s="130"/>
      <c r="C198" s="130"/>
      <c r="D198" s="130"/>
      <c r="E198" s="130"/>
      <c r="F198" s="130"/>
      <c r="G198" s="130"/>
      <c r="H198" s="130"/>
      <c r="I198" s="130"/>
    </row>
    <row r="199" spans="2:9" ht="15.75" thickBot="1" x14ac:dyDescent="0.3">
      <c r="C199" s="1118" t="s">
        <v>2639</v>
      </c>
      <c r="D199" s="2051" t="s">
        <v>301</v>
      </c>
      <c r="E199" s="103"/>
    </row>
    <row r="200" spans="2:9" ht="15.75" thickBot="1" x14ac:dyDescent="0.3">
      <c r="B200" s="1119" t="s">
        <v>0</v>
      </c>
      <c r="C200" s="940" t="s">
        <v>1</v>
      </c>
      <c r="D200" s="940" t="s">
        <v>5</v>
      </c>
      <c r="E200" s="940" t="s">
        <v>152</v>
      </c>
      <c r="F200" s="940" t="s">
        <v>2</v>
      </c>
      <c r="G200" s="940" t="s">
        <v>300</v>
      </c>
      <c r="H200" s="940" t="s">
        <v>116</v>
      </c>
      <c r="I200" s="1120" t="s">
        <v>117</v>
      </c>
    </row>
    <row r="201" spans="2:9" s="1197" customFormat="1" ht="18" hidden="1" customHeight="1" outlineLevel="1" x14ac:dyDescent="0.25">
      <c r="B201" s="1210" t="s">
        <v>2278</v>
      </c>
      <c r="C201" s="932" t="s">
        <v>2483</v>
      </c>
      <c r="D201" s="970" t="s">
        <v>2279</v>
      </c>
      <c r="E201" s="1211">
        <f>K_NHx_AMX_AS</f>
        <v>2</v>
      </c>
      <c r="F201" s="970" t="s">
        <v>336</v>
      </c>
      <c r="G201" s="970">
        <v>2</v>
      </c>
      <c r="H201" s="932" t="s">
        <v>1247</v>
      </c>
      <c r="I201" s="1212"/>
    </row>
    <row r="202" spans="2:9" s="1197" customFormat="1" ht="18" hidden="1" customHeight="1" outlineLevel="1" x14ac:dyDescent="0.25">
      <c r="B202" s="973" t="s">
        <v>2278</v>
      </c>
      <c r="C202" s="971" t="s">
        <v>2483</v>
      </c>
      <c r="D202" s="972" t="s">
        <v>3389</v>
      </c>
      <c r="E202" s="365">
        <f>K_NHx_AMX_AS*f_KS_biofilm</f>
        <v>0.8</v>
      </c>
      <c r="F202" s="972" t="s">
        <v>336</v>
      </c>
      <c r="G202" s="972">
        <v>2</v>
      </c>
      <c r="H202" s="1736" t="s">
        <v>1174</v>
      </c>
      <c r="I202" s="1213" t="s">
        <v>3422</v>
      </c>
    </row>
    <row r="203" spans="2:9" s="1197" customFormat="1" ht="18" hidden="1" customHeight="1" outlineLevel="1" x14ac:dyDescent="0.25">
      <c r="B203" s="973" t="s">
        <v>2280</v>
      </c>
      <c r="C203" s="971" t="s">
        <v>2484</v>
      </c>
      <c r="D203" s="972" t="s">
        <v>2281</v>
      </c>
      <c r="E203" s="365">
        <f>K_NO2_AMX_AS</f>
        <v>1</v>
      </c>
      <c r="F203" s="972" t="s">
        <v>336</v>
      </c>
      <c r="G203" s="972">
        <v>2</v>
      </c>
      <c r="H203" s="1736" t="s">
        <v>1247</v>
      </c>
      <c r="I203" s="1213"/>
    </row>
    <row r="204" spans="2:9" s="1197" customFormat="1" ht="18" hidden="1" customHeight="1" outlineLevel="1" x14ac:dyDescent="0.25">
      <c r="B204" s="973" t="s">
        <v>2280</v>
      </c>
      <c r="C204" s="971" t="s">
        <v>2484</v>
      </c>
      <c r="D204" s="972" t="s">
        <v>3390</v>
      </c>
      <c r="E204" s="365">
        <f>K_NO2_AMX_AS*f_KS_biofilm</f>
        <v>0.4</v>
      </c>
      <c r="F204" s="972" t="s">
        <v>336</v>
      </c>
      <c r="G204" s="972">
        <v>2</v>
      </c>
      <c r="H204" s="1736" t="s">
        <v>1174</v>
      </c>
      <c r="I204" s="1213" t="s">
        <v>3422</v>
      </c>
    </row>
    <row r="205" spans="2:9" s="1197" customFormat="1" ht="18.75" hidden="1" customHeight="1" outlineLevel="1" x14ac:dyDescent="0.25">
      <c r="B205" s="973" t="s">
        <v>2282</v>
      </c>
      <c r="C205" s="971" t="s">
        <v>2485</v>
      </c>
      <c r="D205" s="972" t="s">
        <v>2283</v>
      </c>
      <c r="E205" s="365">
        <f>K_CO2_AMX_pH_AS</f>
        <v>2.0000000000000001E-4</v>
      </c>
      <c r="F205" s="365" t="s">
        <v>1934</v>
      </c>
      <c r="G205" s="972">
        <v>2</v>
      </c>
      <c r="H205" s="1736"/>
      <c r="I205" s="1213"/>
    </row>
    <row r="206" spans="2:9" s="1197" customFormat="1" ht="18.75" hidden="1" customHeight="1" outlineLevel="1" x14ac:dyDescent="0.25">
      <c r="B206" s="973" t="s">
        <v>3464</v>
      </c>
      <c r="C206" s="971" t="s">
        <v>3465</v>
      </c>
      <c r="D206" s="972" t="s">
        <v>3466</v>
      </c>
      <c r="E206" s="365">
        <f>K_iO2_AMX_AS</f>
        <v>0.4</v>
      </c>
      <c r="F206" s="365" t="s">
        <v>1178</v>
      </c>
      <c r="G206" s="972">
        <v>2</v>
      </c>
      <c r="H206" s="1736" t="s">
        <v>1247</v>
      </c>
      <c r="I206" s="1213"/>
    </row>
    <row r="207" spans="2:9" s="1197" customFormat="1" ht="18.75" hidden="1" customHeight="1" outlineLevel="1" x14ac:dyDescent="0.25">
      <c r="B207" s="973" t="s">
        <v>3464</v>
      </c>
      <c r="C207" s="971" t="s">
        <v>3465</v>
      </c>
      <c r="D207" s="972" t="s">
        <v>3467</v>
      </c>
      <c r="E207" s="365">
        <f>K_iO2_AMX_AS*f_KS_biofilm</f>
        <v>0.16000000000000003</v>
      </c>
      <c r="F207" s="365" t="s">
        <v>1178</v>
      </c>
      <c r="G207" s="972">
        <v>2</v>
      </c>
      <c r="H207" s="1736" t="s">
        <v>1174</v>
      </c>
      <c r="I207" s="1213" t="s">
        <v>3422</v>
      </c>
    </row>
    <row r="208" spans="2:9" s="1197" customFormat="1" ht="18" hidden="1" customHeight="1" outlineLevel="1" x14ac:dyDescent="0.25">
      <c r="B208" s="973" t="s">
        <v>2284</v>
      </c>
      <c r="C208" s="346" t="s">
        <v>2892</v>
      </c>
      <c r="D208" s="972" t="s">
        <v>2285</v>
      </c>
      <c r="E208" s="974">
        <f>K_NOx_AMX_AS</f>
        <v>0.1</v>
      </c>
      <c r="F208" s="365" t="s">
        <v>884</v>
      </c>
      <c r="G208" s="972">
        <v>2</v>
      </c>
      <c r="H208" s="1736" t="s">
        <v>1247</v>
      </c>
      <c r="I208" s="1213"/>
    </row>
    <row r="209" spans="2:9" s="1197" customFormat="1" ht="18" hidden="1" customHeight="1" outlineLevel="1" x14ac:dyDescent="0.25">
      <c r="B209" s="973" t="s">
        <v>2284</v>
      </c>
      <c r="C209" s="346" t="s">
        <v>2892</v>
      </c>
      <c r="D209" s="972" t="s">
        <v>3391</v>
      </c>
      <c r="E209" s="974">
        <f>K_NOx_AMX_AS*f_KS_biofilm</f>
        <v>4.0000000000000008E-2</v>
      </c>
      <c r="F209" s="365" t="s">
        <v>884</v>
      </c>
      <c r="G209" s="972">
        <v>2</v>
      </c>
      <c r="H209" s="1736" t="s">
        <v>1174</v>
      </c>
      <c r="I209" s="1213" t="s">
        <v>3422</v>
      </c>
    </row>
    <row r="210" spans="2:9" s="1197" customFormat="1" ht="18.75" hidden="1" customHeight="1" outlineLevel="1" x14ac:dyDescent="0.25">
      <c r="B210" s="1076" t="s">
        <v>2824</v>
      </c>
      <c r="C210" s="975" t="s">
        <v>2487</v>
      </c>
      <c r="D210" s="975" t="s">
        <v>2825</v>
      </c>
      <c r="E210" s="974">
        <f>K_iHNO2_AMX_pH_AS</f>
        <v>1</v>
      </c>
      <c r="F210" s="976" t="s">
        <v>2891</v>
      </c>
      <c r="G210" s="972">
        <v>2</v>
      </c>
      <c r="H210" s="1736" t="s">
        <v>1247</v>
      </c>
      <c r="I210" s="1213"/>
    </row>
    <row r="211" spans="2:9" s="1197" customFormat="1" ht="19.5" hidden="1" customHeight="1" outlineLevel="1" thickBot="1" x14ac:dyDescent="0.3">
      <c r="B211" s="1214" t="s">
        <v>2824</v>
      </c>
      <c r="C211" s="977" t="s">
        <v>2487</v>
      </c>
      <c r="D211" s="978" t="s">
        <v>3392</v>
      </c>
      <c r="E211" s="979">
        <f>K_iHNO2_AMX_pH_AS*f_KS_biofilm</f>
        <v>0.4</v>
      </c>
      <c r="F211" s="980" t="s">
        <v>2891</v>
      </c>
      <c r="G211" s="978">
        <v>2</v>
      </c>
      <c r="H211" s="1737" t="s">
        <v>1174</v>
      </c>
      <c r="I211" s="1215" t="s">
        <v>3422</v>
      </c>
    </row>
    <row r="212" spans="2:9" ht="15.75" collapsed="1" thickBot="1" x14ac:dyDescent="0.3">
      <c r="B212" s="130"/>
      <c r="C212" s="130"/>
      <c r="D212" s="130"/>
      <c r="E212" s="130"/>
      <c r="F212" s="130"/>
      <c r="G212" s="130"/>
      <c r="H212" s="130"/>
      <c r="I212" s="130"/>
    </row>
    <row r="213" spans="2:9" ht="15.75" thickBot="1" x14ac:dyDescent="0.3">
      <c r="C213" s="1118" t="s">
        <v>2640</v>
      </c>
      <c r="D213" s="2051" t="s">
        <v>301</v>
      </c>
      <c r="E213" s="103"/>
    </row>
    <row r="214" spans="2:9" ht="15.75" thickBot="1" x14ac:dyDescent="0.3">
      <c r="B214" s="1119" t="s">
        <v>0</v>
      </c>
      <c r="C214" s="940" t="s">
        <v>1</v>
      </c>
      <c r="D214" s="940" t="s">
        <v>5</v>
      </c>
      <c r="E214" s="940" t="s">
        <v>152</v>
      </c>
      <c r="F214" s="940" t="s">
        <v>2</v>
      </c>
      <c r="G214" s="940" t="s">
        <v>300</v>
      </c>
      <c r="H214" s="940" t="s">
        <v>116</v>
      </c>
      <c r="I214" s="1120" t="s">
        <v>117</v>
      </c>
    </row>
    <row r="215" spans="2:9" s="1193" customFormat="1" ht="18" hidden="1" customHeight="1" outlineLevel="1" x14ac:dyDescent="0.25">
      <c r="B215" s="981" t="s">
        <v>1761</v>
      </c>
      <c r="C215" s="982" t="s">
        <v>2642</v>
      </c>
      <c r="D215" s="983" t="s">
        <v>1908</v>
      </c>
      <c r="E215" s="984">
        <f>K_SB_AS</f>
        <v>5</v>
      </c>
      <c r="F215" s="983" t="s">
        <v>1179</v>
      </c>
      <c r="G215" s="983">
        <v>1</v>
      </c>
      <c r="H215" s="580" t="s">
        <v>1247</v>
      </c>
      <c r="I215" s="812"/>
    </row>
    <row r="216" spans="2:9" s="1193" customFormat="1" ht="18" hidden="1" customHeight="1" outlineLevel="1" x14ac:dyDescent="0.25">
      <c r="B216" s="981" t="s">
        <v>1761</v>
      </c>
      <c r="C216" s="982" t="s">
        <v>2642</v>
      </c>
      <c r="D216" s="983" t="s">
        <v>3393</v>
      </c>
      <c r="E216" s="985">
        <f>K_SB_AS*f_KS_biofilm</f>
        <v>2</v>
      </c>
      <c r="F216" s="983" t="s">
        <v>1179</v>
      </c>
      <c r="G216" s="983">
        <v>2</v>
      </c>
      <c r="H216" s="580" t="s">
        <v>1174</v>
      </c>
      <c r="I216" s="812" t="s">
        <v>3422</v>
      </c>
    </row>
    <row r="217" spans="2:9" s="956" customFormat="1" ht="18" hidden="1" customHeight="1" outlineLevel="1" x14ac:dyDescent="0.25">
      <c r="B217" s="981" t="s">
        <v>3736</v>
      </c>
      <c r="C217" s="327" t="s">
        <v>3732</v>
      </c>
      <c r="D217" s="983" t="s">
        <v>3693</v>
      </c>
      <c r="E217" s="580">
        <f>K_SB_NO3_AS</f>
        <v>5</v>
      </c>
      <c r="F217" s="983" t="s">
        <v>1179</v>
      </c>
      <c r="G217" s="983">
        <v>1</v>
      </c>
      <c r="H217" s="580" t="s">
        <v>1247</v>
      </c>
      <c r="I217" s="812"/>
    </row>
    <row r="218" spans="2:9" s="956" customFormat="1" ht="18" hidden="1" customHeight="1" outlineLevel="1" x14ac:dyDescent="0.25">
      <c r="B218" s="981" t="s">
        <v>3736</v>
      </c>
      <c r="C218" s="327" t="s">
        <v>3732</v>
      </c>
      <c r="D218" s="983" t="s">
        <v>3740</v>
      </c>
      <c r="E218" s="581"/>
      <c r="F218" s="983" t="s">
        <v>1179</v>
      </c>
      <c r="G218" s="983">
        <v>2</v>
      </c>
      <c r="H218" s="580" t="s">
        <v>1174</v>
      </c>
      <c r="I218" s="812" t="s">
        <v>3422</v>
      </c>
    </row>
    <row r="219" spans="2:9" s="956" customFormat="1" ht="18" hidden="1" customHeight="1" outlineLevel="1" x14ac:dyDescent="0.25">
      <c r="B219" s="981" t="s">
        <v>3737</v>
      </c>
      <c r="C219" s="327" t="s">
        <v>3733</v>
      </c>
      <c r="D219" s="983" t="s">
        <v>3695</v>
      </c>
      <c r="E219" s="580">
        <f>K_SB_NO2_AS</f>
        <v>5</v>
      </c>
      <c r="F219" s="983" t="s">
        <v>1179</v>
      </c>
      <c r="G219" s="983">
        <v>1</v>
      </c>
      <c r="H219" s="580" t="s">
        <v>1247</v>
      </c>
      <c r="I219" s="812"/>
    </row>
    <row r="220" spans="2:9" s="956" customFormat="1" ht="18" hidden="1" customHeight="1" outlineLevel="1" x14ac:dyDescent="0.25">
      <c r="B220" s="981" t="s">
        <v>3737</v>
      </c>
      <c r="C220" s="327" t="s">
        <v>3733</v>
      </c>
      <c r="D220" s="983" t="s">
        <v>3741</v>
      </c>
      <c r="E220" s="581"/>
      <c r="F220" s="983" t="s">
        <v>1179</v>
      </c>
      <c r="G220" s="983">
        <v>2</v>
      </c>
      <c r="H220" s="580" t="s">
        <v>1174</v>
      </c>
      <c r="I220" s="812" t="s">
        <v>3422</v>
      </c>
    </row>
    <row r="221" spans="2:9" s="956" customFormat="1" ht="18" hidden="1" customHeight="1" outlineLevel="1" x14ac:dyDescent="0.25">
      <c r="B221" s="981" t="s">
        <v>3738</v>
      </c>
      <c r="C221" s="327" t="s">
        <v>3734</v>
      </c>
      <c r="D221" s="983" t="s">
        <v>3697</v>
      </c>
      <c r="E221" s="580">
        <f>K_SB_NO_AS</f>
        <v>5</v>
      </c>
      <c r="F221" s="983" t="s">
        <v>1179</v>
      </c>
      <c r="G221" s="983">
        <v>1</v>
      </c>
      <c r="H221" s="580" t="s">
        <v>1247</v>
      </c>
      <c r="I221" s="812"/>
    </row>
    <row r="222" spans="2:9" s="956" customFormat="1" ht="18" hidden="1" customHeight="1" outlineLevel="1" x14ac:dyDescent="0.25">
      <c r="B222" s="981" t="s">
        <v>3738</v>
      </c>
      <c r="C222" s="327" t="s">
        <v>3734</v>
      </c>
      <c r="D222" s="983" t="s">
        <v>3742</v>
      </c>
      <c r="E222" s="581"/>
      <c r="F222" s="983" t="s">
        <v>1179</v>
      </c>
      <c r="G222" s="983">
        <v>2</v>
      </c>
      <c r="H222" s="580" t="s">
        <v>1174</v>
      </c>
      <c r="I222" s="812" t="s">
        <v>3422</v>
      </c>
    </row>
    <row r="223" spans="2:9" s="956" customFormat="1" ht="18" hidden="1" customHeight="1" outlineLevel="1" x14ac:dyDescent="0.25">
      <c r="B223" s="981" t="s">
        <v>3739</v>
      </c>
      <c r="C223" s="327" t="s">
        <v>3735</v>
      </c>
      <c r="D223" s="983" t="s">
        <v>3699</v>
      </c>
      <c r="E223" s="580">
        <f>K_SB_N2O_AS</f>
        <v>5</v>
      </c>
      <c r="F223" s="983" t="s">
        <v>1179</v>
      </c>
      <c r="G223" s="983">
        <v>1</v>
      </c>
      <c r="H223" s="580" t="s">
        <v>1247</v>
      </c>
      <c r="I223" s="812"/>
    </row>
    <row r="224" spans="2:9" s="1193" customFormat="1" ht="18" hidden="1" customHeight="1" outlineLevel="1" x14ac:dyDescent="0.25">
      <c r="B224" s="981" t="s">
        <v>3739</v>
      </c>
      <c r="C224" s="327" t="s">
        <v>3735</v>
      </c>
      <c r="D224" s="983" t="s">
        <v>3743</v>
      </c>
      <c r="E224" s="986"/>
      <c r="F224" s="983" t="s">
        <v>1179</v>
      </c>
      <c r="G224" s="983">
        <v>2</v>
      </c>
      <c r="H224" s="580" t="s">
        <v>1174</v>
      </c>
      <c r="I224" s="812" t="s">
        <v>3422</v>
      </c>
    </row>
    <row r="225" spans="2:9" s="1193" customFormat="1" ht="18" hidden="1" customHeight="1" outlineLevel="1" x14ac:dyDescent="0.25">
      <c r="B225" s="981" t="s">
        <v>1762</v>
      </c>
      <c r="C225" s="982" t="s">
        <v>2643</v>
      </c>
      <c r="D225" s="983" t="s">
        <v>1909</v>
      </c>
      <c r="E225" s="985">
        <f>K_VFA_AS</f>
        <v>0.5</v>
      </c>
      <c r="F225" s="983" t="s">
        <v>1763</v>
      </c>
      <c r="G225" s="983">
        <v>2</v>
      </c>
      <c r="H225" s="580" t="s">
        <v>1247</v>
      </c>
      <c r="I225" s="812"/>
    </row>
    <row r="226" spans="2:9" s="1193" customFormat="1" ht="18" hidden="1" customHeight="1" outlineLevel="1" x14ac:dyDescent="0.25">
      <c r="B226" s="981" t="s">
        <v>1762</v>
      </c>
      <c r="C226" s="982" t="s">
        <v>2643</v>
      </c>
      <c r="D226" s="983" t="s">
        <v>3394</v>
      </c>
      <c r="E226" s="987">
        <f>K_VFA_AS*f_KS_biofilm</f>
        <v>0.2</v>
      </c>
      <c r="F226" s="983" t="s">
        <v>1763</v>
      </c>
      <c r="G226" s="983">
        <v>3</v>
      </c>
      <c r="H226" s="580" t="s">
        <v>1174</v>
      </c>
      <c r="I226" s="812" t="s">
        <v>3422</v>
      </c>
    </row>
    <row r="227" spans="2:9" s="956" customFormat="1" ht="18" hidden="1" customHeight="1" outlineLevel="1" x14ac:dyDescent="0.25">
      <c r="B227" s="981" t="s">
        <v>3822</v>
      </c>
      <c r="C227" s="327" t="s">
        <v>3826</v>
      </c>
      <c r="D227" s="983" t="s">
        <v>3814</v>
      </c>
      <c r="E227" s="580">
        <f>K_VFA_NO3_AS</f>
        <v>0.5</v>
      </c>
      <c r="F227" s="983" t="s">
        <v>1179</v>
      </c>
      <c r="G227" s="983">
        <v>1</v>
      </c>
      <c r="H227" s="580" t="s">
        <v>1247</v>
      </c>
      <c r="I227" s="812"/>
    </row>
    <row r="228" spans="2:9" s="956" customFormat="1" ht="18" hidden="1" customHeight="1" outlineLevel="1" x14ac:dyDescent="0.25">
      <c r="B228" s="981" t="s">
        <v>3822</v>
      </c>
      <c r="C228" s="327" t="s">
        <v>3826</v>
      </c>
      <c r="D228" s="983" t="s">
        <v>3830</v>
      </c>
      <c r="E228" s="581"/>
      <c r="F228" s="983" t="s">
        <v>1179</v>
      </c>
      <c r="G228" s="983">
        <v>2</v>
      </c>
      <c r="H228" s="580" t="s">
        <v>1174</v>
      </c>
      <c r="I228" s="812" t="s">
        <v>3422</v>
      </c>
    </row>
    <row r="229" spans="2:9" s="956" customFormat="1" ht="18" hidden="1" customHeight="1" outlineLevel="1" x14ac:dyDescent="0.25">
      <c r="B229" s="981" t="s">
        <v>3823</v>
      </c>
      <c r="C229" s="327" t="s">
        <v>3827</v>
      </c>
      <c r="D229" s="983" t="s">
        <v>3815</v>
      </c>
      <c r="E229" s="580">
        <f>K_VFA_NO2_AS</f>
        <v>0.5</v>
      </c>
      <c r="F229" s="983" t="s">
        <v>1179</v>
      </c>
      <c r="G229" s="983">
        <v>1</v>
      </c>
      <c r="H229" s="580" t="s">
        <v>1247</v>
      </c>
      <c r="I229" s="812"/>
    </row>
    <row r="230" spans="2:9" s="956" customFormat="1" ht="18" hidden="1" customHeight="1" outlineLevel="1" x14ac:dyDescent="0.25">
      <c r="B230" s="981" t="s">
        <v>3823</v>
      </c>
      <c r="C230" s="327" t="s">
        <v>3827</v>
      </c>
      <c r="D230" s="983" t="s">
        <v>3831</v>
      </c>
      <c r="E230" s="581"/>
      <c r="F230" s="983" t="s">
        <v>1179</v>
      </c>
      <c r="G230" s="983">
        <v>2</v>
      </c>
      <c r="H230" s="580" t="s">
        <v>1174</v>
      </c>
      <c r="I230" s="812" t="s">
        <v>3422</v>
      </c>
    </row>
    <row r="231" spans="2:9" s="956" customFormat="1" ht="18" hidden="1" customHeight="1" outlineLevel="1" x14ac:dyDescent="0.25">
      <c r="B231" s="981" t="s">
        <v>3824</v>
      </c>
      <c r="C231" s="327" t="s">
        <v>3828</v>
      </c>
      <c r="D231" s="983" t="s">
        <v>3816</v>
      </c>
      <c r="E231" s="580">
        <f>K_VFA_NO_AS</f>
        <v>0.5</v>
      </c>
      <c r="F231" s="983" t="s">
        <v>1179</v>
      </c>
      <c r="G231" s="983">
        <v>1</v>
      </c>
      <c r="H231" s="580" t="s">
        <v>1247</v>
      </c>
      <c r="I231" s="812"/>
    </row>
    <row r="232" spans="2:9" s="956" customFormat="1" ht="18" hidden="1" customHeight="1" outlineLevel="1" x14ac:dyDescent="0.25">
      <c r="B232" s="981" t="s">
        <v>3824</v>
      </c>
      <c r="C232" s="327" t="s">
        <v>3828</v>
      </c>
      <c r="D232" s="983" t="s">
        <v>3832</v>
      </c>
      <c r="E232" s="581"/>
      <c r="F232" s="983" t="s">
        <v>1179</v>
      </c>
      <c r="G232" s="983">
        <v>2</v>
      </c>
      <c r="H232" s="580" t="s">
        <v>1174</v>
      </c>
      <c r="I232" s="812" t="s">
        <v>3422</v>
      </c>
    </row>
    <row r="233" spans="2:9" s="956" customFormat="1" ht="18" hidden="1" customHeight="1" outlineLevel="1" x14ac:dyDescent="0.25">
      <c r="B233" s="981" t="s">
        <v>3825</v>
      </c>
      <c r="C233" s="327" t="s">
        <v>3829</v>
      </c>
      <c r="D233" s="983" t="s">
        <v>3817</v>
      </c>
      <c r="E233" s="580">
        <f>K_VFA_N2O_AS</f>
        <v>0.5</v>
      </c>
      <c r="F233" s="983" t="s">
        <v>1179</v>
      </c>
      <c r="G233" s="983">
        <v>1</v>
      </c>
      <c r="H233" s="580" t="s">
        <v>1247</v>
      </c>
      <c r="I233" s="812"/>
    </row>
    <row r="234" spans="2:9" s="1193" customFormat="1" ht="18" hidden="1" customHeight="1" outlineLevel="1" x14ac:dyDescent="0.25">
      <c r="B234" s="981" t="s">
        <v>3825</v>
      </c>
      <c r="C234" s="327" t="s">
        <v>3829</v>
      </c>
      <c r="D234" s="983" t="s">
        <v>3833</v>
      </c>
      <c r="E234" s="986"/>
      <c r="F234" s="983" t="s">
        <v>1179</v>
      </c>
      <c r="G234" s="983">
        <v>2</v>
      </c>
      <c r="H234" s="580" t="s">
        <v>1174</v>
      </c>
      <c r="I234" s="812" t="s">
        <v>3422</v>
      </c>
    </row>
    <row r="235" spans="2:9" s="1193" customFormat="1" ht="18.75" hidden="1" customHeight="1" outlineLevel="1" x14ac:dyDescent="0.25">
      <c r="B235" s="988" t="s">
        <v>1764</v>
      </c>
      <c r="C235" s="989" t="s">
        <v>2644</v>
      </c>
      <c r="D235" s="990" t="s">
        <v>1911</v>
      </c>
      <c r="E235" s="991">
        <f>K_O2_OHO_AS</f>
        <v>0.15</v>
      </c>
      <c r="F235" s="990" t="s">
        <v>1178</v>
      </c>
      <c r="G235" s="990">
        <v>2</v>
      </c>
      <c r="H235" s="580" t="s">
        <v>1247</v>
      </c>
      <c r="I235" s="1216"/>
    </row>
    <row r="236" spans="2:9" s="1193" customFormat="1" ht="18.75" hidden="1" customHeight="1" outlineLevel="1" x14ac:dyDescent="0.25">
      <c r="B236" s="981" t="s">
        <v>1764</v>
      </c>
      <c r="C236" s="982" t="s">
        <v>2644</v>
      </c>
      <c r="D236" s="983" t="s">
        <v>3395</v>
      </c>
      <c r="E236" s="987">
        <f>K_O2_OHO_AS*f_KS_biofilm</f>
        <v>0.06</v>
      </c>
      <c r="F236" s="983" t="s">
        <v>1178</v>
      </c>
      <c r="G236" s="983">
        <v>3</v>
      </c>
      <c r="H236" s="580" t="s">
        <v>1174</v>
      </c>
      <c r="I236" s="812" t="s">
        <v>3422</v>
      </c>
    </row>
    <row r="237" spans="2:9" s="956" customFormat="1" ht="18.75" hidden="1" customHeight="1" outlineLevel="1" x14ac:dyDescent="0.25">
      <c r="B237" s="992" t="s">
        <v>3748</v>
      </c>
      <c r="C237" s="327" t="s">
        <v>3744</v>
      </c>
      <c r="D237" s="983" t="s">
        <v>3707</v>
      </c>
      <c r="E237" s="580">
        <f>K_O2_OHO_NO3_AS</f>
        <v>0.15</v>
      </c>
      <c r="F237" s="990" t="s">
        <v>1178</v>
      </c>
      <c r="G237" s="990">
        <v>2</v>
      </c>
      <c r="H237" s="580" t="s">
        <v>1247</v>
      </c>
      <c r="I237" s="1216"/>
    </row>
    <row r="238" spans="2:9" s="956" customFormat="1" ht="18.75" hidden="1" customHeight="1" outlineLevel="1" x14ac:dyDescent="0.25">
      <c r="B238" s="992" t="s">
        <v>3748</v>
      </c>
      <c r="C238" s="327" t="s">
        <v>3744</v>
      </c>
      <c r="D238" s="983" t="s">
        <v>3752</v>
      </c>
      <c r="E238" s="581"/>
      <c r="F238" s="983" t="s">
        <v>1178</v>
      </c>
      <c r="G238" s="983">
        <v>3</v>
      </c>
      <c r="H238" s="580" t="s">
        <v>1174</v>
      </c>
      <c r="I238" s="812" t="s">
        <v>3422</v>
      </c>
    </row>
    <row r="239" spans="2:9" s="956" customFormat="1" ht="18.75" hidden="1" customHeight="1" outlineLevel="1" x14ac:dyDescent="0.25">
      <c r="B239" s="992" t="s">
        <v>3749</v>
      </c>
      <c r="C239" s="327" t="s">
        <v>3745</v>
      </c>
      <c r="D239" s="983" t="s">
        <v>3708</v>
      </c>
      <c r="E239" s="580">
        <f>K_O2_OHO_NO2_AS</f>
        <v>0.15</v>
      </c>
      <c r="F239" s="990" t="s">
        <v>1178</v>
      </c>
      <c r="G239" s="990">
        <v>2</v>
      </c>
      <c r="H239" s="580" t="s">
        <v>1247</v>
      </c>
      <c r="I239" s="1216"/>
    </row>
    <row r="240" spans="2:9" s="956" customFormat="1" ht="18.75" hidden="1" customHeight="1" outlineLevel="1" x14ac:dyDescent="0.25">
      <c r="B240" s="992" t="s">
        <v>3749</v>
      </c>
      <c r="C240" s="327" t="s">
        <v>3745</v>
      </c>
      <c r="D240" s="983" t="s">
        <v>3753</v>
      </c>
      <c r="E240" s="581"/>
      <c r="F240" s="983" t="s">
        <v>1178</v>
      </c>
      <c r="G240" s="983">
        <v>3</v>
      </c>
      <c r="H240" s="580" t="s">
        <v>1174</v>
      </c>
      <c r="I240" s="812" t="s">
        <v>3422</v>
      </c>
    </row>
    <row r="241" spans="2:9" s="956" customFormat="1" ht="18.75" hidden="1" customHeight="1" outlineLevel="1" x14ac:dyDescent="0.25">
      <c r="B241" s="992" t="s">
        <v>3750</v>
      </c>
      <c r="C241" s="327" t="s">
        <v>3746</v>
      </c>
      <c r="D241" s="983" t="s">
        <v>3709</v>
      </c>
      <c r="E241" s="580">
        <f>K_O2_OHO_NO_AS</f>
        <v>0.15</v>
      </c>
      <c r="F241" s="990" t="s">
        <v>1178</v>
      </c>
      <c r="G241" s="990">
        <v>2</v>
      </c>
      <c r="H241" s="580" t="s">
        <v>1247</v>
      </c>
      <c r="I241" s="1216"/>
    </row>
    <row r="242" spans="2:9" s="956" customFormat="1" ht="18.75" hidden="1" customHeight="1" outlineLevel="1" x14ac:dyDescent="0.25">
      <c r="B242" s="992" t="s">
        <v>3750</v>
      </c>
      <c r="C242" s="327" t="s">
        <v>3746</v>
      </c>
      <c r="D242" s="983" t="s">
        <v>3754</v>
      </c>
      <c r="E242" s="581"/>
      <c r="F242" s="983" t="s">
        <v>1178</v>
      </c>
      <c r="G242" s="983">
        <v>3</v>
      </c>
      <c r="H242" s="580" t="s">
        <v>1174</v>
      </c>
      <c r="I242" s="812" t="s">
        <v>3422</v>
      </c>
    </row>
    <row r="243" spans="2:9" s="956" customFormat="1" ht="18.75" hidden="1" customHeight="1" outlineLevel="1" x14ac:dyDescent="0.25">
      <c r="B243" s="992" t="s">
        <v>3751</v>
      </c>
      <c r="C243" s="327" t="s">
        <v>3747</v>
      </c>
      <c r="D243" s="983" t="s">
        <v>3705</v>
      </c>
      <c r="E243" s="580">
        <f>K_O2_OHO_N2O_AS</f>
        <v>0.15</v>
      </c>
      <c r="F243" s="990" t="s">
        <v>1178</v>
      </c>
      <c r="G243" s="990">
        <v>2</v>
      </c>
      <c r="H243" s="580" t="s">
        <v>1247</v>
      </c>
      <c r="I243" s="1216"/>
    </row>
    <row r="244" spans="2:9" s="1193" customFormat="1" ht="18.75" hidden="1" customHeight="1" outlineLevel="1" x14ac:dyDescent="0.25">
      <c r="B244" s="992" t="s">
        <v>3751</v>
      </c>
      <c r="C244" s="327" t="s">
        <v>3747</v>
      </c>
      <c r="D244" s="983" t="s">
        <v>3755</v>
      </c>
      <c r="E244" s="993"/>
      <c r="F244" s="983" t="s">
        <v>1178</v>
      </c>
      <c r="G244" s="983">
        <v>3</v>
      </c>
      <c r="H244" s="580" t="s">
        <v>1174</v>
      </c>
      <c r="I244" s="812" t="s">
        <v>3422</v>
      </c>
    </row>
    <row r="245" spans="2:9" s="1193" customFormat="1" ht="18" hidden="1" customHeight="1" outlineLevel="1" x14ac:dyDescent="0.25">
      <c r="B245" s="981" t="s">
        <v>1765</v>
      </c>
      <c r="C245" s="982" t="s">
        <v>2645</v>
      </c>
      <c r="D245" s="983" t="s">
        <v>1910</v>
      </c>
      <c r="E245" s="985">
        <f>K_MEOL_OHO_AS</f>
        <v>0.1</v>
      </c>
      <c r="F245" s="983" t="s">
        <v>1179</v>
      </c>
      <c r="G245" s="983">
        <v>2</v>
      </c>
      <c r="H245" s="580" t="s">
        <v>1247</v>
      </c>
      <c r="I245" s="812"/>
    </row>
    <row r="246" spans="2:9" s="1193" customFormat="1" ht="18" hidden="1" customHeight="1" outlineLevel="1" x14ac:dyDescent="0.25">
      <c r="B246" s="981" t="s">
        <v>1765</v>
      </c>
      <c r="C246" s="982" t="s">
        <v>2645</v>
      </c>
      <c r="D246" s="983" t="s">
        <v>3396</v>
      </c>
      <c r="E246" s="987">
        <f>K_MEOL_OHO_AS*f_KS_biofilm</f>
        <v>4.0000000000000008E-2</v>
      </c>
      <c r="F246" s="983" t="s">
        <v>1179</v>
      </c>
      <c r="G246" s="983">
        <v>3</v>
      </c>
      <c r="H246" s="580" t="s">
        <v>1174</v>
      </c>
      <c r="I246" s="812" t="s">
        <v>3422</v>
      </c>
    </row>
    <row r="247" spans="2:9" s="956" customFormat="1" ht="18" hidden="1" customHeight="1" outlineLevel="1" x14ac:dyDescent="0.25">
      <c r="B247" s="992" t="s">
        <v>1766</v>
      </c>
      <c r="C247" s="327" t="s">
        <v>2647</v>
      </c>
      <c r="D247" s="983" t="s">
        <v>1912</v>
      </c>
      <c r="E247" s="580">
        <f>K_NO3_OHO_AS</f>
        <v>0.2</v>
      </c>
      <c r="F247" s="983" t="s">
        <v>884</v>
      </c>
      <c r="G247" s="983">
        <v>3</v>
      </c>
      <c r="H247" s="580" t="s">
        <v>1247</v>
      </c>
      <c r="I247" s="812"/>
    </row>
    <row r="248" spans="2:9" s="956" customFormat="1" ht="18" hidden="1" customHeight="1" outlineLevel="1" x14ac:dyDescent="0.25">
      <c r="B248" s="992" t="s">
        <v>1766</v>
      </c>
      <c r="C248" s="327" t="s">
        <v>2647</v>
      </c>
      <c r="D248" s="983" t="s">
        <v>3397</v>
      </c>
      <c r="E248" s="581"/>
      <c r="F248" s="983" t="s">
        <v>884</v>
      </c>
      <c r="G248" s="983">
        <v>4</v>
      </c>
      <c r="H248" s="580" t="s">
        <v>1174</v>
      </c>
      <c r="I248" s="812" t="s">
        <v>3422</v>
      </c>
    </row>
    <row r="249" spans="2:9" s="956" customFormat="1" ht="18" hidden="1" customHeight="1" outlineLevel="1" x14ac:dyDescent="0.25">
      <c r="B249" s="992" t="s">
        <v>3761</v>
      </c>
      <c r="C249" s="327" t="s">
        <v>2646</v>
      </c>
      <c r="D249" s="983" t="s">
        <v>2217</v>
      </c>
      <c r="E249" s="580">
        <f>K_NO2_OHO_AS</f>
        <v>0.2</v>
      </c>
      <c r="F249" s="983" t="s">
        <v>884</v>
      </c>
      <c r="G249" s="983">
        <v>3</v>
      </c>
      <c r="H249" s="580" t="s">
        <v>1247</v>
      </c>
      <c r="I249" s="812"/>
    </row>
    <row r="250" spans="2:9" s="956" customFormat="1" ht="18" hidden="1" customHeight="1" outlineLevel="1" x14ac:dyDescent="0.25">
      <c r="B250" s="992" t="s">
        <v>3761</v>
      </c>
      <c r="C250" s="327" t="s">
        <v>2646</v>
      </c>
      <c r="D250" s="983" t="s">
        <v>3767</v>
      </c>
      <c r="E250" s="581"/>
      <c r="F250" s="983" t="s">
        <v>884</v>
      </c>
      <c r="G250" s="983">
        <v>4</v>
      </c>
      <c r="H250" s="580" t="s">
        <v>1174</v>
      </c>
      <c r="I250" s="812" t="s">
        <v>3422</v>
      </c>
    </row>
    <row r="251" spans="2:9" s="956" customFormat="1" ht="18" hidden="1" customHeight="1" outlineLevel="1" x14ac:dyDescent="0.25">
      <c r="B251" s="992" t="s">
        <v>3762</v>
      </c>
      <c r="C251" s="327" t="s">
        <v>3756</v>
      </c>
      <c r="D251" s="983" t="s">
        <v>3712</v>
      </c>
      <c r="E251" s="580">
        <f>K_NO_OHO_AS</f>
        <v>0.05</v>
      </c>
      <c r="F251" s="983" t="s">
        <v>884</v>
      </c>
      <c r="G251" s="983">
        <v>3</v>
      </c>
      <c r="H251" s="580" t="s">
        <v>1247</v>
      </c>
      <c r="I251" s="812"/>
    </row>
    <row r="252" spans="2:9" s="956" customFormat="1" ht="18" hidden="1" customHeight="1" outlineLevel="1" x14ac:dyDescent="0.25">
      <c r="B252" s="992" t="s">
        <v>3762</v>
      </c>
      <c r="C252" s="327" t="s">
        <v>3756</v>
      </c>
      <c r="D252" s="983" t="s">
        <v>3768</v>
      </c>
      <c r="E252" s="581"/>
      <c r="F252" s="983" t="s">
        <v>884</v>
      </c>
      <c r="G252" s="983">
        <v>4</v>
      </c>
      <c r="H252" s="580" t="s">
        <v>1174</v>
      </c>
      <c r="I252" s="812" t="s">
        <v>3422</v>
      </c>
    </row>
    <row r="253" spans="2:9" s="956" customFormat="1" ht="18" hidden="1" customHeight="1" outlineLevel="1" x14ac:dyDescent="0.25">
      <c r="B253" s="992" t="s">
        <v>3763</v>
      </c>
      <c r="C253" s="327" t="s">
        <v>3757</v>
      </c>
      <c r="D253" s="983" t="s">
        <v>3714</v>
      </c>
      <c r="E253" s="580">
        <f>K_N2O_OHO_AS</f>
        <v>0.05</v>
      </c>
      <c r="F253" s="983" t="s">
        <v>884</v>
      </c>
      <c r="G253" s="983">
        <v>3</v>
      </c>
      <c r="H253" s="580" t="s">
        <v>1247</v>
      </c>
      <c r="I253" s="812"/>
    </row>
    <row r="254" spans="2:9" s="956" customFormat="1" ht="18" hidden="1" customHeight="1" outlineLevel="1" x14ac:dyDescent="0.25">
      <c r="B254" s="992" t="s">
        <v>3763</v>
      </c>
      <c r="C254" s="327" t="s">
        <v>3757</v>
      </c>
      <c r="D254" s="983" t="s">
        <v>3769</v>
      </c>
      <c r="E254" s="581"/>
      <c r="F254" s="983" t="s">
        <v>884</v>
      </c>
      <c r="G254" s="983">
        <v>4</v>
      </c>
      <c r="H254" s="580" t="s">
        <v>1174</v>
      </c>
      <c r="I254" s="812" t="s">
        <v>3422</v>
      </c>
    </row>
    <row r="255" spans="2:9" s="956" customFormat="1" ht="18" hidden="1" customHeight="1" outlineLevel="1" x14ac:dyDescent="0.25">
      <c r="B255" s="992" t="s">
        <v>3764</v>
      </c>
      <c r="C255" s="327" t="s">
        <v>3758</v>
      </c>
      <c r="D255" s="983" t="s">
        <v>3717</v>
      </c>
      <c r="E255" s="580">
        <f>K_iNO_OHO_NO2_AS</f>
        <v>0.5</v>
      </c>
      <c r="F255" s="983" t="s">
        <v>884</v>
      </c>
      <c r="G255" s="983">
        <v>3</v>
      </c>
      <c r="H255" s="580" t="s">
        <v>1247</v>
      </c>
      <c r="I255" s="812"/>
    </row>
    <row r="256" spans="2:9" s="956" customFormat="1" ht="18" hidden="1" customHeight="1" outlineLevel="1" x14ac:dyDescent="0.25">
      <c r="B256" s="992" t="s">
        <v>3764</v>
      </c>
      <c r="C256" s="327" t="s">
        <v>3758</v>
      </c>
      <c r="D256" s="983" t="s">
        <v>3770</v>
      </c>
      <c r="E256" s="581"/>
      <c r="F256" s="983" t="s">
        <v>884</v>
      </c>
      <c r="G256" s="983">
        <v>4</v>
      </c>
      <c r="H256" s="580" t="s">
        <v>1174</v>
      </c>
      <c r="I256" s="812" t="s">
        <v>3422</v>
      </c>
    </row>
    <row r="257" spans="2:9" s="956" customFormat="1" ht="18" hidden="1" customHeight="1" outlineLevel="1" x14ac:dyDescent="0.25">
      <c r="B257" s="992" t="s">
        <v>3765</v>
      </c>
      <c r="C257" s="327" t="s">
        <v>3759</v>
      </c>
      <c r="D257" s="983" t="s">
        <v>3718</v>
      </c>
      <c r="E257" s="580">
        <f>K_iNO_OHO_NO_AS</f>
        <v>0.3</v>
      </c>
      <c r="F257" s="983" t="s">
        <v>884</v>
      </c>
      <c r="G257" s="983">
        <v>3</v>
      </c>
      <c r="H257" s="580" t="s">
        <v>1247</v>
      </c>
      <c r="I257" s="812"/>
    </row>
    <row r="258" spans="2:9" s="956" customFormat="1" ht="18" hidden="1" customHeight="1" outlineLevel="1" x14ac:dyDescent="0.25">
      <c r="B258" s="992" t="s">
        <v>3765</v>
      </c>
      <c r="C258" s="327" t="s">
        <v>3759</v>
      </c>
      <c r="D258" s="983" t="s">
        <v>3771</v>
      </c>
      <c r="E258" s="581"/>
      <c r="F258" s="983" t="s">
        <v>884</v>
      </c>
      <c r="G258" s="983">
        <v>4</v>
      </c>
      <c r="H258" s="580" t="s">
        <v>1174</v>
      </c>
      <c r="I258" s="812" t="s">
        <v>3422</v>
      </c>
    </row>
    <row r="259" spans="2:9" s="956" customFormat="1" ht="18" hidden="1" customHeight="1" outlineLevel="1" x14ac:dyDescent="0.25">
      <c r="B259" s="992" t="s">
        <v>3766</v>
      </c>
      <c r="C259" s="327" t="s">
        <v>3760</v>
      </c>
      <c r="D259" s="983" t="s">
        <v>3720</v>
      </c>
      <c r="E259" s="580">
        <f>K_iNO_OHO_N2O_AS</f>
        <v>7.4999999999999997E-2</v>
      </c>
      <c r="F259" s="983" t="s">
        <v>884</v>
      </c>
      <c r="G259" s="983">
        <v>3</v>
      </c>
      <c r="H259" s="580" t="s">
        <v>1247</v>
      </c>
      <c r="I259" s="812"/>
    </row>
    <row r="260" spans="2:9" s="1193" customFormat="1" ht="18" hidden="1" customHeight="1" outlineLevel="1" x14ac:dyDescent="0.25">
      <c r="B260" s="992" t="s">
        <v>3766</v>
      </c>
      <c r="C260" s="327" t="s">
        <v>3760</v>
      </c>
      <c r="D260" s="983" t="s">
        <v>3772</v>
      </c>
      <c r="E260" s="994"/>
      <c r="F260" s="983" t="s">
        <v>884</v>
      </c>
      <c r="G260" s="983">
        <v>4</v>
      </c>
      <c r="H260" s="580" t="s">
        <v>1174</v>
      </c>
      <c r="I260" s="812" t="s">
        <v>3422</v>
      </c>
    </row>
    <row r="261" spans="2:9" s="1193" customFormat="1" ht="18" hidden="1" customHeight="1" outlineLevel="1" x14ac:dyDescent="0.25">
      <c r="B261" s="995" t="s">
        <v>2156</v>
      </c>
      <c r="C261" s="327" t="s">
        <v>2650</v>
      </c>
      <c r="D261" s="983" t="s">
        <v>2147</v>
      </c>
      <c r="E261" s="985">
        <f>K_VFA_FERM_AS</f>
        <v>50</v>
      </c>
      <c r="F261" s="983" t="s">
        <v>1763</v>
      </c>
      <c r="G261" s="983">
        <v>2</v>
      </c>
      <c r="H261" s="580" t="s">
        <v>1247</v>
      </c>
      <c r="I261" s="812"/>
    </row>
    <row r="262" spans="2:9" s="1193" customFormat="1" ht="18" hidden="1" customHeight="1" outlineLevel="1" x14ac:dyDescent="0.25">
      <c r="B262" s="995" t="s">
        <v>2156</v>
      </c>
      <c r="C262" s="327" t="s">
        <v>2650</v>
      </c>
      <c r="D262" s="983" t="s">
        <v>3398</v>
      </c>
      <c r="E262" s="987">
        <f>K_VFA_FERM_AS*f_KS_biofilm</f>
        <v>20</v>
      </c>
      <c r="F262" s="983" t="s">
        <v>1763</v>
      </c>
      <c r="G262" s="983">
        <v>3</v>
      </c>
      <c r="H262" s="580" t="s">
        <v>1174</v>
      </c>
      <c r="I262" s="812" t="s">
        <v>3422</v>
      </c>
    </row>
    <row r="263" spans="2:9" s="1193" customFormat="1" ht="18" hidden="1" customHeight="1" outlineLevel="1" x14ac:dyDescent="0.25">
      <c r="B263" s="996" t="s">
        <v>1855</v>
      </c>
      <c r="C263" s="997" t="s">
        <v>2648</v>
      </c>
      <c r="D263" s="997" t="s">
        <v>1913</v>
      </c>
      <c r="E263" s="998">
        <f>K_SB_ana_AS</f>
        <v>5</v>
      </c>
      <c r="F263" s="997" t="s">
        <v>1179</v>
      </c>
      <c r="G263" s="997">
        <v>1</v>
      </c>
      <c r="H263" s="1738" t="s">
        <v>4322</v>
      </c>
      <c r="I263" s="1217"/>
    </row>
    <row r="264" spans="2:9" s="1193" customFormat="1" ht="18" hidden="1" customHeight="1" outlineLevel="1" x14ac:dyDescent="0.25">
      <c r="B264" s="996" t="s">
        <v>1855</v>
      </c>
      <c r="C264" s="997" t="s">
        <v>2648</v>
      </c>
      <c r="D264" s="997" t="s">
        <v>3399</v>
      </c>
      <c r="E264" s="999">
        <f>K_SB_ana_AS*f_KS_biofilm</f>
        <v>2</v>
      </c>
      <c r="F264" s="997" t="s">
        <v>1179</v>
      </c>
      <c r="G264" s="997">
        <v>2</v>
      </c>
      <c r="H264" s="1738" t="s">
        <v>4323</v>
      </c>
      <c r="I264" s="1217" t="s">
        <v>3422</v>
      </c>
    </row>
    <row r="265" spans="2:9" s="1193" customFormat="1" ht="18.75" hidden="1" customHeight="1" outlineLevel="1" thickBot="1" x14ac:dyDescent="0.3">
      <c r="B265" s="1000" t="s">
        <v>1855</v>
      </c>
      <c r="C265" s="1001" t="s">
        <v>2648</v>
      </c>
      <c r="D265" s="1001" t="s">
        <v>4234</v>
      </c>
      <c r="E265" s="1002">
        <f>K_SB_ana_AS</f>
        <v>5</v>
      </c>
      <c r="F265" s="1001" t="s">
        <v>1179</v>
      </c>
      <c r="G265" s="1001">
        <v>1</v>
      </c>
      <c r="H265" s="1739" t="s">
        <v>1208</v>
      </c>
      <c r="I265" s="1218"/>
    </row>
    <row r="266" spans="2:9" ht="15.75" collapsed="1" thickBot="1" x14ac:dyDescent="0.3">
      <c r="B266" s="130"/>
      <c r="C266" s="130"/>
      <c r="D266" s="130"/>
      <c r="E266" s="130"/>
      <c r="F266" s="130"/>
      <c r="G266" s="130"/>
      <c r="H266" s="130"/>
      <c r="I266" s="130"/>
    </row>
    <row r="267" spans="2:9" ht="15.75" thickBot="1" x14ac:dyDescent="0.3">
      <c r="C267" s="1118" t="s">
        <v>2641</v>
      </c>
      <c r="D267" s="2051" t="s">
        <v>301</v>
      </c>
      <c r="E267" s="103"/>
    </row>
    <row r="268" spans="2:9" ht="15.75" thickBot="1" x14ac:dyDescent="0.3">
      <c r="B268" s="1119" t="s">
        <v>0</v>
      </c>
      <c r="C268" s="940" t="s">
        <v>1</v>
      </c>
      <c r="D268" s="940" t="s">
        <v>5</v>
      </c>
      <c r="E268" s="940" t="s">
        <v>152</v>
      </c>
      <c r="F268" s="940" t="s">
        <v>2</v>
      </c>
      <c r="G268" s="940" t="s">
        <v>300</v>
      </c>
      <c r="H268" s="940" t="s">
        <v>116</v>
      </c>
      <c r="I268" s="1120" t="s">
        <v>117</v>
      </c>
    </row>
    <row r="269" spans="2:9" s="1193" customFormat="1" ht="18" hidden="1" customHeight="1" outlineLevel="1" x14ac:dyDescent="0.25">
      <c r="B269" s="1003" t="s">
        <v>1767</v>
      </c>
      <c r="C269" s="1004" t="s">
        <v>2651</v>
      </c>
      <c r="D269" s="1004" t="s">
        <v>1914</v>
      </c>
      <c r="E269" s="1219">
        <f>K_MEOL_AS</f>
        <v>0.5</v>
      </c>
      <c r="F269" s="350" t="s">
        <v>1179</v>
      </c>
      <c r="G269" s="1004">
        <v>2</v>
      </c>
      <c r="H269" s="350" t="s">
        <v>1247</v>
      </c>
      <c r="I269" s="1220"/>
    </row>
    <row r="270" spans="2:9" s="1193" customFormat="1" ht="18" hidden="1" customHeight="1" outlineLevel="1" x14ac:dyDescent="0.25">
      <c r="B270" s="1005" t="s">
        <v>1767</v>
      </c>
      <c r="C270" s="1006" t="s">
        <v>2651</v>
      </c>
      <c r="D270" s="1006" t="s">
        <v>3400</v>
      </c>
      <c r="E270" s="1007">
        <f>K_MEOL_AS*f_KS_biofilm</f>
        <v>0.2</v>
      </c>
      <c r="F270" s="351" t="s">
        <v>1179</v>
      </c>
      <c r="G270" s="1006">
        <v>3</v>
      </c>
      <c r="H270" s="351" t="s">
        <v>1174</v>
      </c>
      <c r="I270" s="1221" t="s">
        <v>3422</v>
      </c>
    </row>
    <row r="271" spans="2:9" s="1193" customFormat="1" ht="18.75" hidden="1" customHeight="1" outlineLevel="1" x14ac:dyDescent="0.25">
      <c r="B271" s="1005" t="s">
        <v>3436</v>
      </c>
      <c r="C271" s="1006" t="s">
        <v>3437</v>
      </c>
      <c r="D271" s="1006" t="s">
        <v>3429</v>
      </c>
      <c r="E271" s="1007">
        <f>K_iO2_MEOLO_AS</f>
        <v>0.05</v>
      </c>
      <c r="F271" s="351" t="s">
        <v>1178</v>
      </c>
      <c r="G271" s="1006">
        <v>3</v>
      </c>
      <c r="H271" s="351" t="s">
        <v>1247</v>
      </c>
      <c r="I271" s="1221"/>
    </row>
    <row r="272" spans="2:9" s="1193" customFormat="1" ht="18.75" hidden="1" customHeight="1" outlineLevel="1" x14ac:dyDescent="0.25">
      <c r="B272" s="1005" t="s">
        <v>3436</v>
      </c>
      <c r="C272" s="1006" t="s">
        <v>3437</v>
      </c>
      <c r="D272" s="1006" t="s">
        <v>3438</v>
      </c>
      <c r="E272" s="1008">
        <f>K_iO2_MEOLO_AS*f_KS_biofilm</f>
        <v>2.0000000000000004E-2</v>
      </c>
      <c r="F272" s="351" t="s">
        <v>1178</v>
      </c>
      <c r="G272" s="1006">
        <v>4</v>
      </c>
      <c r="H272" s="351" t="s">
        <v>1174</v>
      </c>
      <c r="I272" s="1221" t="s">
        <v>3422</v>
      </c>
    </row>
    <row r="273" spans="2:9" s="1193" customFormat="1" ht="18" hidden="1" customHeight="1" outlineLevel="1" x14ac:dyDescent="0.25">
      <c r="B273" s="1005" t="s">
        <v>2286</v>
      </c>
      <c r="C273" s="1006" t="s">
        <v>2652</v>
      </c>
      <c r="D273" s="1006" t="s">
        <v>2287</v>
      </c>
      <c r="E273" s="1007">
        <f>K_NO2_MEOLO_AS</f>
        <v>0.02</v>
      </c>
      <c r="F273" s="351" t="s">
        <v>884</v>
      </c>
      <c r="G273" s="1006">
        <v>2</v>
      </c>
      <c r="H273" s="351" t="s">
        <v>1247</v>
      </c>
      <c r="I273" s="1221"/>
    </row>
    <row r="274" spans="2:9" s="1193" customFormat="1" ht="18" hidden="1" customHeight="1" outlineLevel="1" x14ac:dyDescent="0.25">
      <c r="B274" s="1005" t="s">
        <v>2286</v>
      </c>
      <c r="C274" s="1006" t="s">
        <v>2652</v>
      </c>
      <c r="D274" s="1006" t="s">
        <v>3401</v>
      </c>
      <c r="E274" s="1008">
        <f>K_NO2_MEOLO_AS*f_KS_biofilm</f>
        <v>8.0000000000000002E-3</v>
      </c>
      <c r="F274" s="351" t="s">
        <v>884</v>
      </c>
      <c r="G274" s="1006">
        <v>2</v>
      </c>
      <c r="H274" s="351" t="s">
        <v>1174</v>
      </c>
      <c r="I274" s="1221" t="s">
        <v>3422</v>
      </c>
    </row>
    <row r="275" spans="2:9" s="1193" customFormat="1" ht="18" hidden="1" customHeight="1" outlineLevel="1" x14ac:dyDescent="0.25">
      <c r="B275" s="1005" t="s">
        <v>1768</v>
      </c>
      <c r="C275" s="1006" t="s">
        <v>2653</v>
      </c>
      <c r="D275" s="1006" t="s">
        <v>1915</v>
      </c>
      <c r="E275" s="1007">
        <f>K_NO3_MEOLO_AS</f>
        <v>0.05</v>
      </c>
      <c r="F275" s="351" t="s">
        <v>884</v>
      </c>
      <c r="G275" s="1006">
        <v>3</v>
      </c>
      <c r="H275" s="351" t="s">
        <v>1247</v>
      </c>
      <c r="I275" s="1221"/>
    </row>
    <row r="276" spans="2:9" s="1193" customFormat="1" ht="18.75" hidden="1" customHeight="1" outlineLevel="1" thickBot="1" x14ac:dyDescent="0.3">
      <c r="B276" s="1009" t="s">
        <v>1768</v>
      </c>
      <c r="C276" s="1010" t="s">
        <v>2653</v>
      </c>
      <c r="D276" s="1010" t="s">
        <v>3402</v>
      </c>
      <c r="E276" s="1222">
        <f>K_NO3_MEOLO_AS*f_KS_biofilm</f>
        <v>2.0000000000000004E-2</v>
      </c>
      <c r="F276" s="352" t="s">
        <v>884</v>
      </c>
      <c r="G276" s="1010">
        <v>4</v>
      </c>
      <c r="H276" s="352" t="s">
        <v>1174</v>
      </c>
      <c r="I276" s="1223" t="s">
        <v>3422</v>
      </c>
    </row>
    <row r="277" spans="2:9" ht="15.75" collapsed="1" thickBot="1" x14ac:dyDescent="0.3">
      <c r="B277" s="130"/>
      <c r="C277" s="130"/>
      <c r="D277" s="130"/>
      <c r="E277" s="130"/>
      <c r="F277" s="130"/>
      <c r="G277" s="130"/>
      <c r="H277" s="130"/>
      <c r="I277" s="130"/>
    </row>
    <row r="278" spans="2:9" ht="15.75" thickBot="1" x14ac:dyDescent="0.3">
      <c r="C278" s="1118" t="s">
        <v>4324</v>
      </c>
      <c r="D278" s="2051" t="s">
        <v>301</v>
      </c>
      <c r="E278" s="103"/>
    </row>
    <row r="279" spans="2:9" ht="15.75" thickBot="1" x14ac:dyDescent="0.3">
      <c r="B279" s="1119" t="s">
        <v>0</v>
      </c>
      <c r="C279" s="940" t="s">
        <v>1</v>
      </c>
      <c r="D279" s="940" t="s">
        <v>5</v>
      </c>
      <c r="E279" s="940" t="s">
        <v>152</v>
      </c>
      <c r="F279" s="940" t="s">
        <v>2</v>
      </c>
      <c r="G279" s="940" t="s">
        <v>300</v>
      </c>
      <c r="H279" s="940" t="s">
        <v>116</v>
      </c>
      <c r="I279" s="1120" t="s">
        <v>117</v>
      </c>
    </row>
    <row r="280" spans="2:9" s="1193" customFormat="1" ht="18.75" hidden="1" customHeight="1" outlineLevel="1" x14ac:dyDescent="0.25">
      <c r="B280" s="1011" t="s">
        <v>4325</v>
      </c>
      <c r="C280" s="1012" t="s">
        <v>4326</v>
      </c>
      <c r="D280" s="1012" t="s">
        <v>3994</v>
      </c>
      <c r="E280" s="432">
        <f>K_O2_CASTO_AS</f>
        <v>0.05</v>
      </c>
      <c r="F280" s="432" t="s">
        <v>1178</v>
      </c>
      <c r="G280" s="1012">
        <v>2</v>
      </c>
      <c r="H280" s="432" t="s">
        <v>1247</v>
      </c>
      <c r="I280" s="827"/>
    </row>
    <row r="281" spans="2:9" s="1193" customFormat="1" ht="18.75" hidden="1" customHeight="1" outlineLevel="1" x14ac:dyDescent="0.25">
      <c r="B281" s="1011" t="s">
        <v>4325</v>
      </c>
      <c r="C281" s="1012" t="s">
        <v>4326</v>
      </c>
      <c r="D281" s="1012" t="s">
        <v>4327</v>
      </c>
      <c r="E281" s="432">
        <f>K_O2_CASTO_AS*f_KS_biofilm</f>
        <v>2.0000000000000004E-2</v>
      </c>
      <c r="F281" s="432" t="s">
        <v>1178</v>
      </c>
      <c r="G281" s="1012">
        <v>3</v>
      </c>
      <c r="H281" s="432" t="s">
        <v>1174</v>
      </c>
      <c r="I281" s="827" t="s">
        <v>3422</v>
      </c>
    </row>
    <row r="282" spans="2:9" s="1193" customFormat="1" ht="18" hidden="1" customHeight="1" outlineLevel="1" x14ac:dyDescent="0.25">
      <c r="B282" s="1011" t="s">
        <v>4328</v>
      </c>
      <c r="C282" s="1012" t="s">
        <v>4329</v>
      </c>
      <c r="D282" s="1012" t="s">
        <v>4330</v>
      </c>
      <c r="E282" s="432">
        <f>K_NO2_CASTO_AS</f>
        <v>0.05</v>
      </c>
      <c r="F282" s="432" t="s">
        <v>884</v>
      </c>
      <c r="G282" s="1012">
        <v>2</v>
      </c>
      <c r="H282" s="432" t="s">
        <v>1247</v>
      </c>
      <c r="I282" s="827"/>
    </row>
    <row r="283" spans="2:9" s="1193" customFormat="1" ht="18" hidden="1" customHeight="1" outlineLevel="1" x14ac:dyDescent="0.25">
      <c r="B283" s="1011" t="s">
        <v>4328</v>
      </c>
      <c r="C283" s="1012" t="s">
        <v>4329</v>
      </c>
      <c r="D283" s="1012" t="s">
        <v>4331</v>
      </c>
      <c r="E283" s="432">
        <f>K_NO2_CASTO_AS*f_KS_biofilm</f>
        <v>2.0000000000000004E-2</v>
      </c>
      <c r="F283" s="432" t="s">
        <v>884</v>
      </c>
      <c r="G283" s="1012">
        <v>2</v>
      </c>
      <c r="H283" s="432" t="s">
        <v>1174</v>
      </c>
      <c r="I283" s="827" t="s">
        <v>3422</v>
      </c>
    </row>
    <row r="284" spans="2:9" s="1193" customFormat="1" ht="18" hidden="1" customHeight="1" outlineLevel="1" x14ac:dyDescent="0.25">
      <c r="B284" s="1011" t="s">
        <v>4332</v>
      </c>
      <c r="C284" s="1012" t="s">
        <v>4333</v>
      </c>
      <c r="D284" s="1012" t="s">
        <v>3996</v>
      </c>
      <c r="E284" s="432">
        <f>K_NO3_CASTO_AS</f>
        <v>0.1</v>
      </c>
      <c r="F284" s="432" t="s">
        <v>884</v>
      </c>
      <c r="G284" s="1012">
        <v>2</v>
      </c>
      <c r="H284" s="432" t="s">
        <v>1247</v>
      </c>
      <c r="I284" s="827"/>
    </row>
    <row r="285" spans="2:9" s="1193" customFormat="1" ht="18" hidden="1" customHeight="1" outlineLevel="1" x14ac:dyDescent="0.25">
      <c r="B285" s="1011" t="s">
        <v>4332</v>
      </c>
      <c r="C285" s="1012" t="s">
        <v>4333</v>
      </c>
      <c r="D285" s="1012" t="s">
        <v>4334</v>
      </c>
      <c r="E285" s="432">
        <f>K_NO3_CASTO_AS*f_KS_biofilm</f>
        <v>4.0000000000000008E-2</v>
      </c>
      <c r="F285" s="432" t="s">
        <v>884</v>
      </c>
      <c r="G285" s="1012">
        <v>3</v>
      </c>
      <c r="H285" s="432" t="s">
        <v>1174</v>
      </c>
      <c r="I285" s="827" t="s">
        <v>3422</v>
      </c>
    </row>
    <row r="286" spans="2:9" s="1193" customFormat="1" ht="18" hidden="1" customHeight="1" outlineLevel="1" x14ac:dyDescent="0.25">
      <c r="B286" s="1011" t="s">
        <v>4335</v>
      </c>
      <c r="C286" s="1012" t="s">
        <v>4336</v>
      </c>
      <c r="D286" s="1012" t="s">
        <v>4000</v>
      </c>
      <c r="E286" s="1013">
        <f>K_VFA_CASTO_AS</f>
        <v>5</v>
      </c>
      <c r="F286" s="432" t="s">
        <v>1179</v>
      </c>
      <c r="G286" s="1012">
        <v>1</v>
      </c>
      <c r="H286" s="432" t="s">
        <v>1247</v>
      </c>
      <c r="I286" s="827"/>
    </row>
    <row r="287" spans="2:9" s="1193" customFormat="1" ht="18" hidden="1" customHeight="1" outlineLevel="1" x14ac:dyDescent="0.25">
      <c r="B287" s="1011" t="s">
        <v>4335</v>
      </c>
      <c r="C287" s="1012" t="s">
        <v>4336</v>
      </c>
      <c r="D287" s="1012" t="s">
        <v>4337</v>
      </c>
      <c r="E287" s="437">
        <f>K_VFA_CASTO_AS*f_KS_biofilm</f>
        <v>2</v>
      </c>
      <c r="F287" s="432" t="s">
        <v>1179</v>
      </c>
      <c r="G287" s="1012">
        <v>2</v>
      </c>
      <c r="H287" s="432" t="s">
        <v>1174</v>
      </c>
      <c r="I287" s="827" t="s">
        <v>3422</v>
      </c>
    </row>
    <row r="288" spans="2:9" s="1193" customFormat="1" ht="18" hidden="1" customHeight="1" outlineLevel="1" x14ac:dyDescent="0.25">
      <c r="B288" s="1014" t="s">
        <v>1180</v>
      </c>
      <c r="C288" s="1012" t="s">
        <v>2655</v>
      </c>
      <c r="D288" s="1012" t="s">
        <v>1916</v>
      </c>
      <c r="E288" s="437">
        <f>K_PO4_PAO_AS</f>
        <v>0.15</v>
      </c>
      <c r="F288" s="432" t="s">
        <v>886</v>
      </c>
      <c r="G288" s="1012">
        <v>2</v>
      </c>
      <c r="H288" s="432" t="s">
        <v>1247</v>
      </c>
      <c r="I288" s="827"/>
    </row>
    <row r="289" spans="2:9" s="1193" customFormat="1" ht="18" hidden="1" customHeight="1" outlineLevel="1" x14ac:dyDescent="0.25">
      <c r="B289" s="1014" t="s">
        <v>1180</v>
      </c>
      <c r="C289" s="1012" t="s">
        <v>2655</v>
      </c>
      <c r="D289" s="1012" t="s">
        <v>3403</v>
      </c>
      <c r="E289" s="1015">
        <f>K_PO4_PAO_AS*f_KS_biofilm</f>
        <v>0.06</v>
      </c>
      <c r="F289" s="432" t="s">
        <v>886</v>
      </c>
      <c r="G289" s="1012">
        <v>3</v>
      </c>
      <c r="H289" s="432" t="s">
        <v>1174</v>
      </c>
      <c r="I289" s="827" t="s">
        <v>3422</v>
      </c>
    </row>
    <row r="290" spans="2:9" s="1193" customFormat="1" ht="18" hidden="1" customHeight="1" outlineLevel="1" x14ac:dyDescent="0.25">
      <c r="B290" s="1014" t="s">
        <v>1609</v>
      </c>
      <c r="C290" s="432" t="s">
        <v>2656</v>
      </c>
      <c r="D290" s="432" t="s">
        <v>1917</v>
      </c>
      <c r="E290" s="432">
        <f>K_Mg_PAO_AS</f>
        <v>1E-3</v>
      </c>
      <c r="F290" s="432" t="s">
        <v>1606</v>
      </c>
      <c r="G290" s="1012">
        <v>4</v>
      </c>
      <c r="H290" s="432" t="s">
        <v>1247</v>
      </c>
      <c r="I290" s="827"/>
    </row>
    <row r="291" spans="2:9" s="1193" customFormat="1" ht="18" hidden="1" customHeight="1" outlineLevel="1" x14ac:dyDescent="0.25">
      <c r="B291" s="1014" t="s">
        <v>1609</v>
      </c>
      <c r="C291" s="432" t="s">
        <v>2656</v>
      </c>
      <c r="D291" s="432" t="s">
        <v>3404</v>
      </c>
      <c r="E291" s="432">
        <f>K_Mg_PAO_AS*f_KS_biofilm</f>
        <v>4.0000000000000002E-4</v>
      </c>
      <c r="F291" s="432" t="s">
        <v>1606</v>
      </c>
      <c r="G291" s="1012">
        <v>5</v>
      </c>
      <c r="H291" s="432" t="s">
        <v>1174</v>
      </c>
      <c r="I291" s="827" t="s">
        <v>3422</v>
      </c>
    </row>
    <row r="292" spans="2:9" s="1193" customFormat="1" ht="18" hidden="1" customHeight="1" outlineLevel="1" x14ac:dyDescent="0.25">
      <c r="B292" s="1014" t="s">
        <v>1610</v>
      </c>
      <c r="C292" s="432" t="s">
        <v>2657</v>
      </c>
      <c r="D292" s="432" t="s">
        <v>1918</v>
      </c>
      <c r="E292" s="432">
        <f>K_K_PAO_AS</f>
        <v>1E-3</v>
      </c>
      <c r="F292" s="432" t="s">
        <v>1607</v>
      </c>
      <c r="G292" s="1012">
        <v>4</v>
      </c>
      <c r="H292" s="432" t="s">
        <v>1247</v>
      </c>
      <c r="I292" s="827"/>
    </row>
    <row r="293" spans="2:9" s="1193" customFormat="1" ht="18" hidden="1" customHeight="1" outlineLevel="1" x14ac:dyDescent="0.25">
      <c r="B293" s="1014" t="s">
        <v>1610</v>
      </c>
      <c r="C293" s="432" t="s">
        <v>2657</v>
      </c>
      <c r="D293" s="432" t="s">
        <v>3405</v>
      </c>
      <c r="E293" s="432">
        <f>K_K_PAO_AS*f_KS_biofilm</f>
        <v>4.0000000000000002E-4</v>
      </c>
      <c r="F293" s="432" t="s">
        <v>1607</v>
      </c>
      <c r="G293" s="1012">
        <v>5</v>
      </c>
      <c r="H293" s="432" t="s">
        <v>1174</v>
      </c>
      <c r="I293" s="827" t="s">
        <v>3422</v>
      </c>
    </row>
    <row r="294" spans="2:9" s="1193" customFormat="1" ht="18" hidden="1" customHeight="1" outlineLevel="1" x14ac:dyDescent="0.25">
      <c r="B294" s="1014" t="s">
        <v>1611</v>
      </c>
      <c r="C294" s="432" t="s">
        <v>2658</v>
      </c>
      <c r="D294" s="432" t="s">
        <v>1919</v>
      </c>
      <c r="E294" s="432">
        <f>K_Ca_PAO_AS</f>
        <v>1E-3</v>
      </c>
      <c r="F294" s="432" t="s">
        <v>1608</v>
      </c>
      <c r="G294" s="1012">
        <v>4</v>
      </c>
      <c r="H294" s="432" t="s">
        <v>1247</v>
      </c>
      <c r="I294" s="827"/>
    </row>
    <row r="295" spans="2:9" s="1193" customFormat="1" ht="18" hidden="1" customHeight="1" outlineLevel="1" x14ac:dyDescent="0.25">
      <c r="B295" s="1014" t="s">
        <v>1611</v>
      </c>
      <c r="C295" s="432" t="s">
        <v>2658</v>
      </c>
      <c r="D295" s="432" t="s">
        <v>3406</v>
      </c>
      <c r="E295" s="432">
        <f>K_Ca_PAO_AS*f_KS_biofilm</f>
        <v>4.0000000000000002E-4</v>
      </c>
      <c r="F295" s="432" t="s">
        <v>1608</v>
      </c>
      <c r="G295" s="1012">
        <v>5</v>
      </c>
      <c r="H295" s="432" t="s">
        <v>1174</v>
      </c>
      <c r="I295" s="827" t="s">
        <v>3422</v>
      </c>
    </row>
    <row r="296" spans="2:9" s="1193" customFormat="1" ht="18" hidden="1" customHeight="1" outlineLevel="1" x14ac:dyDescent="0.25">
      <c r="B296" s="1014" t="s">
        <v>2662</v>
      </c>
      <c r="C296" s="1012" t="s">
        <v>2659</v>
      </c>
      <c r="D296" s="1012" t="s">
        <v>2454</v>
      </c>
      <c r="E296" s="432">
        <f>K_iPO4_lim_AS</f>
        <v>5.0000000000000001E-3</v>
      </c>
      <c r="F296" s="432" t="s">
        <v>886</v>
      </c>
      <c r="G296" s="1012">
        <v>3</v>
      </c>
      <c r="H296" s="432" t="s">
        <v>1247</v>
      </c>
      <c r="I296" s="827"/>
    </row>
    <row r="297" spans="2:9" s="1193" customFormat="1" ht="18.75" hidden="1" customHeight="1" outlineLevel="1" thickBot="1" x14ac:dyDescent="0.3">
      <c r="B297" s="1016" t="s">
        <v>2662</v>
      </c>
      <c r="C297" s="1017" t="s">
        <v>2659</v>
      </c>
      <c r="D297" s="1017" t="s">
        <v>3407</v>
      </c>
      <c r="E297" s="828">
        <f>K_iPO4_lim_AS*f_KS_biofilm</f>
        <v>2E-3</v>
      </c>
      <c r="F297" s="828" t="s">
        <v>886</v>
      </c>
      <c r="G297" s="1017">
        <v>4</v>
      </c>
      <c r="H297" s="828" t="s">
        <v>1174</v>
      </c>
      <c r="I297" s="1224" t="s">
        <v>3422</v>
      </c>
    </row>
    <row r="298" spans="2:9" ht="15.75" collapsed="1" thickBot="1" x14ac:dyDescent="0.3">
      <c r="B298" s="130"/>
      <c r="C298" s="130"/>
      <c r="D298" s="130"/>
      <c r="E298" s="130"/>
      <c r="F298" s="130"/>
      <c r="G298" s="130"/>
      <c r="H298" s="130"/>
      <c r="I298" s="130"/>
    </row>
    <row r="299" spans="2:9" ht="15.75" thickBot="1" x14ac:dyDescent="0.3">
      <c r="C299" s="1118" t="s">
        <v>2663</v>
      </c>
      <c r="D299" s="2051" t="s">
        <v>301</v>
      </c>
      <c r="E299" s="103"/>
    </row>
    <row r="300" spans="2:9" ht="15.75" thickBot="1" x14ac:dyDescent="0.3">
      <c r="B300" s="1119" t="s">
        <v>0</v>
      </c>
      <c r="C300" s="940" t="s">
        <v>1</v>
      </c>
      <c r="D300" s="940" t="s">
        <v>5</v>
      </c>
      <c r="E300" s="940" t="s">
        <v>152</v>
      </c>
      <c r="F300" s="940" t="s">
        <v>2</v>
      </c>
      <c r="G300" s="940" t="s">
        <v>300</v>
      </c>
      <c r="H300" s="940" t="s">
        <v>116</v>
      </c>
      <c r="I300" s="1120" t="s">
        <v>117</v>
      </c>
    </row>
    <row r="301" spans="2:9" s="1193" customFormat="1" ht="18" hidden="1" customHeight="1" outlineLevel="1" x14ac:dyDescent="0.25">
      <c r="B301" s="1018" t="s">
        <v>1770</v>
      </c>
      <c r="C301" s="1019" t="s">
        <v>2665</v>
      </c>
      <c r="D301" s="1019" t="s">
        <v>1920</v>
      </c>
      <c r="E301" s="1225">
        <f>K_VFA_AMETO_AS</f>
        <v>400</v>
      </c>
      <c r="F301" s="419" t="s">
        <v>1179</v>
      </c>
      <c r="G301" s="1019">
        <v>1</v>
      </c>
      <c r="H301" s="419" t="s">
        <v>1247</v>
      </c>
      <c r="I301" s="1226"/>
    </row>
    <row r="302" spans="2:9" s="1193" customFormat="1" ht="18" hidden="1" customHeight="1" outlineLevel="1" x14ac:dyDescent="0.25">
      <c r="B302" s="1020" t="s">
        <v>1770</v>
      </c>
      <c r="C302" s="1021" t="s">
        <v>2665</v>
      </c>
      <c r="D302" s="1021" t="s">
        <v>3408</v>
      </c>
      <c r="E302" s="1227">
        <f>K_VFA_AMETO_AS*f_KS_biofilm</f>
        <v>160</v>
      </c>
      <c r="F302" s="420" t="s">
        <v>1179</v>
      </c>
      <c r="G302" s="1021">
        <v>1</v>
      </c>
      <c r="H302" s="420" t="s">
        <v>1174</v>
      </c>
      <c r="I302" s="1228" t="s">
        <v>3422</v>
      </c>
    </row>
    <row r="303" spans="2:9" s="1193" customFormat="1" ht="18" hidden="1" customHeight="1" outlineLevel="1" x14ac:dyDescent="0.25">
      <c r="B303" s="1020" t="s">
        <v>2668</v>
      </c>
      <c r="C303" s="1021" t="s">
        <v>2666</v>
      </c>
      <c r="D303" s="1021" t="s">
        <v>2488</v>
      </c>
      <c r="E303" s="1227">
        <f>K_iVFA_AMETO_AS</f>
        <v>99999</v>
      </c>
      <c r="F303" s="420" t="s">
        <v>1179</v>
      </c>
      <c r="G303" s="1021">
        <v>1</v>
      </c>
      <c r="H303" s="420" t="s">
        <v>1247</v>
      </c>
      <c r="I303" s="1228"/>
    </row>
    <row r="304" spans="2:9" s="1193" customFormat="1" ht="18" hidden="1" customHeight="1" outlineLevel="1" x14ac:dyDescent="0.25">
      <c r="B304" s="1020" t="s">
        <v>2668</v>
      </c>
      <c r="C304" s="1021" t="s">
        <v>2666</v>
      </c>
      <c r="D304" s="1021" t="s">
        <v>3409</v>
      </c>
      <c r="E304" s="1227">
        <f>K_iVFA_AMETO_AS*f_KS_biofilm</f>
        <v>39999.600000000006</v>
      </c>
      <c r="F304" s="420" t="s">
        <v>1179</v>
      </c>
      <c r="G304" s="1021">
        <v>1</v>
      </c>
      <c r="H304" s="420" t="s">
        <v>1174</v>
      </c>
      <c r="I304" s="1228" t="s">
        <v>3422</v>
      </c>
    </row>
    <row r="305" spans="2:9" s="1422" customFormat="1" ht="18" hidden="1" customHeight="1" outlineLevel="1" x14ac:dyDescent="0.25">
      <c r="B305" s="1423" t="s">
        <v>4786</v>
      </c>
      <c r="C305" s="1420" t="s">
        <v>4788</v>
      </c>
      <c r="D305" s="1420" t="s">
        <v>4781</v>
      </c>
      <c r="E305" s="1424">
        <f>K_iNH3_AMETO_pH_AS</f>
        <v>0.999</v>
      </c>
      <c r="F305" s="1418" t="s">
        <v>384</v>
      </c>
      <c r="G305" s="1425">
        <v>3</v>
      </c>
      <c r="H305" s="1418" t="s">
        <v>1247</v>
      </c>
      <c r="I305" s="1419"/>
    </row>
    <row r="306" spans="2:9" s="1422" customFormat="1" ht="18" hidden="1" customHeight="1" outlineLevel="1" x14ac:dyDescent="0.25">
      <c r="B306" s="1423" t="s">
        <v>4786</v>
      </c>
      <c r="C306" s="1420" t="s">
        <v>4788</v>
      </c>
      <c r="D306" s="1420" t="s">
        <v>4787</v>
      </c>
      <c r="E306" s="1424">
        <f>K_iNH3_AMETO_pH_AS*f_KS_biofilm</f>
        <v>0.39960000000000001</v>
      </c>
      <c r="F306" s="1418" t="s">
        <v>384</v>
      </c>
      <c r="G306" s="1425">
        <v>3</v>
      </c>
      <c r="H306" s="1418" t="s">
        <v>1174</v>
      </c>
      <c r="I306" s="1419" t="s">
        <v>3422</v>
      </c>
    </row>
    <row r="307" spans="2:9" s="1193" customFormat="1" ht="18.75" hidden="1" customHeight="1" outlineLevel="1" x14ac:dyDescent="0.25">
      <c r="B307" s="1020" t="s">
        <v>3439</v>
      </c>
      <c r="C307" s="1021" t="s">
        <v>3440</v>
      </c>
      <c r="D307" s="1021" t="s">
        <v>3431</v>
      </c>
      <c r="E307" s="420">
        <f>K_iO2_AMETO_AS</f>
        <v>0.05</v>
      </c>
      <c r="F307" s="420" t="s">
        <v>1178</v>
      </c>
      <c r="G307" s="1021">
        <v>2</v>
      </c>
      <c r="H307" s="420" t="s">
        <v>1247</v>
      </c>
      <c r="I307" s="1228"/>
    </row>
    <row r="308" spans="2:9" s="1193" customFormat="1" ht="18.75" hidden="1" customHeight="1" outlineLevel="1" x14ac:dyDescent="0.25">
      <c r="B308" s="1020" t="s">
        <v>3439</v>
      </c>
      <c r="C308" s="1021" t="s">
        <v>3440</v>
      </c>
      <c r="D308" s="1021" t="s">
        <v>3441</v>
      </c>
      <c r="E308" s="420">
        <f>K_iO2_AMETO_AS*f_KS_biofilm</f>
        <v>2.0000000000000004E-2</v>
      </c>
      <c r="F308" s="420" t="s">
        <v>1178</v>
      </c>
      <c r="G308" s="1021">
        <v>3</v>
      </c>
      <c r="H308" s="420" t="s">
        <v>1174</v>
      </c>
      <c r="I308" s="1228" t="s">
        <v>3422</v>
      </c>
    </row>
    <row r="309" spans="2:9" s="1193" customFormat="1" ht="18" hidden="1" customHeight="1" outlineLevel="1" x14ac:dyDescent="0.25">
      <c r="B309" s="1020" t="s">
        <v>2348</v>
      </c>
      <c r="C309" s="1021" t="s">
        <v>2667</v>
      </c>
      <c r="D309" s="1021" t="s">
        <v>2346</v>
      </c>
      <c r="E309" s="420">
        <f>K_NOx_AMETO_AS</f>
        <v>0.05</v>
      </c>
      <c r="F309" s="420" t="s">
        <v>884</v>
      </c>
      <c r="G309" s="1021">
        <v>2</v>
      </c>
      <c r="H309" s="420" t="s">
        <v>1247</v>
      </c>
      <c r="I309" s="1228"/>
    </row>
    <row r="310" spans="2:9" s="1193" customFormat="1" ht="18.75" hidden="1" customHeight="1" outlineLevel="1" thickBot="1" x14ac:dyDescent="0.3">
      <c r="B310" s="1022" t="s">
        <v>2348</v>
      </c>
      <c r="C310" s="1023" t="s">
        <v>2667</v>
      </c>
      <c r="D310" s="1023" t="s">
        <v>3410</v>
      </c>
      <c r="E310" s="421">
        <f>K_NOx_AMETO_AS*f_KS_biofilm</f>
        <v>2.0000000000000004E-2</v>
      </c>
      <c r="F310" s="421" t="s">
        <v>884</v>
      </c>
      <c r="G310" s="1023">
        <v>3</v>
      </c>
      <c r="H310" s="421" t="s">
        <v>1174</v>
      </c>
      <c r="I310" s="1229" t="s">
        <v>3422</v>
      </c>
    </row>
    <row r="311" spans="2:9" ht="15.75" collapsed="1" thickBot="1" x14ac:dyDescent="0.3">
      <c r="B311" s="130"/>
      <c r="C311" s="130"/>
      <c r="D311" s="130"/>
      <c r="E311" s="130"/>
      <c r="F311" s="130"/>
      <c r="G311" s="130"/>
      <c r="H311" s="130"/>
      <c r="I311" s="130"/>
    </row>
    <row r="312" spans="2:9" ht="15.75" thickBot="1" x14ac:dyDescent="0.3">
      <c r="C312" s="1118" t="s">
        <v>2664</v>
      </c>
      <c r="D312" s="2051" t="s">
        <v>301</v>
      </c>
      <c r="E312" s="103"/>
    </row>
    <row r="313" spans="2:9" ht="15.75" thickBot="1" x14ac:dyDescent="0.3">
      <c r="B313" s="1119" t="s">
        <v>0</v>
      </c>
      <c r="C313" s="940" t="s">
        <v>1</v>
      </c>
      <c r="D313" s="940" t="s">
        <v>5</v>
      </c>
      <c r="E313" s="940" t="s">
        <v>152</v>
      </c>
      <c r="F313" s="940" t="s">
        <v>2</v>
      </c>
      <c r="G313" s="940" t="s">
        <v>300</v>
      </c>
      <c r="H313" s="940" t="s">
        <v>116</v>
      </c>
      <c r="I313" s="1120" t="s">
        <v>117</v>
      </c>
    </row>
    <row r="314" spans="2:9" s="1193" customFormat="1" ht="18" hidden="1" customHeight="1" outlineLevel="1" x14ac:dyDescent="0.25">
      <c r="B314" s="1024" t="s">
        <v>1771</v>
      </c>
      <c r="C314" s="1025" t="s">
        <v>2669</v>
      </c>
      <c r="D314" s="1026" t="s">
        <v>1928</v>
      </c>
      <c r="E314" s="1230">
        <f>K_H2_HMETO_AS</f>
        <v>0.1</v>
      </c>
      <c r="F314" s="274" t="s">
        <v>1179</v>
      </c>
      <c r="G314" s="1026">
        <v>2</v>
      </c>
      <c r="H314" s="274" t="s">
        <v>1247</v>
      </c>
      <c r="I314" s="1231"/>
    </row>
    <row r="315" spans="2:9" s="1193" customFormat="1" ht="18" hidden="1" customHeight="1" outlineLevel="1" x14ac:dyDescent="0.25">
      <c r="B315" s="1024" t="s">
        <v>1771</v>
      </c>
      <c r="C315" s="1025" t="s">
        <v>2669</v>
      </c>
      <c r="D315" s="1026" t="s">
        <v>3411</v>
      </c>
      <c r="E315" s="1030">
        <f>K_H2_HMETO_AS*f_KS_biofilm</f>
        <v>4.0000000000000008E-2</v>
      </c>
      <c r="F315" s="264" t="s">
        <v>1179</v>
      </c>
      <c r="G315" s="1027">
        <v>3</v>
      </c>
      <c r="H315" s="264" t="s">
        <v>1174</v>
      </c>
      <c r="I315" s="893" t="s">
        <v>3422</v>
      </c>
    </row>
    <row r="316" spans="2:9" s="1193" customFormat="1" ht="18.75" hidden="1" customHeight="1" outlineLevel="1" x14ac:dyDescent="0.25">
      <c r="B316" s="1028" t="s">
        <v>3442</v>
      </c>
      <c r="C316" s="1029" t="s">
        <v>3443</v>
      </c>
      <c r="D316" s="1027" t="s">
        <v>3444</v>
      </c>
      <c r="E316" s="1030">
        <f>K_iO2_HMETO_AS</f>
        <v>0.05</v>
      </c>
      <c r="F316" s="264" t="s">
        <v>1178</v>
      </c>
      <c r="G316" s="1027">
        <v>3</v>
      </c>
      <c r="H316" s="264" t="s">
        <v>1247</v>
      </c>
      <c r="I316" s="893"/>
    </row>
    <row r="317" spans="2:9" s="1193" customFormat="1" ht="18.75" hidden="1" customHeight="1" outlineLevel="1" x14ac:dyDescent="0.25">
      <c r="B317" s="1028" t="s">
        <v>3442</v>
      </c>
      <c r="C317" s="1029" t="s">
        <v>3443</v>
      </c>
      <c r="D317" s="1027" t="s">
        <v>3445</v>
      </c>
      <c r="E317" s="1031">
        <f>K_iO2_HMETO_AS*f_KS_biofilm</f>
        <v>2.0000000000000004E-2</v>
      </c>
      <c r="F317" s="264" t="s">
        <v>1178</v>
      </c>
      <c r="G317" s="1027">
        <v>4</v>
      </c>
      <c r="H317" s="264" t="s">
        <v>1174</v>
      </c>
      <c r="I317" s="893" t="s">
        <v>3422</v>
      </c>
    </row>
    <row r="318" spans="2:9" s="1193" customFormat="1" ht="18" hidden="1" customHeight="1" outlineLevel="1" x14ac:dyDescent="0.25">
      <c r="B318" s="1028" t="s">
        <v>2349</v>
      </c>
      <c r="C318" s="1029" t="s">
        <v>2670</v>
      </c>
      <c r="D318" s="1027" t="s">
        <v>2350</v>
      </c>
      <c r="E318" s="1030">
        <f>K_NOx_HMETO_AS</f>
        <v>0.05</v>
      </c>
      <c r="F318" s="264" t="s">
        <v>884</v>
      </c>
      <c r="G318" s="1027">
        <v>3</v>
      </c>
      <c r="H318" s="264" t="s">
        <v>1247</v>
      </c>
      <c r="I318" s="893"/>
    </row>
    <row r="319" spans="2:9" s="1193" customFormat="1" ht="18.75" hidden="1" customHeight="1" outlineLevel="1" thickBot="1" x14ac:dyDescent="0.3">
      <c r="B319" s="1032" t="s">
        <v>2349</v>
      </c>
      <c r="C319" s="1033" t="s">
        <v>2670</v>
      </c>
      <c r="D319" s="1033" t="s">
        <v>3412</v>
      </c>
      <c r="E319" s="1232">
        <f>K_NOx_HMETO_AS*f_KS_biofilm</f>
        <v>2.0000000000000004E-2</v>
      </c>
      <c r="F319" s="273" t="s">
        <v>884</v>
      </c>
      <c r="G319" s="1033">
        <v>4</v>
      </c>
      <c r="H319" s="273" t="s">
        <v>1174</v>
      </c>
      <c r="I319" s="1233" t="s">
        <v>3422</v>
      </c>
    </row>
    <row r="320" spans="2:9" ht="15.75" collapsed="1" thickBot="1" x14ac:dyDescent="0.3">
      <c r="B320" s="130"/>
      <c r="C320" s="130"/>
      <c r="D320" s="130"/>
      <c r="E320" s="130"/>
      <c r="F320" s="130"/>
      <c r="G320" s="130"/>
      <c r="H320" s="130"/>
      <c r="I320" s="130"/>
    </row>
    <row r="321" spans="2:9" ht="15.75" thickBot="1" x14ac:dyDescent="0.3">
      <c r="C321" s="1118" t="s">
        <v>2893</v>
      </c>
      <c r="D321" s="2051" t="s">
        <v>301</v>
      </c>
      <c r="E321" s="103"/>
    </row>
    <row r="322" spans="2:9" ht="15.75" thickBot="1" x14ac:dyDescent="0.3">
      <c r="B322" s="1119" t="s">
        <v>0</v>
      </c>
      <c r="C322" s="940" t="s">
        <v>1</v>
      </c>
      <c r="D322" s="940" t="s">
        <v>5</v>
      </c>
      <c r="E322" s="940" t="s">
        <v>152</v>
      </c>
      <c r="F322" s="940" t="s">
        <v>2</v>
      </c>
      <c r="G322" s="940" t="s">
        <v>300</v>
      </c>
      <c r="H322" s="940" t="s">
        <v>116</v>
      </c>
      <c r="I322" s="1120" t="s">
        <v>117</v>
      </c>
    </row>
    <row r="323" spans="2:9" s="1193" customFormat="1" ht="18" hidden="1" customHeight="1" outlineLevel="1" x14ac:dyDescent="0.25">
      <c r="B323" s="2177" t="s">
        <v>883</v>
      </c>
      <c r="C323" s="2022" t="s">
        <v>2673</v>
      </c>
      <c r="D323" s="2022" t="s">
        <v>1922</v>
      </c>
      <c r="E323" s="2022">
        <f>K_NHx_BIO_AS</f>
        <v>5.0000000000000001E-3</v>
      </c>
      <c r="F323" s="2022" t="s">
        <v>884</v>
      </c>
      <c r="G323" s="2268">
        <v>3</v>
      </c>
      <c r="H323" s="2022" t="s">
        <v>1247</v>
      </c>
      <c r="I323" s="2040"/>
    </row>
    <row r="324" spans="2:9" s="1193" customFormat="1" ht="18" hidden="1" customHeight="1" outlineLevel="1" x14ac:dyDescent="0.25">
      <c r="B324" s="2160" t="s">
        <v>883</v>
      </c>
      <c r="C324" s="2204" t="s">
        <v>2673</v>
      </c>
      <c r="D324" s="2204" t="s">
        <v>3413</v>
      </c>
      <c r="E324" s="2204">
        <f>K_NHx_BIO_AS*f_KS_biofilm</f>
        <v>2E-3</v>
      </c>
      <c r="F324" s="2204" t="s">
        <v>884</v>
      </c>
      <c r="G324" s="2205">
        <v>4</v>
      </c>
      <c r="H324" s="2204" t="s">
        <v>1174</v>
      </c>
      <c r="I324" s="2036" t="s">
        <v>3422</v>
      </c>
    </row>
    <row r="325" spans="2:9" s="1193" customFormat="1" ht="18" hidden="1" customHeight="1" outlineLevel="1" x14ac:dyDescent="0.25">
      <c r="B325" s="2160" t="s">
        <v>885</v>
      </c>
      <c r="C325" s="2204" t="s">
        <v>2674</v>
      </c>
      <c r="D325" s="2204" t="s">
        <v>1923</v>
      </c>
      <c r="E325" s="2204">
        <f>K_PO4_BIO_AS</f>
        <v>2E-3</v>
      </c>
      <c r="F325" s="2204" t="s">
        <v>886</v>
      </c>
      <c r="G325" s="2205">
        <v>3</v>
      </c>
      <c r="H325" s="2204" t="s">
        <v>1247</v>
      </c>
      <c r="I325" s="2036"/>
    </row>
    <row r="326" spans="2:9" s="1193" customFormat="1" ht="18" hidden="1" customHeight="1" outlineLevel="1" x14ac:dyDescent="0.25">
      <c r="B326" s="2160" t="s">
        <v>885</v>
      </c>
      <c r="C326" s="2204" t="s">
        <v>2674</v>
      </c>
      <c r="D326" s="2204" t="s">
        <v>3414</v>
      </c>
      <c r="E326" s="2204">
        <f>K_PO4_BIO_AS*f_KS_biofilm</f>
        <v>8.0000000000000004E-4</v>
      </c>
      <c r="F326" s="2204" t="s">
        <v>1935</v>
      </c>
      <c r="G326" s="2205">
        <v>4</v>
      </c>
      <c r="H326" s="2204" t="s">
        <v>1174</v>
      </c>
      <c r="I326" s="2036" t="s">
        <v>3422</v>
      </c>
    </row>
    <row r="327" spans="2:9" s="1193" customFormat="1" ht="18" hidden="1" customHeight="1" outlineLevel="1" x14ac:dyDescent="0.25">
      <c r="B327" s="2178" t="s">
        <v>1772</v>
      </c>
      <c r="C327" s="2205" t="s">
        <v>2523</v>
      </c>
      <c r="D327" s="2205" t="s">
        <v>1929</v>
      </c>
      <c r="E327" s="2204">
        <f>K_CO2_BIO_AS</f>
        <v>1.2</v>
      </c>
      <c r="F327" s="2204" t="s">
        <v>1210</v>
      </c>
      <c r="G327" s="2205">
        <v>1</v>
      </c>
      <c r="H327" s="2204" t="s">
        <v>1247</v>
      </c>
      <c r="I327" s="2036"/>
    </row>
    <row r="328" spans="2:9" s="1193" customFormat="1" ht="18" hidden="1" customHeight="1" outlineLevel="1" x14ac:dyDescent="0.25">
      <c r="B328" s="2178" t="s">
        <v>1772</v>
      </c>
      <c r="C328" s="2205" t="s">
        <v>2523</v>
      </c>
      <c r="D328" s="2205" t="s">
        <v>3415</v>
      </c>
      <c r="E328" s="2204">
        <f>K_CO2_BIO_AS*f_KS_biofilm</f>
        <v>0.48</v>
      </c>
      <c r="F328" s="2204" t="s">
        <v>1210</v>
      </c>
      <c r="G328" s="2205">
        <v>2</v>
      </c>
      <c r="H328" s="2204" t="s">
        <v>1174</v>
      </c>
      <c r="I328" s="2036" t="s">
        <v>3422</v>
      </c>
    </row>
    <row r="329" spans="2:9" s="1193" customFormat="1" ht="18" hidden="1" customHeight="1" outlineLevel="1" x14ac:dyDescent="0.25">
      <c r="B329" s="2160" t="s">
        <v>887</v>
      </c>
      <c r="C329" s="2204" t="s">
        <v>2524</v>
      </c>
      <c r="D329" s="2204" t="s">
        <v>1925</v>
      </c>
      <c r="E329" s="2204">
        <f>K_CAT_AS</f>
        <v>0.1</v>
      </c>
      <c r="F329" s="2204" t="s">
        <v>1936</v>
      </c>
      <c r="G329" s="2205">
        <v>1</v>
      </c>
      <c r="H329" s="2204" t="s">
        <v>1247</v>
      </c>
      <c r="I329" s="2036"/>
    </row>
    <row r="330" spans="2:9" s="1193" customFormat="1" ht="18" hidden="1" customHeight="1" outlineLevel="1" x14ac:dyDescent="0.25">
      <c r="B330" s="2160" t="s">
        <v>887</v>
      </c>
      <c r="C330" s="2204" t="s">
        <v>2524</v>
      </c>
      <c r="D330" s="2204" t="s">
        <v>3416</v>
      </c>
      <c r="E330" s="2204">
        <f>K_CAT_AS*f_KS_biofilm</f>
        <v>4.0000000000000008E-2</v>
      </c>
      <c r="F330" s="2204" t="s">
        <v>1936</v>
      </c>
      <c r="G330" s="2205">
        <v>2</v>
      </c>
      <c r="H330" s="2204" t="s">
        <v>1174</v>
      </c>
      <c r="I330" s="2036" t="s">
        <v>3422</v>
      </c>
    </row>
    <row r="331" spans="2:9" s="1193" customFormat="1" ht="18" hidden="1" customHeight="1" outlineLevel="1" x14ac:dyDescent="0.25">
      <c r="B331" s="2160" t="s">
        <v>888</v>
      </c>
      <c r="C331" s="2204" t="s">
        <v>2525</v>
      </c>
      <c r="D331" s="2204" t="s">
        <v>1926</v>
      </c>
      <c r="E331" s="2204">
        <f>K_AN_AS</f>
        <v>0.1</v>
      </c>
      <c r="F331" s="2204" t="s">
        <v>1937</v>
      </c>
      <c r="G331" s="2205">
        <v>1</v>
      </c>
      <c r="H331" s="2204" t="s">
        <v>1247</v>
      </c>
      <c r="I331" s="2036"/>
    </row>
    <row r="332" spans="2:9" s="1193" customFormat="1" ht="18" hidden="1" customHeight="1" outlineLevel="1" x14ac:dyDescent="0.25">
      <c r="B332" s="2160" t="s">
        <v>888</v>
      </c>
      <c r="C332" s="2204" t="s">
        <v>2525</v>
      </c>
      <c r="D332" s="2204" t="s">
        <v>3417</v>
      </c>
      <c r="E332" s="2204">
        <f>K_AN_AS*f_KS_biofilm</f>
        <v>4.0000000000000008E-2</v>
      </c>
      <c r="F332" s="2204" t="s">
        <v>1937</v>
      </c>
      <c r="G332" s="2205">
        <v>2</v>
      </c>
      <c r="H332" s="2204" t="s">
        <v>1174</v>
      </c>
      <c r="I332" s="2036" t="s">
        <v>3422</v>
      </c>
    </row>
    <row r="333" spans="2:9" s="1193" customFormat="1" ht="18" hidden="1" customHeight="1" outlineLevel="1" x14ac:dyDescent="0.25">
      <c r="B333" s="2160" t="s">
        <v>3545</v>
      </c>
      <c r="C333" s="2023" t="s">
        <v>3546</v>
      </c>
      <c r="D333" s="2023" t="s">
        <v>3541</v>
      </c>
      <c r="E333" s="2023">
        <f>K_Mg_BIO_AS</f>
        <v>1E-4</v>
      </c>
      <c r="F333" s="2023" t="s">
        <v>1606</v>
      </c>
      <c r="G333" s="2211">
        <v>4</v>
      </c>
      <c r="H333" s="2023" t="s">
        <v>1247</v>
      </c>
      <c r="I333" s="2036"/>
    </row>
    <row r="334" spans="2:9" s="1193" customFormat="1" ht="18" hidden="1" customHeight="1" outlineLevel="1" x14ac:dyDescent="0.25">
      <c r="B334" s="2160" t="s">
        <v>3545</v>
      </c>
      <c r="C334" s="2023" t="s">
        <v>3546</v>
      </c>
      <c r="D334" s="2023" t="s">
        <v>3547</v>
      </c>
      <c r="E334" s="2023">
        <v>1E-4</v>
      </c>
      <c r="F334" s="2023" t="s">
        <v>1606</v>
      </c>
      <c r="G334" s="2211">
        <v>5</v>
      </c>
      <c r="H334" s="2023" t="s">
        <v>1174</v>
      </c>
      <c r="I334" s="2036" t="s">
        <v>3422</v>
      </c>
    </row>
    <row r="335" spans="2:9" s="1193" customFormat="1" ht="18" hidden="1" customHeight="1" outlineLevel="1" x14ac:dyDescent="0.25">
      <c r="B335" s="2160" t="s">
        <v>3548</v>
      </c>
      <c r="C335" s="2023" t="s">
        <v>3549</v>
      </c>
      <c r="D335" s="2023" t="s">
        <v>3543</v>
      </c>
      <c r="E335" s="2023">
        <f>K_Ca_BIO_AS</f>
        <v>1E-4</v>
      </c>
      <c r="F335" s="2023" t="s">
        <v>1608</v>
      </c>
      <c r="G335" s="2211">
        <v>4</v>
      </c>
      <c r="H335" s="2023" t="s">
        <v>1247</v>
      </c>
      <c r="I335" s="2036"/>
    </row>
    <row r="336" spans="2:9" s="1193" customFormat="1" ht="18" hidden="1" customHeight="1" outlineLevel="1" x14ac:dyDescent="0.25">
      <c r="B336" s="2160" t="s">
        <v>3548</v>
      </c>
      <c r="C336" s="2023" t="s">
        <v>3549</v>
      </c>
      <c r="D336" s="2023" t="s">
        <v>3550</v>
      </c>
      <c r="E336" s="2023">
        <v>1E-4</v>
      </c>
      <c r="F336" s="2023" t="s">
        <v>1608</v>
      </c>
      <c r="G336" s="2211">
        <v>5</v>
      </c>
      <c r="H336" s="2023" t="s">
        <v>1174</v>
      </c>
      <c r="I336" s="2036" t="s">
        <v>3422</v>
      </c>
    </row>
    <row r="337" spans="1:9" s="1193" customFormat="1" ht="18" hidden="1" customHeight="1" outlineLevel="1" x14ac:dyDescent="0.25">
      <c r="B337" s="2160" t="s">
        <v>1182</v>
      </c>
      <c r="C337" s="2204" t="s">
        <v>2675</v>
      </c>
      <c r="D337" s="2204" t="s">
        <v>1930</v>
      </c>
      <c r="E337" s="2204">
        <f>K_HYD_AS</f>
        <v>0.05</v>
      </c>
      <c r="F337" s="2204" t="s">
        <v>2120</v>
      </c>
      <c r="G337" s="2205">
        <v>2</v>
      </c>
      <c r="H337" s="2204" t="s">
        <v>1247</v>
      </c>
      <c r="I337" s="2036"/>
    </row>
    <row r="338" spans="1:9" s="1193" customFormat="1" ht="18" hidden="1" customHeight="1" outlineLevel="1" x14ac:dyDescent="0.25">
      <c r="B338" s="2160" t="s">
        <v>1182</v>
      </c>
      <c r="C338" s="2204" t="s">
        <v>2675</v>
      </c>
      <c r="D338" s="2204" t="s">
        <v>3418</v>
      </c>
      <c r="E338" s="2204">
        <f>K_HYD_AS*f_KS_biofilm</f>
        <v>2.0000000000000004E-2</v>
      </c>
      <c r="F338" s="2204" t="s">
        <v>2120</v>
      </c>
      <c r="G338" s="2205">
        <v>3</v>
      </c>
      <c r="H338" s="2204" t="s">
        <v>1174</v>
      </c>
      <c r="I338" s="2036" t="s">
        <v>3422</v>
      </c>
    </row>
    <row r="339" spans="1:9" s="1193" customFormat="1" ht="18" hidden="1" customHeight="1" outlineLevel="1" x14ac:dyDescent="0.25">
      <c r="B339" s="2160" t="s">
        <v>2671</v>
      </c>
      <c r="C339" s="2204" t="s">
        <v>2890</v>
      </c>
      <c r="D339" s="2204" t="s">
        <v>2672</v>
      </c>
      <c r="E339" s="2204">
        <f>K_iNHx_ASSIM_AS</f>
        <v>5.0000000000000001E-4</v>
      </c>
      <c r="F339" s="2204" t="s">
        <v>884</v>
      </c>
      <c r="G339" s="2205">
        <v>4</v>
      </c>
      <c r="H339" s="2204" t="s">
        <v>1247</v>
      </c>
      <c r="I339" s="2036"/>
    </row>
    <row r="340" spans="1:9" s="1193" customFormat="1" ht="18" hidden="1" customHeight="1" outlineLevel="1" x14ac:dyDescent="0.25">
      <c r="B340" s="2160" t="s">
        <v>2671</v>
      </c>
      <c r="C340" s="2204" t="s">
        <v>2890</v>
      </c>
      <c r="D340" s="2204" t="s">
        <v>3419</v>
      </c>
      <c r="E340" s="2204">
        <f>K_iNHx_ASSIM_AS*f_KS_biofilm</f>
        <v>2.0000000000000001E-4</v>
      </c>
      <c r="F340" s="2204" t="s">
        <v>884</v>
      </c>
      <c r="G340" s="2205">
        <v>5</v>
      </c>
      <c r="H340" s="2204" t="s">
        <v>1174</v>
      </c>
      <c r="I340" s="2036" t="s">
        <v>3422</v>
      </c>
    </row>
    <row r="341" spans="1:9" s="1234" customFormat="1" ht="18" hidden="1" customHeight="1" outlineLevel="1" x14ac:dyDescent="0.25">
      <c r="B341" s="2179" t="s">
        <v>2288</v>
      </c>
      <c r="C341" s="2204" t="s">
        <v>2676</v>
      </c>
      <c r="D341" s="2204" t="s">
        <v>2289</v>
      </c>
      <c r="E341" s="2204">
        <f>K_NO2_ASSIM_AS</f>
        <v>1E-3</v>
      </c>
      <c r="F341" s="2204" t="s">
        <v>884</v>
      </c>
      <c r="G341" s="2205">
        <v>4</v>
      </c>
      <c r="H341" s="2274" t="s">
        <v>1247</v>
      </c>
      <c r="I341" s="2299"/>
    </row>
    <row r="342" spans="1:9" s="1234" customFormat="1" ht="18" hidden="1" customHeight="1" outlineLevel="1" x14ac:dyDescent="0.25">
      <c r="B342" s="2179" t="s">
        <v>2288</v>
      </c>
      <c r="C342" s="2204" t="s">
        <v>2676</v>
      </c>
      <c r="D342" s="2204" t="s">
        <v>3420</v>
      </c>
      <c r="E342" s="2204">
        <f>K_NO2_ASSIM_AS*f_KS_biofilm</f>
        <v>4.0000000000000002E-4</v>
      </c>
      <c r="F342" s="2204" t="s">
        <v>884</v>
      </c>
      <c r="G342" s="2205">
        <v>5</v>
      </c>
      <c r="H342" s="2274" t="s">
        <v>1174</v>
      </c>
      <c r="I342" s="2299" t="s">
        <v>3422</v>
      </c>
    </row>
    <row r="343" spans="1:9" s="1234" customFormat="1" ht="18" hidden="1" customHeight="1" outlineLevel="1" x14ac:dyDescent="0.25">
      <c r="B343" s="2179" t="s">
        <v>2290</v>
      </c>
      <c r="C343" s="2204" t="s">
        <v>2677</v>
      </c>
      <c r="D343" s="2204" t="s">
        <v>2291</v>
      </c>
      <c r="E343" s="2204">
        <f>K_NO3_ASSIM_AS</f>
        <v>1E-3</v>
      </c>
      <c r="F343" s="2204" t="s">
        <v>884</v>
      </c>
      <c r="G343" s="2205">
        <v>4</v>
      </c>
      <c r="H343" s="2274" t="s">
        <v>1247</v>
      </c>
      <c r="I343" s="2299"/>
    </row>
    <row r="344" spans="1:9" s="1234" customFormat="1" ht="18.75" hidden="1" customHeight="1" outlineLevel="1" thickBot="1" x14ac:dyDescent="0.3">
      <c r="B344" s="2180" t="s">
        <v>2290</v>
      </c>
      <c r="C344" s="2020" t="s">
        <v>2677</v>
      </c>
      <c r="D344" s="2020" t="s">
        <v>3421</v>
      </c>
      <c r="E344" s="2020">
        <f>K_NO3_ASSIM_AS*f_KS_biofilm</f>
        <v>4.0000000000000002E-4</v>
      </c>
      <c r="F344" s="2020" t="s">
        <v>884</v>
      </c>
      <c r="G344" s="2269">
        <v>5</v>
      </c>
      <c r="H344" s="2194" t="s">
        <v>1174</v>
      </c>
      <c r="I344" s="2300" t="s">
        <v>3422</v>
      </c>
    </row>
    <row r="345" spans="1:9" s="930" customFormat="1" ht="15.75" collapsed="1" thickBot="1" x14ac:dyDescent="0.3">
      <c r="B345" s="929"/>
      <c r="C345" s="929"/>
      <c r="D345" s="929"/>
      <c r="E345" s="2252"/>
      <c r="F345" s="130"/>
      <c r="G345" s="929"/>
      <c r="H345" s="929"/>
      <c r="I345" s="929"/>
    </row>
    <row r="346" spans="1:9" s="1730" customFormat="1" ht="18" customHeight="1" thickBot="1" x14ac:dyDescent="0.3">
      <c r="A346" s="930"/>
      <c r="B346" s="112"/>
      <c r="C346" s="1291" t="s">
        <v>4686</v>
      </c>
      <c r="D346" s="14" t="s">
        <v>301</v>
      </c>
      <c r="E346" s="14"/>
      <c r="F346" s="112"/>
      <c r="G346" s="112"/>
      <c r="H346" s="112"/>
      <c r="I346" s="112"/>
    </row>
    <row r="347" spans="1:9" s="1730" customFormat="1" ht="18" customHeight="1" thickBot="1" x14ac:dyDescent="0.3">
      <c r="A347" s="930"/>
      <c r="B347" s="582" t="s">
        <v>0</v>
      </c>
      <c r="C347" s="1376" t="s">
        <v>1</v>
      </c>
      <c r="D347" s="1376" t="s">
        <v>5</v>
      </c>
      <c r="E347" s="1376" t="s">
        <v>152</v>
      </c>
      <c r="F347" s="1376" t="s">
        <v>2</v>
      </c>
      <c r="G347" s="1376" t="s">
        <v>300</v>
      </c>
      <c r="H347" s="1376" t="s">
        <v>116</v>
      </c>
      <c r="I347" s="1377" t="s">
        <v>117</v>
      </c>
    </row>
    <row r="348" spans="1:9" s="1730" customFormat="1" ht="18.75" hidden="1" customHeight="1" outlineLevel="1" x14ac:dyDescent="0.25">
      <c r="A348" s="930"/>
      <c r="B348" s="1342" t="s">
        <v>4687</v>
      </c>
      <c r="C348" s="1343" t="s">
        <v>4688</v>
      </c>
      <c r="D348" s="1180" t="s">
        <v>4742</v>
      </c>
      <c r="E348" s="1760">
        <f>((-1)*(2/((K_CO2_AOB_pH_AS)*(L_ograngeCO2_AOB_pH_AS)))*LN((1/19)*(1+(1/2)*((K_CO2_AOB_pH_AS)*(L_ograngeCO2_AOB_pH_AS)/(K_CO2_AOB_pH_AS)))))</f>
        <v>5077.947742116552</v>
      </c>
      <c r="F348" s="521" t="s">
        <v>4689</v>
      </c>
      <c r="G348" s="1343">
        <v>1</v>
      </c>
      <c r="H348" s="521" t="s">
        <v>5260</v>
      </c>
      <c r="I348" s="1320" t="s">
        <v>4733</v>
      </c>
    </row>
    <row r="349" spans="1:9" s="1730" customFormat="1" ht="18.75" hidden="1" customHeight="1" outlineLevel="1" x14ac:dyDescent="0.25">
      <c r="A349" s="930"/>
      <c r="B349" s="1316" t="s">
        <v>4687</v>
      </c>
      <c r="C349" s="1343" t="s">
        <v>4690</v>
      </c>
      <c r="D349" s="1180" t="s">
        <v>4743</v>
      </c>
      <c r="E349" s="1760">
        <f>(-1)*(2/(K_CO2_AOB_pH_sidestream*L_ograngeCO2_AOB_pH_sidestream))*LN((1/19)*(1+(1/2)*(K_CO2_AOB_pH_sidestream*L_ograngeCO2_AOB_pH_sidestream/K_CO2_AOB_pH_sidestream)))</f>
        <v>4674.4617279854701</v>
      </c>
      <c r="F349" s="521" t="s">
        <v>4689</v>
      </c>
      <c r="G349" s="1343">
        <v>1</v>
      </c>
      <c r="H349" s="521" t="s">
        <v>1601</v>
      </c>
      <c r="I349" s="1320" t="s">
        <v>4733</v>
      </c>
    </row>
    <row r="350" spans="1:9" s="1761" customFormat="1" ht="18" hidden="1" customHeight="1" outlineLevel="1" x14ac:dyDescent="0.25">
      <c r="A350" s="930"/>
      <c r="B350" s="1395" t="s">
        <v>4691</v>
      </c>
      <c r="C350" s="1396" t="s">
        <v>4692</v>
      </c>
      <c r="D350" s="1396" t="s">
        <v>4744</v>
      </c>
      <c r="E350" s="1397">
        <f>((-1)*(2/((K_CO2_NOB_pH_AS)*(L_ograngeCO2_NOB_pH_AS)))*LN((1/19)*(1+(1/2)*((K_CO2_NOB_pH_AS)*(L_ograngeCO2_NOB_pH_AS)/(K_CO2_NOB_pH_AS)))))</f>
        <v>112564.58993032474</v>
      </c>
      <c r="F350" s="1398" t="s">
        <v>4689</v>
      </c>
      <c r="G350" s="1398">
        <v>1</v>
      </c>
      <c r="H350" s="1398"/>
      <c r="I350" s="1399" t="s">
        <v>4733</v>
      </c>
    </row>
    <row r="351" spans="1:9" s="1761" customFormat="1" ht="18.75" hidden="1" customHeight="1" outlineLevel="1" x14ac:dyDescent="0.25">
      <c r="A351" s="930"/>
      <c r="B351" s="1330" t="s">
        <v>4693</v>
      </c>
      <c r="C351" s="560" t="s">
        <v>4694</v>
      </c>
      <c r="D351" s="564" t="s">
        <v>4741</v>
      </c>
      <c r="E351" s="1333">
        <f>((-1)*(2/((K_CO2_AMX_pH_AS)*(L_ograngeCO2_AMX_pH_AS)))*LN((1/19)*(1+(1/2)*((K_CO2_AMX_pH_AS)*(L_ograngeCO2_AMX_pH_AS)/(K_CO2_AMX_pH_AS)))))</f>
        <v>11256.458993032476</v>
      </c>
      <c r="F351" s="1740" t="s">
        <v>4689</v>
      </c>
      <c r="G351" s="560">
        <v>1</v>
      </c>
      <c r="H351" s="561"/>
      <c r="I351" s="1400" t="s">
        <v>4733</v>
      </c>
    </row>
    <row r="352" spans="1:9" s="1730" customFormat="1" ht="18" hidden="1" customHeight="1" outlineLevel="1" x14ac:dyDescent="0.25">
      <c r="A352" s="930"/>
      <c r="B352" s="1344" t="s">
        <v>4695</v>
      </c>
      <c r="C352" s="1345" t="s">
        <v>4696</v>
      </c>
      <c r="D352" s="1345" t="s">
        <v>4740</v>
      </c>
      <c r="E352" s="1346">
        <f>((-1)*(2/((K_VFA_FERM)*(L_ograngeVFA_FERM_AS)))*LN((1/19)*(1+(1/2)*((K_VFA_FERM)*(L_ograngeVFA_FERM_AS)/(K_VFA_FERM)))))</f>
        <v>9.7948563582963093</v>
      </c>
      <c r="F352" s="581" t="s">
        <v>4697</v>
      </c>
      <c r="G352" s="1347">
        <v>1</v>
      </c>
      <c r="H352" s="1348" t="s">
        <v>1247</v>
      </c>
      <c r="I352" s="1302" t="s">
        <v>4733</v>
      </c>
    </row>
    <row r="353" spans="1:9" s="1730" customFormat="1" ht="18" hidden="1" customHeight="1" outlineLevel="1" x14ac:dyDescent="0.25">
      <c r="A353" s="930"/>
      <c r="B353" s="1344" t="s">
        <v>4695</v>
      </c>
      <c r="C353" s="1345" t="s">
        <v>4698</v>
      </c>
      <c r="D353" s="1345" t="s">
        <v>4732</v>
      </c>
      <c r="E353" s="1346">
        <f>(-1)*(2/(K_VFA_FERM*L_ograngeVFA_FERM_AS))*LN((1/19)*(1+(1/2)*(K_VFA_FERM*L_ograngeVFA_FERM_AS/K_VFA_FERM))) / f_KS</f>
        <v>97.948563582963089</v>
      </c>
      <c r="F353" s="581" t="s">
        <v>4697</v>
      </c>
      <c r="G353" s="1347">
        <v>1</v>
      </c>
      <c r="H353" s="1348" t="s">
        <v>1174</v>
      </c>
      <c r="I353" s="1401" t="s">
        <v>3422</v>
      </c>
    </row>
    <row r="354" spans="1:9" s="1730" customFormat="1" ht="18" hidden="1" customHeight="1" outlineLevel="1" x14ac:dyDescent="0.25">
      <c r="A354" s="930"/>
      <c r="B354" s="1349" t="s">
        <v>4699</v>
      </c>
      <c r="C354" s="1304" t="s">
        <v>4700</v>
      </c>
      <c r="D354" s="1304" t="s">
        <v>4739</v>
      </c>
      <c r="E354" s="1350">
        <f>((-1)*(2/((K_PO4_PAO)*(L_ograngePO4_PAO_AS_sat)))*LN((1/19)*(1+(1/2)*((K_PO4_PAO)*(L_ograngePO4_PAO_AS_sat)/(K_PO4_PAO)))))</f>
        <v>43.466112375753802</v>
      </c>
      <c r="F354" s="1304" t="s">
        <v>4701</v>
      </c>
      <c r="G354" s="1304">
        <v>1</v>
      </c>
      <c r="H354" s="1304" t="s">
        <v>1247</v>
      </c>
      <c r="I354" s="1308" t="s">
        <v>4733</v>
      </c>
    </row>
    <row r="355" spans="1:9" s="1730" customFormat="1" ht="18" hidden="1" customHeight="1" outlineLevel="1" x14ac:dyDescent="0.25">
      <c r="A355" s="930"/>
      <c r="B355" s="1349" t="s">
        <v>4699</v>
      </c>
      <c r="C355" s="1304" t="s">
        <v>4702</v>
      </c>
      <c r="D355" s="1304" t="s">
        <v>4731</v>
      </c>
      <c r="E355" s="1350">
        <f>(-1)*(2/(K_PO4_PAO*L_ograngePO4_PAO_AS_sat))*LN((1/19)*(1+(1/2)*(K_PO4_PAO*L_ograngePO4_PAO_AS_sat/K_PO4_PAO))) / f_KS</f>
        <v>434.66112375753801</v>
      </c>
      <c r="F355" s="1304" t="s">
        <v>4701</v>
      </c>
      <c r="G355" s="1304">
        <v>1</v>
      </c>
      <c r="H355" s="1304" t="s">
        <v>1174</v>
      </c>
      <c r="I355" s="1308" t="s">
        <v>3422</v>
      </c>
    </row>
    <row r="356" spans="1:9" s="1730" customFormat="1" ht="18" hidden="1" customHeight="1" outlineLevel="1" x14ac:dyDescent="0.25">
      <c r="A356" s="930"/>
      <c r="B356" s="1349" t="s">
        <v>4703</v>
      </c>
      <c r="C356" s="1304" t="s">
        <v>4704</v>
      </c>
      <c r="D356" s="1304" t="s">
        <v>4738</v>
      </c>
      <c r="E356" s="1350">
        <f>((-1)*(2/((K_PO4_PAO)*(L_ograngePP_PAO_AS_sat)))*LN((1/19)*(1+(1/2)*((K_PO4_PAO)*(L_ograngePP_PAO_AS_sat)/(K_PO4_PAO)))))</f>
        <v>92.070580745749538</v>
      </c>
      <c r="F356" s="1304" t="s">
        <v>4701</v>
      </c>
      <c r="G356" s="1304">
        <v>1</v>
      </c>
      <c r="H356" s="1304" t="s">
        <v>1247</v>
      </c>
      <c r="I356" s="1308" t="s">
        <v>4733</v>
      </c>
    </row>
    <row r="357" spans="1:9" s="1730" customFormat="1" ht="18" hidden="1" customHeight="1" outlineLevel="1" x14ac:dyDescent="0.25">
      <c r="A357" s="930"/>
      <c r="B357" s="1349" t="s">
        <v>4703</v>
      </c>
      <c r="C357" s="1304" t="s">
        <v>4705</v>
      </c>
      <c r="D357" s="1304" t="s">
        <v>4730</v>
      </c>
      <c r="E357" s="1350">
        <f>(-1)*(2/(K_PO4_PAO*L_ograngePP_PAO_AS_sat))*LN((1/19)*(1+(1/2)*(K_PO4_PAO*L_ograngePP_PAO_AS_sat/K_PO4_PAO))) / f_KS</f>
        <v>920.70580745749533</v>
      </c>
      <c r="F357" s="1304" t="s">
        <v>4701</v>
      </c>
      <c r="G357" s="1304">
        <v>1</v>
      </c>
      <c r="H357" s="1304" t="s">
        <v>1174</v>
      </c>
      <c r="I357" s="1308" t="s">
        <v>3422</v>
      </c>
    </row>
    <row r="358" spans="1:9" s="1730" customFormat="1" ht="18" hidden="1" customHeight="1" outlineLevel="1" x14ac:dyDescent="0.25">
      <c r="A358" s="930"/>
      <c r="B358" s="1349" t="s">
        <v>4706</v>
      </c>
      <c r="C358" s="1304" t="s">
        <v>4707</v>
      </c>
      <c r="D358" s="1304" t="s">
        <v>4737</v>
      </c>
      <c r="E358" s="1350">
        <f>((-1)*(2/((K_iPHA_PAO_max)*(L_ograngePHA_PAO_inh)))*LN((1/19)*(1+(1/2)*((K_iPHA_PAO_max)*(L_ograngePHA_PAO_inh)/(K_iPHA_PAO_max)))))</f>
        <v>96.521627166566958</v>
      </c>
      <c r="F358" s="1309" t="s">
        <v>2120</v>
      </c>
      <c r="G358" s="1304">
        <v>1</v>
      </c>
      <c r="H358" s="1304"/>
      <c r="I358" s="1308" t="s">
        <v>4733</v>
      </c>
    </row>
    <row r="359" spans="1:9" s="1730" customFormat="1" ht="18" hidden="1" customHeight="1" outlineLevel="1" x14ac:dyDescent="0.25">
      <c r="A359" s="930"/>
      <c r="B359" s="1349" t="s">
        <v>4708</v>
      </c>
      <c r="C359" s="1304" t="s">
        <v>4709</v>
      </c>
      <c r="D359" s="1304" t="s">
        <v>4736</v>
      </c>
      <c r="E359" s="1350">
        <f>((-1)*(2/((K_iPP_PAO_max)*(L_ograngePP_PAO_inh)))*LN((1/19)*(1+(1/2)*((K_iPP_PAO_max)*(L_ograngePP_PAO_inh)/(K_iPP_PAO_max)))))</f>
        <v>96.230554358790513</v>
      </c>
      <c r="F359" s="1309" t="s">
        <v>4002</v>
      </c>
      <c r="G359" s="1304">
        <v>1</v>
      </c>
      <c r="H359" s="1304"/>
      <c r="I359" s="1308" t="s">
        <v>4733</v>
      </c>
    </row>
    <row r="360" spans="1:9" s="1730" customFormat="1" ht="18" hidden="1" customHeight="1" outlineLevel="1" x14ac:dyDescent="0.25">
      <c r="A360" s="930"/>
      <c r="B360" s="2433" t="s">
        <v>5468</v>
      </c>
      <c r="C360" s="2447" t="s">
        <v>5469</v>
      </c>
      <c r="D360" s="2447" t="s">
        <v>5470</v>
      </c>
      <c r="E360" s="1352">
        <f>((-1)*(2/((K_iPHA_GAO_max)*(L_ograngePHA_GAO_inh)))*LN((1/19)*(1+(1/2)*((K_iPHA_GAO_max)*(L_ograngePHA_GAO_inh)/(K_iPHA_GAO_max)))))</f>
        <v>96.205669034748837</v>
      </c>
      <c r="F360" s="1351" t="s">
        <v>2120</v>
      </c>
      <c r="G360" s="1351">
        <v>1</v>
      </c>
      <c r="H360" s="1353"/>
      <c r="I360" s="1354" t="s">
        <v>4733</v>
      </c>
    </row>
    <row r="361" spans="1:9" s="1422" customFormat="1" ht="18.75" hidden="1" customHeight="1" outlineLevel="1" x14ac:dyDescent="0.25">
      <c r="B361" s="1423" t="s">
        <v>4789</v>
      </c>
      <c r="C361" s="1420" t="s">
        <v>4790</v>
      </c>
      <c r="D361" s="1420" t="s">
        <v>4791</v>
      </c>
      <c r="E361" s="1457">
        <f>((-1)*(2/((K_iNH3_AMETO_pH)*(L_ograngeNH3_AMETO)))*LN((1/19)*(1+(1/2)*((K_iNH3_AMETO_pH)*(L_ograngeNH3_AMETO)/(K_iNH3_AMETO_pH)))))</f>
        <v>57.970947247187361</v>
      </c>
      <c r="F361" s="1421" t="s">
        <v>4792</v>
      </c>
      <c r="G361" s="1425">
        <v>1</v>
      </c>
      <c r="H361" s="1418"/>
      <c r="I361" s="1419" t="s">
        <v>4733</v>
      </c>
    </row>
    <row r="362" spans="1:9" s="1730" customFormat="1" ht="18" hidden="1" customHeight="1" outlineLevel="1" x14ac:dyDescent="0.25">
      <c r="A362" s="930"/>
      <c r="B362" s="1355" t="s">
        <v>4710</v>
      </c>
      <c r="C362" s="1356" t="s">
        <v>4711</v>
      </c>
      <c r="D362" s="1356" t="s">
        <v>4735</v>
      </c>
      <c r="E362" s="1357">
        <f>((-1)*(2/((K_iP_HFO_DISS)*(L_ograngeP_HFO_DISS)))*LN((1/19)*(1+(1/2)*((K_iP_HFO_DISS)*(L_ograngeP_HFO_DISS)/(K_iP_HFO_DISS)))))</f>
        <v>507.79477421165524</v>
      </c>
      <c r="F362" s="1356" t="s">
        <v>4701</v>
      </c>
      <c r="G362" s="1358">
        <v>1</v>
      </c>
      <c r="H362" s="1356"/>
      <c r="I362" s="1359" t="s">
        <v>4733</v>
      </c>
    </row>
    <row r="363" spans="1:9" s="1730" customFormat="1" ht="18.75" hidden="1" customHeight="1" outlineLevel="1" thickBot="1" x14ac:dyDescent="0.3">
      <c r="A363" s="930"/>
      <c r="B363" s="1360" t="s">
        <v>4712</v>
      </c>
      <c r="C363" s="1361" t="s">
        <v>4713</v>
      </c>
      <c r="D363" s="1361" t="s">
        <v>4734</v>
      </c>
      <c r="E363" s="1362">
        <f>((-1)*(2/((K_iP_HAO_DISS)*(L_ograngeP_HAO_DISS)))*LN((1/19)*(1+(1/2)*((K_iP_HAO_DISS)*(L_ograngeP_HAO_DISS)/(K_iP_HAO_DISS)))))</f>
        <v>2251.2917986064954</v>
      </c>
      <c r="F363" s="1361" t="s">
        <v>4701</v>
      </c>
      <c r="G363" s="1363">
        <v>1</v>
      </c>
      <c r="H363" s="1361"/>
      <c r="I363" s="1364" t="s">
        <v>4733</v>
      </c>
    </row>
    <row r="364" spans="1:9" s="1730" customFormat="1" ht="18" customHeight="1" collapsed="1" thickBot="1" x14ac:dyDescent="0.3">
      <c r="B364" s="4"/>
      <c r="C364" s="4"/>
      <c r="D364" s="4"/>
      <c r="E364" s="2253"/>
      <c r="F364" s="4"/>
      <c r="G364" s="4"/>
      <c r="H364" s="4"/>
    </row>
    <row r="365" spans="1:9" ht="15.75" thickBot="1" x14ac:dyDescent="0.3">
      <c r="C365" s="228" t="s">
        <v>1932</v>
      </c>
      <c r="D365" s="1375" t="s">
        <v>301</v>
      </c>
      <c r="E365" s="1375"/>
    </row>
    <row r="366" spans="1:9" s="1730" customFormat="1" ht="18" customHeight="1" thickBot="1" x14ac:dyDescent="0.3">
      <c r="A366" s="930"/>
      <c r="B366" s="582" t="s">
        <v>0</v>
      </c>
      <c r="C366" s="1376" t="s">
        <v>1</v>
      </c>
      <c r="D366" s="1376" t="s">
        <v>5</v>
      </c>
      <c r="E366" s="1376" t="s">
        <v>152</v>
      </c>
      <c r="F366" s="1376" t="s">
        <v>2</v>
      </c>
      <c r="G366" s="1376" t="s">
        <v>300</v>
      </c>
      <c r="H366" s="1376" t="s">
        <v>116</v>
      </c>
      <c r="I366" s="1377" t="s">
        <v>117</v>
      </c>
    </row>
    <row r="367" spans="1:9" ht="18" hidden="1" customHeight="1" outlineLevel="1" x14ac:dyDescent="0.25">
      <c r="B367" s="2181" t="s">
        <v>1809</v>
      </c>
      <c r="C367" s="2206" t="s">
        <v>2678</v>
      </c>
      <c r="D367" s="2220" t="s">
        <v>1810</v>
      </c>
      <c r="E367" s="2254">
        <f>((1+2*10^(0.5*((p_Hlow)-(p_Hhigh))))/(1+10^((p_H)-(p_Hhigh))+10^((p_Hlow)-(p_H))))</f>
        <v>0.99997841972817147</v>
      </c>
      <c r="F367" s="2220" t="s">
        <v>283</v>
      </c>
      <c r="G367" s="2220">
        <v>2</v>
      </c>
      <c r="H367" s="2202" t="s">
        <v>11</v>
      </c>
      <c r="I367" s="2301"/>
    </row>
    <row r="368" spans="1:9" ht="18" hidden="1" customHeight="1" outlineLevel="1" x14ac:dyDescent="0.25">
      <c r="B368" s="2182" t="s">
        <v>1809</v>
      </c>
      <c r="C368" s="2207" t="s">
        <v>2678</v>
      </c>
      <c r="D368" s="2209" t="s">
        <v>5261</v>
      </c>
      <c r="E368" s="2255">
        <f>1</f>
        <v>1</v>
      </c>
      <c r="F368" s="2209" t="s">
        <v>283</v>
      </c>
      <c r="G368" s="2209">
        <v>0</v>
      </c>
      <c r="H368" s="1965" t="s">
        <v>1150</v>
      </c>
      <c r="I368" s="2302"/>
    </row>
    <row r="369" spans="1:9" s="112" customFormat="1" ht="18" hidden="1" outlineLevel="1" x14ac:dyDescent="0.25">
      <c r="B369" s="2157" t="s">
        <v>5083</v>
      </c>
      <c r="C369" s="2208" t="s">
        <v>5084</v>
      </c>
      <c r="D369" s="2209" t="s">
        <v>5085</v>
      </c>
      <c r="E369" s="2256">
        <f>((1+2*10^(0.5*((p_Hlow_AOB)-(p_Hhigh_AOB))))/(1+10^((p_H)-(p_Hhigh_AOB))+10^((p_Hlow_AOB)-(p_H))))</f>
        <v>0.98233028995495941</v>
      </c>
      <c r="F369" s="2266" t="s">
        <v>283</v>
      </c>
      <c r="G369" s="2266">
        <v>2</v>
      </c>
      <c r="H369" s="2189" t="s">
        <v>11</v>
      </c>
      <c r="I369" s="2276"/>
    </row>
    <row r="370" spans="1:9" s="112" customFormat="1" ht="18" hidden="1" outlineLevel="1" x14ac:dyDescent="0.25">
      <c r="B370" s="2157" t="s">
        <v>5083</v>
      </c>
      <c r="C370" s="2209" t="s">
        <v>5084</v>
      </c>
      <c r="D370" s="2209" t="s">
        <v>5262</v>
      </c>
      <c r="E370" s="2256">
        <f>1</f>
        <v>1</v>
      </c>
      <c r="F370" s="2266" t="s">
        <v>283</v>
      </c>
      <c r="G370" s="2266">
        <v>0</v>
      </c>
      <c r="H370" s="2189" t="s">
        <v>1150</v>
      </c>
      <c r="I370" s="2276"/>
    </row>
    <row r="371" spans="1:9" s="112" customFormat="1" ht="18" hidden="1" outlineLevel="1" x14ac:dyDescent="0.25">
      <c r="B371" s="2157" t="s">
        <v>5086</v>
      </c>
      <c r="C371" s="2208" t="s">
        <v>5087</v>
      </c>
      <c r="D371" s="2209" t="s">
        <v>5088</v>
      </c>
      <c r="E371" s="2256">
        <f>((1+2*10^(0.5*((p_Hlow_NOB)-(p_Hhigh_NOB))))/(1+10^((p_H)-(p_Hhigh_NOB))+10^((p_Hlow_NOB)-(p_H))))</f>
        <v>0.98233028995495941</v>
      </c>
      <c r="F371" s="2266" t="s">
        <v>283</v>
      </c>
      <c r="G371" s="2266">
        <v>2</v>
      </c>
      <c r="H371" s="2189" t="s">
        <v>11</v>
      </c>
      <c r="I371" s="2276"/>
    </row>
    <row r="372" spans="1:9" s="112" customFormat="1" ht="18" hidden="1" outlineLevel="1" x14ac:dyDescent="0.25">
      <c r="B372" s="2157" t="s">
        <v>5086</v>
      </c>
      <c r="C372" s="2209" t="s">
        <v>5087</v>
      </c>
      <c r="D372" s="2209" t="s">
        <v>5263</v>
      </c>
      <c r="E372" s="2256">
        <f>1</f>
        <v>1</v>
      </c>
      <c r="F372" s="2266" t="s">
        <v>283</v>
      </c>
      <c r="G372" s="2266">
        <v>0</v>
      </c>
      <c r="H372" s="2189" t="s">
        <v>1150</v>
      </c>
      <c r="I372" s="2276"/>
    </row>
    <row r="373" spans="1:9" ht="18" hidden="1" customHeight="1" outlineLevel="1" x14ac:dyDescent="0.25">
      <c r="B373" s="2182" t="s">
        <v>1967</v>
      </c>
      <c r="C373" s="2207" t="s">
        <v>2679</v>
      </c>
      <c r="D373" s="2209" t="s">
        <v>1969</v>
      </c>
      <c r="E373" s="2255">
        <f>((1+2*10^(0.5*((p_Hlow_AMETO)-(p_Hhigh_AMETO))))/(1+10^((p_H)-(p_Hhigh_AMETO))+10^((p_Hlow_AMETO)-(p_H))))</f>
        <v>0.99932217031298287</v>
      </c>
      <c r="F373" s="2209" t="s">
        <v>283</v>
      </c>
      <c r="G373" s="2209">
        <v>2</v>
      </c>
      <c r="H373" s="1965" t="s">
        <v>11</v>
      </c>
      <c r="I373" s="2302"/>
    </row>
    <row r="374" spans="1:9" ht="18" hidden="1" customHeight="1" outlineLevel="1" x14ac:dyDescent="0.25">
      <c r="B374" s="2182" t="s">
        <v>1967</v>
      </c>
      <c r="C374" s="2207" t="s">
        <v>2679</v>
      </c>
      <c r="D374" s="2209" t="s">
        <v>5264</v>
      </c>
      <c r="E374" s="2255">
        <f>1</f>
        <v>1</v>
      </c>
      <c r="F374" s="2209" t="s">
        <v>283</v>
      </c>
      <c r="G374" s="2209">
        <v>0</v>
      </c>
      <c r="H374" s="1965" t="s">
        <v>1150</v>
      </c>
      <c r="I374" s="2302"/>
    </row>
    <row r="375" spans="1:9" ht="18" hidden="1" customHeight="1" outlineLevel="1" x14ac:dyDescent="0.25">
      <c r="B375" s="2182" t="s">
        <v>1968</v>
      </c>
      <c r="C375" s="2207" t="s">
        <v>2680</v>
      </c>
      <c r="D375" s="2209" t="s">
        <v>1970</v>
      </c>
      <c r="E375" s="2255">
        <f>((1+2*10^(0.5*((p_Hlow_HMETO)-(p_Hhigh_HMETO))))/(1+10^((p_H)-(p_Hhigh_HMETO))+10^((p_Hlow_HMETO)-(p_H))))</f>
        <v>0.99932217031298287</v>
      </c>
      <c r="F375" s="2209" t="s">
        <v>283</v>
      </c>
      <c r="G375" s="2209">
        <v>2</v>
      </c>
      <c r="H375" s="1965" t="s">
        <v>11</v>
      </c>
      <c r="I375" s="2302"/>
    </row>
    <row r="376" spans="1:9" ht="18" hidden="1" customHeight="1" outlineLevel="1" x14ac:dyDescent="0.25">
      <c r="B376" s="2182" t="s">
        <v>1968</v>
      </c>
      <c r="C376" s="2207" t="s">
        <v>2680</v>
      </c>
      <c r="D376" s="2209" t="s">
        <v>5265</v>
      </c>
      <c r="E376" s="2255">
        <f>1</f>
        <v>1</v>
      </c>
      <c r="F376" s="2209" t="s">
        <v>283</v>
      </c>
      <c r="G376" s="2209">
        <v>0</v>
      </c>
      <c r="H376" s="1965" t="s">
        <v>1150</v>
      </c>
      <c r="I376" s="2302"/>
    </row>
    <row r="377" spans="1:9" s="112" customFormat="1" ht="18" hidden="1" outlineLevel="1" x14ac:dyDescent="0.25">
      <c r="B377" s="2161" t="s">
        <v>5326</v>
      </c>
      <c r="C377" s="2208" t="s">
        <v>5327</v>
      </c>
      <c r="D377" s="2209" t="s">
        <v>5328</v>
      </c>
      <c r="E377" s="2256">
        <f>((1+2*10^(0.5*((p_Hlow_FLOC_HFO)-(p_Hhigh_FLOC_HFO))))/(1+10^((p_H)-(p_Hhigh_FLOC_HFO))+10^((p_Hlow_FLOC_HFO)-(p_H))))</f>
        <v>0.99788828703368959</v>
      </c>
      <c r="F377" s="2266" t="s">
        <v>283</v>
      </c>
      <c r="G377" s="2266">
        <v>2</v>
      </c>
      <c r="H377" s="2189" t="s">
        <v>11</v>
      </c>
      <c r="I377" s="2281"/>
    </row>
    <row r="378" spans="1:9" s="112" customFormat="1" ht="18" hidden="1" outlineLevel="1" x14ac:dyDescent="0.25">
      <c r="B378" s="2161" t="s">
        <v>5326</v>
      </c>
      <c r="C378" s="2209" t="s">
        <v>5327</v>
      </c>
      <c r="D378" s="2209" t="s">
        <v>5329</v>
      </c>
      <c r="E378" s="2256">
        <f>1</f>
        <v>1</v>
      </c>
      <c r="F378" s="2266" t="s">
        <v>283</v>
      </c>
      <c r="G378" s="2266">
        <v>0</v>
      </c>
      <c r="H378" s="2189" t="s">
        <v>1150</v>
      </c>
      <c r="I378" s="2281"/>
    </row>
    <row r="379" spans="1:9" s="112" customFormat="1" ht="18" hidden="1" outlineLevel="1" x14ac:dyDescent="0.25">
      <c r="B379" s="2161" t="s">
        <v>5330</v>
      </c>
      <c r="C379" s="2208" t="s">
        <v>5331</v>
      </c>
      <c r="D379" s="2209" t="s">
        <v>5332</v>
      </c>
      <c r="E379" s="2256">
        <f>((1+2*10^(0.5*((p_Hlow_FLOC_HAO)-(p_Hhigh_FLOC_HAO))))/(1+10^((p_H)-(p_Hhigh_FLOC_HAO))+10^((p_Hlow_FLOC_HAO)-(p_H))))</f>
        <v>0.99788828703368959</v>
      </c>
      <c r="F379" s="2266" t="s">
        <v>283</v>
      </c>
      <c r="G379" s="2266">
        <v>2</v>
      </c>
      <c r="H379" s="2189" t="s">
        <v>11</v>
      </c>
      <c r="I379" s="2281"/>
    </row>
    <row r="380" spans="1:9" s="112" customFormat="1" ht="18" hidden="1" outlineLevel="1" x14ac:dyDescent="0.25">
      <c r="B380" s="2161" t="s">
        <v>5330</v>
      </c>
      <c r="C380" s="2209" t="s">
        <v>5331</v>
      </c>
      <c r="D380" s="2209" t="s">
        <v>5333</v>
      </c>
      <c r="E380" s="2256">
        <f>1</f>
        <v>1</v>
      </c>
      <c r="F380" s="2266" t="s">
        <v>283</v>
      </c>
      <c r="G380" s="2266">
        <v>0</v>
      </c>
      <c r="H380" s="2189" t="s">
        <v>1150</v>
      </c>
      <c r="I380" s="2281"/>
    </row>
    <row r="381" spans="1:9" s="104" customFormat="1" ht="18" hidden="1" customHeight="1" outlineLevel="1" x14ac:dyDescent="0.25">
      <c r="A381" s="103"/>
      <c r="B381" s="1178" t="s">
        <v>2293</v>
      </c>
      <c r="C381" s="1179" t="s">
        <v>2681</v>
      </c>
      <c r="D381" s="1343" t="s">
        <v>4714</v>
      </c>
      <c r="E381" s="1365">
        <f>((conc_HCO3m_I)/((conc_HCO3m_I)+(K_CO2_AOB_pH)*EXP(((K_CO2_AOB_pH)-(conc_HCO3m_I))*(L_ogslopeCO2_AOB_pH))))</f>
        <v>0.99999999997903732</v>
      </c>
      <c r="F381" s="1180" t="s">
        <v>283</v>
      </c>
      <c r="G381" s="1180">
        <v>2</v>
      </c>
      <c r="H381" s="521"/>
      <c r="I381" s="1235"/>
    </row>
    <row r="382" spans="1:9" s="104" customFormat="1" ht="18" hidden="1" customHeight="1" outlineLevel="1" x14ac:dyDescent="0.25">
      <c r="A382" s="103"/>
      <c r="B382" s="1181" t="s">
        <v>2294</v>
      </c>
      <c r="C382" s="1182" t="s">
        <v>2682</v>
      </c>
      <c r="D382" s="1183" t="s">
        <v>2687</v>
      </c>
      <c r="E382" s="1184">
        <f>((K_iNH3_NOB_pH)/((K_iNH3_NOB_pH)+(conc_NH3_I)))</f>
        <v>0.99999999995542743</v>
      </c>
      <c r="F382" s="1183" t="s">
        <v>283</v>
      </c>
      <c r="G382" s="1183">
        <v>2</v>
      </c>
      <c r="H382" s="1186"/>
      <c r="I382" s="1185"/>
    </row>
    <row r="383" spans="1:9" s="104" customFormat="1" ht="18" hidden="1" customHeight="1" outlineLevel="1" x14ac:dyDescent="0.25">
      <c r="A383" s="103"/>
      <c r="B383" s="1181" t="s">
        <v>2295</v>
      </c>
      <c r="C383" s="1182" t="s">
        <v>2683</v>
      </c>
      <c r="D383" s="1366" t="s">
        <v>4715</v>
      </c>
      <c r="E383" s="1367">
        <f>((conc_HCO3m_I)/((conc_HCO3m_I)+(K_CO2_NOB_pH)*EXP(((K_CO2_NOB_pH)-(conc_HCO3m_I))*(L_ogslopeCO2_NOB_pH))))</f>
        <v>1</v>
      </c>
      <c r="F383" s="1183" t="s">
        <v>283</v>
      </c>
      <c r="G383" s="1183">
        <v>2</v>
      </c>
      <c r="H383" s="1186"/>
      <c r="I383" s="1236"/>
    </row>
    <row r="384" spans="1:9" s="104" customFormat="1" ht="18" hidden="1" customHeight="1" outlineLevel="1" x14ac:dyDescent="0.25">
      <c r="A384" s="103"/>
      <c r="B384" s="1187" t="s">
        <v>2296</v>
      </c>
      <c r="C384" s="1188" t="s">
        <v>2684</v>
      </c>
      <c r="D384" s="1281" t="s">
        <v>4716</v>
      </c>
      <c r="E384" s="1290">
        <f>((conc_HCO3m_I)/((conc_HCO3m_I)+(K_CO2_AMX_pH)*EXP(((K_CO2_AMX_pH)-(conc_HCO3m_I))*(L_ogslopeCO2_AMX_pH))))</f>
        <v>1</v>
      </c>
      <c r="F384" s="1189" t="s">
        <v>283</v>
      </c>
      <c r="G384" s="1189">
        <v>2</v>
      </c>
      <c r="H384" s="1191"/>
      <c r="I384" s="1237"/>
    </row>
    <row r="385" spans="2:9" ht="18" hidden="1" customHeight="1" outlineLevel="1" x14ac:dyDescent="0.25">
      <c r="B385" s="1187" t="s">
        <v>2297</v>
      </c>
      <c r="C385" s="1188" t="s">
        <v>2685</v>
      </c>
      <c r="D385" s="1190" t="s">
        <v>2686</v>
      </c>
      <c r="E385" s="1191">
        <f>((K_iHNO2_AMX_pH)/((K_iHNO2_AMX_pH)+(conc_HNO2_I)))</f>
        <v>0.99999999913998838</v>
      </c>
      <c r="F385" s="1191" t="s">
        <v>283</v>
      </c>
      <c r="G385" s="1191">
        <v>2</v>
      </c>
      <c r="H385" s="1191"/>
      <c r="I385" s="1237"/>
    </row>
    <row r="386" spans="2:9" s="1422" customFormat="1" ht="18.75" hidden="1" outlineLevel="1" thickBot="1" x14ac:dyDescent="0.3">
      <c r="B386" s="2394" t="s">
        <v>4793</v>
      </c>
      <c r="C386" s="2395" t="s">
        <v>4794</v>
      </c>
      <c r="D386" s="2395" t="s">
        <v>4795</v>
      </c>
      <c r="E386" s="2396">
        <f>(1-(conc_NH3_I)/((conc_NH3_I)+(K_iNH3_AMETO_pH)*EXP(((K_iNH3_AMETO_pH)-(conc_NH3_I))*(L_ogslopeNH3_AMETO_pH))))</f>
        <v>1</v>
      </c>
      <c r="F386" s="2397" t="s">
        <v>283</v>
      </c>
      <c r="G386" s="2398">
        <v>2</v>
      </c>
      <c r="H386" s="2399"/>
      <c r="I386" s="2400"/>
    </row>
    <row r="387" spans="2:9" ht="15.75" collapsed="1" thickBot="1" x14ac:dyDescent="0.3">
      <c r="B387" s="130"/>
      <c r="C387" s="130"/>
      <c r="D387" s="130"/>
      <c r="E387" s="130"/>
      <c r="F387" s="130"/>
      <c r="G387" s="130"/>
      <c r="H387" s="130"/>
      <c r="I387" s="130"/>
    </row>
    <row r="388" spans="2:9" ht="15.75" thickBot="1" x14ac:dyDescent="0.3">
      <c r="C388" s="1118" t="s">
        <v>891</v>
      </c>
      <c r="D388" s="2051" t="s">
        <v>301</v>
      </c>
      <c r="E388" s="103"/>
    </row>
    <row r="389" spans="2:9" ht="15.75" thickBot="1" x14ac:dyDescent="0.3">
      <c r="B389" s="1119" t="s">
        <v>0</v>
      </c>
      <c r="C389" s="940" t="s">
        <v>1</v>
      </c>
      <c r="D389" s="940" t="s">
        <v>5</v>
      </c>
      <c r="E389" s="940" t="s">
        <v>152</v>
      </c>
      <c r="F389" s="940" t="s">
        <v>2</v>
      </c>
      <c r="G389" s="940" t="s">
        <v>300</v>
      </c>
      <c r="H389" s="940" t="s">
        <v>116</v>
      </c>
      <c r="I389" s="1120" t="s">
        <v>117</v>
      </c>
    </row>
    <row r="390" spans="2:9" ht="18" hidden="1" customHeight="1" outlineLevel="1" x14ac:dyDescent="0.25">
      <c r="B390" s="1935" t="s">
        <v>1785</v>
      </c>
      <c r="C390" s="2208" t="s">
        <v>2690</v>
      </c>
      <c r="D390" s="2208" t="s">
        <v>1786</v>
      </c>
      <c r="E390" s="2208">
        <f>(MAX((S_AN)-S_umo__MSatMin,0)/((K_AN)+(S_AN)))</f>
        <v>0.99933377748167895</v>
      </c>
      <c r="F390" s="2208" t="s">
        <v>283</v>
      </c>
      <c r="G390" s="2208">
        <v>2</v>
      </c>
      <c r="H390" s="2024"/>
      <c r="I390" s="2041"/>
    </row>
    <row r="391" spans="2:9" ht="18" hidden="1" customHeight="1" outlineLevel="1" x14ac:dyDescent="0.25">
      <c r="B391" s="2183" t="s">
        <v>1783</v>
      </c>
      <c r="C391" s="2210" t="s">
        <v>2691</v>
      </c>
      <c r="D391" s="2223" t="s">
        <v>1784</v>
      </c>
      <c r="E391" s="2223">
        <f>(MAX((S_CAT)-S_umo__MSatMin,0)/((K_CAT)+(S_CAT)))</f>
        <v>0.99715099715099709</v>
      </c>
      <c r="F391" s="2223" t="s">
        <v>283</v>
      </c>
      <c r="G391" s="2223">
        <v>2</v>
      </c>
      <c r="H391" s="2011"/>
      <c r="I391" s="2027"/>
    </row>
    <row r="392" spans="2:9" ht="18" hidden="1" customHeight="1" outlineLevel="1" x14ac:dyDescent="0.25">
      <c r="B392" s="2160" t="s">
        <v>3551</v>
      </c>
      <c r="C392" s="2211" t="s">
        <v>3552</v>
      </c>
      <c r="D392" s="2211" t="s">
        <v>3553</v>
      </c>
      <c r="E392" s="2211">
        <f>(MAX((S_Ca)-S_umo__MSatMin,0)/((K_Ca_BIO)+(S_Ca)))</f>
        <v>0.99999933333377777</v>
      </c>
      <c r="F392" s="2211" t="s">
        <v>283</v>
      </c>
      <c r="G392" s="2211">
        <v>2</v>
      </c>
      <c r="H392" s="2023"/>
      <c r="I392" s="2036"/>
    </row>
    <row r="393" spans="2:9" ht="18" hidden="1" customHeight="1" outlineLevel="1" x14ac:dyDescent="0.25">
      <c r="B393" s="2160" t="s">
        <v>3554</v>
      </c>
      <c r="C393" s="2211" t="s">
        <v>3555</v>
      </c>
      <c r="D393" s="2211" t="s">
        <v>3556</v>
      </c>
      <c r="E393" s="2211">
        <f>(MAX((S_Mg)-S_umo__MSatMin,0)/((K_Mg_BIO)+(S_Mg)))</f>
        <v>0.99999333337777752</v>
      </c>
      <c r="F393" s="2211" t="s">
        <v>283</v>
      </c>
      <c r="G393" s="2211">
        <v>2</v>
      </c>
      <c r="H393" s="2023"/>
      <c r="I393" s="2036"/>
    </row>
    <row r="394" spans="2:9" ht="18" hidden="1" customHeight="1" outlineLevel="1" x14ac:dyDescent="0.25">
      <c r="B394" s="2183" t="s">
        <v>1799</v>
      </c>
      <c r="C394" s="2210" t="s">
        <v>2692</v>
      </c>
      <c r="D394" s="2223" t="s">
        <v>1800</v>
      </c>
      <c r="E394" s="2223">
        <f>(MAX((S_CO2)-S_umo__MSatMin,0)/((K_CO2_BIO)+(S_CO2)))</f>
        <v>0.98404255319148937</v>
      </c>
      <c r="F394" s="2223" t="s">
        <v>283</v>
      </c>
      <c r="G394" s="2223">
        <v>2</v>
      </c>
      <c r="H394" s="2011"/>
      <c r="I394" s="2027"/>
    </row>
    <row r="395" spans="2:9" ht="18" hidden="1" customHeight="1" outlineLevel="1" x14ac:dyDescent="0.25">
      <c r="B395" s="2183" t="s">
        <v>1779</v>
      </c>
      <c r="C395" s="2210" t="s">
        <v>2693</v>
      </c>
      <c r="D395" s="2223" t="s">
        <v>1780</v>
      </c>
      <c r="E395" s="2223">
        <f>(MAX((S_NHx)-S_umo__MSatMin,0)/((K_NHx_BIO)+(S_NHx)))</f>
        <v>0.99502487562189068</v>
      </c>
      <c r="F395" s="2223" t="s">
        <v>283</v>
      </c>
      <c r="G395" s="2223">
        <v>2</v>
      </c>
      <c r="H395" s="2011"/>
      <c r="I395" s="2027"/>
    </row>
    <row r="396" spans="2:9" ht="18" hidden="1" customHeight="1" outlineLevel="1" x14ac:dyDescent="0.25">
      <c r="B396" s="2183" t="s">
        <v>1781</v>
      </c>
      <c r="C396" s="2210" t="s">
        <v>2694</v>
      </c>
      <c r="D396" s="2223" t="s">
        <v>1782</v>
      </c>
      <c r="E396" s="2223">
        <f>(MAX((S_PO4)-S_umo__MSatMin,0)/((K_PO4_BIO)+(S_PO4)))</f>
        <v>0.99601593625498008</v>
      </c>
      <c r="F396" s="2223" t="s">
        <v>283</v>
      </c>
      <c r="G396" s="2223">
        <v>2</v>
      </c>
      <c r="H396" s="2011"/>
      <c r="I396" s="2027"/>
    </row>
    <row r="397" spans="2:9" ht="18" hidden="1" customHeight="1" outlineLevel="1" x14ac:dyDescent="0.25">
      <c r="B397" s="992" t="s">
        <v>2298</v>
      </c>
      <c r="C397" s="982" t="s">
        <v>2836</v>
      </c>
      <c r="D397" s="983" t="s">
        <v>2299</v>
      </c>
      <c r="E397" s="985">
        <f>((K_NO2_OHO)/((K_NO2_OHO)+(S_NO2)))</f>
        <v>0.66666666666666663</v>
      </c>
      <c r="F397" s="983" t="s">
        <v>283</v>
      </c>
      <c r="G397" s="983">
        <v>2</v>
      </c>
      <c r="H397" s="580"/>
      <c r="I397" s="812"/>
    </row>
    <row r="398" spans="2:9" ht="18" hidden="1" customHeight="1" outlineLevel="1" x14ac:dyDescent="0.25">
      <c r="B398" s="992" t="s">
        <v>2300</v>
      </c>
      <c r="C398" s="982" t="s">
        <v>2837</v>
      </c>
      <c r="D398" s="983" t="s">
        <v>2301</v>
      </c>
      <c r="E398" s="985">
        <f>((K_NO3_OHO)/((K_NO3_OHO)+(S_NO3)))</f>
        <v>3.8461538461538464E-2</v>
      </c>
      <c r="F398" s="983" t="s">
        <v>283</v>
      </c>
      <c r="G398" s="983">
        <v>2</v>
      </c>
      <c r="H398" s="580"/>
      <c r="I398" s="812"/>
    </row>
    <row r="399" spans="2:9" ht="18" hidden="1" customHeight="1" outlineLevel="1" x14ac:dyDescent="0.25">
      <c r="B399" s="1037" t="s">
        <v>1806</v>
      </c>
      <c r="C399" s="982" t="s">
        <v>2695</v>
      </c>
      <c r="D399" s="982" t="s">
        <v>1931</v>
      </c>
      <c r="E399" s="982">
        <f>((K_O2_OHO)/((K_O2_OHO)+(S_O2)))</f>
        <v>6.9767441860465115E-2</v>
      </c>
      <c r="F399" s="982" t="s">
        <v>283</v>
      </c>
      <c r="G399" s="982">
        <v>2</v>
      </c>
      <c r="H399" s="327"/>
      <c r="I399" s="1038"/>
    </row>
    <row r="400" spans="2:9" ht="18" hidden="1" customHeight="1" outlineLevel="1" x14ac:dyDescent="0.25">
      <c r="B400" s="992" t="s">
        <v>3794</v>
      </c>
      <c r="C400" s="982" t="s">
        <v>3798</v>
      </c>
      <c r="D400" s="983" t="s">
        <v>3802</v>
      </c>
      <c r="E400" s="983">
        <f>((K_O2_OHO_NO3)/((K_O2_OHO_NO3)+(S_O2)))</f>
        <v>6.9767441860465115E-2</v>
      </c>
      <c r="F400" s="983" t="s">
        <v>283</v>
      </c>
      <c r="G400" s="983">
        <v>2</v>
      </c>
      <c r="H400" s="580"/>
      <c r="I400" s="812"/>
    </row>
    <row r="401" spans="1:9" ht="18" hidden="1" customHeight="1" outlineLevel="1" x14ac:dyDescent="0.25">
      <c r="B401" s="992" t="s">
        <v>3795</v>
      </c>
      <c r="C401" s="982" t="s">
        <v>3799</v>
      </c>
      <c r="D401" s="983" t="s">
        <v>3803</v>
      </c>
      <c r="E401" s="983">
        <f>((K_O2_OHO_NO2)/((K_O2_OHO_NO2)+(S_O2)))</f>
        <v>6.9767441860465115E-2</v>
      </c>
      <c r="F401" s="983" t="s">
        <v>283</v>
      </c>
      <c r="G401" s="983">
        <v>2</v>
      </c>
      <c r="H401" s="580"/>
      <c r="I401" s="812"/>
    </row>
    <row r="402" spans="1:9" ht="18" hidden="1" customHeight="1" outlineLevel="1" x14ac:dyDescent="0.25">
      <c r="B402" s="992" t="s">
        <v>3796</v>
      </c>
      <c r="C402" s="982" t="s">
        <v>3800</v>
      </c>
      <c r="D402" s="983" t="s">
        <v>3804</v>
      </c>
      <c r="E402" s="983">
        <f>((K_O2_OHO_NO)/((K_O2_OHO_NO)+(S_O2)))</f>
        <v>6.9767441860465115E-2</v>
      </c>
      <c r="F402" s="983" t="s">
        <v>283</v>
      </c>
      <c r="G402" s="983">
        <v>2</v>
      </c>
      <c r="H402" s="580"/>
      <c r="I402" s="812"/>
    </row>
    <row r="403" spans="1:9" ht="18" hidden="1" customHeight="1" outlineLevel="1" x14ac:dyDescent="0.25">
      <c r="B403" s="992" t="s">
        <v>3797</v>
      </c>
      <c r="C403" s="982" t="s">
        <v>3801</v>
      </c>
      <c r="D403" s="983" t="s">
        <v>3805</v>
      </c>
      <c r="E403" s="983">
        <f>((K_O2_OHO_N2O)/((K_O2_OHO_N2O)+(S_O2)))</f>
        <v>6.9767441860465115E-2</v>
      </c>
      <c r="F403" s="983" t="s">
        <v>283</v>
      </c>
      <c r="G403" s="983">
        <v>2</v>
      </c>
      <c r="H403" s="580"/>
      <c r="I403" s="812"/>
    </row>
    <row r="404" spans="1:9" ht="18" hidden="1" customHeight="1" outlineLevel="1" x14ac:dyDescent="0.25">
      <c r="B404" s="1039" t="s">
        <v>1804</v>
      </c>
      <c r="C404" s="1040" t="s">
        <v>2696</v>
      </c>
      <c r="D404" s="989" t="s">
        <v>1805</v>
      </c>
      <c r="E404" s="989">
        <f>((K_VFA)/((K_VFA)+(S_VFA)))</f>
        <v>0.98039215686274506</v>
      </c>
      <c r="F404" s="989" t="s">
        <v>283</v>
      </c>
      <c r="G404" s="989">
        <v>2</v>
      </c>
      <c r="H404" s="1741"/>
      <c r="I404" s="1041"/>
    </row>
    <row r="405" spans="1:9" ht="18" hidden="1" customHeight="1" outlineLevel="1" x14ac:dyDescent="0.25">
      <c r="B405" s="992" t="s">
        <v>3789</v>
      </c>
      <c r="C405" s="982" t="s">
        <v>3790</v>
      </c>
      <c r="D405" s="983" t="s">
        <v>4761</v>
      </c>
      <c r="E405" s="985">
        <f>((K_iNO_OHO_NO2)/((K_iNO_OHO_NO2)+(S_NO_OHO)))</f>
        <v>0.96153846153846145</v>
      </c>
      <c r="F405" s="983" t="s">
        <v>283</v>
      </c>
      <c r="G405" s="983">
        <v>2</v>
      </c>
      <c r="H405" s="580"/>
      <c r="I405" s="812"/>
    </row>
    <row r="406" spans="1:9" ht="18" hidden="1" customHeight="1" outlineLevel="1" x14ac:dyDescent="0.25">
      <c r="B406" s="992" t="s">
        <v>3791</v>
      </c>
      <c r="C406" s="982" t="s">
        <v>3792</v>
      </c>
      <c r="D406" s="983" t="s">
        <v>4762</v>
      </c>
      <c r="E406" s="985">
        <f>((K_iNO_OHO_N2O)/((K_iNO_OHO_N2O)+(S_NO_OHO)))</f>
        <v>0.78947368421052633</v>
      </c>
      <c r="F406" s="983" t="s">
        <v>283</v>
      </c>
      <c r="G406" s="983">
        <v>2</v>
      </c>
      <c r="H406" s="580"/>
      <c r="I406" s="812"/>
    </row>
    <row r="407" spans="1:9" ht="18" hidden="1" customHeight="1" outlineLevel="1" x14ac:dyDescent="0.25">
      <c r="B407" s="992" t="s">
        <v>1787</v>
      </c>
      <c r="C407" s="982" t="s">
        <v>2697</v>
      </c>
      <c r="D407" s="983" t="s">
        <v>1788</v>
      </c>
      <c r="E407" s="983">
        <f>(MAX((S_B)-S_umo__MSatMin,0)/((K_SB)+(S_B)))</f>
        <v>0.16666666666666666</v>
      </c>
      <c r="F407" s="983" t="s">
        <v>283</v>
      </c>
      <c r="G407" s="983">
        <v>2</v>
      </c>
      <c r="H407" s="580"/>
      <c r="I407" s="812"/>
    </row>
    <row r="408" spans="1:9" ht="18" hidden="1" customHeight="1" outlineLevel="1" x14ac:dyDescent="0.25">
      <c r="B408" s="992" t="s">
        <v>3773</v>
      </c>
      <c r="C408" s="982" t="s">
        <v>3774</v>
      </c>
      <c r="D408" s="983" t="s">
        <v>3775</v>
      </c>
      <c r="E408" s="983">
        <f>(MAX((S_B)-S_umo__MSatMin,0)/((K_SB_NO3)+(S_B)))</f>
        <v>0.16666666666666666</v>
      </c>
      <c r="F408" s="983" t="s">
        <v>283</v>
      </c>
      <c r="G408" s="983">
        <v>2</v>
      </c>
      <c r="H408" s="580"/>
      <c r="I408" s="812"/>
    </row>
    <row r="409" spans="1:9" ht="18" hidden="1" customHeight="1" outlineLevel="1" x14ac:dyDescent="0.25">
      <c r="B409" s="992" t="s">
        <v>3776</v>
      </c>
      <c r="C409" s="982" t="s">
        <v>3777</v>
      </c>
      <c r="D409" s="983" t="s">
        <v>3778</v>
      </c>
      <c r="E409" s="983">
        <f>(MAX((S_B)-S_umo__MSatMin,0)/((K_SB_NO2)+(S_B)))</f>
        <v>0.16666666666666666</v>
      </c>
      <c r="F409" s="983" t="s">
        <v>283</v>
      </c>
      <c r="G409" s="983">
        <v>2</v>
      </c>
      <c r="H409" s="580"/>
      <c r="I409" s="812"/>
    </row>
    <row r="410" spans="1:9" ht="18" hidden="1" customHeight="1" outlineLevel="1" x14ac:dyDescent="0.25">
      <c r="B410" s="992" t="s">
        <v>3779</v>
      </c>
      <c r="C410" s="982" t="s">
        <v>3780</v>
      </c>
      <c r="D410" s="983" t="s">
        <v>3781</v>
      </c>
      <c r="E410" s="983">
        <f>(MAX((S_B)-S_umo__MSatMin,0)/((K_SB_NO)+(S_B)))</f>
        <v>0.16666666666666666</v>
      </c>
      <c r="F410" s="983" t="s">
        <v>283</v>
      </c>
      <c r="G410" s="983">
        <v>2</v>
      </c>
      <c r="H410" s="580"/>
      <c r="I410" s="812"/>
    </row>
    <row r="411" spans="1:9" ht="18" hidden="1" customHeight="1" outlineLevel="1" x14ac:dyDescent="0.25">
      <c r="B411" s="992" t="s">
        <v>3782</v>
      </c>
      <c r="C411" s="982" t="s">
        <v>3783</v>
      </c>
      <c r="D411" s="983" t="s">
        <v>3784</v>
      </c>
      <c r="E411" s="983">
        <f>(MAX((S_B)-S_umo__MSatMin,0)/((K_SB_N2O)+(S_B)))</f>
        <v>0.16666666666666666</v>
      </c>
      <c r="F411" s="983" t="s">
        <v>283</v>
      </c>
      <c r="G411" s="983">
        <v>2</v>
      </c>
      <c r="H411" s="580"/>
      <c r="I411" s="812"/>
    </row>
    <row r="412" spans="1:9" ht="18" hidden="1" customHeight="1" outlineLevel="1" x14ac:dyDescent="0.25">
      <c r="B412" s="992" t="s">
        <v>1846</v>
      </c>
      <c r="C412" s="982" t="s">
        <v>2698</v>
      </c>
      <c r="D412" s="983" t="s">
        <v>1845</v>
      </c>
      <c r="E412" s="983">
        <f>(MAX((S_B)-S_umo__MSatMin,0)/((K_SB_ana)+(S_B)))</f>
        <v>0.16666666666666666</v>
      </c>
      <c r="F412" s="983" t="s">
        <v>283</v>
      </c>
      <c r="G412" s="983">
        <v>2</v>
      </c>
      <c r="H412" s="580"/>
      <c r="I412" s="812"/>
    </row>
    <row r="413" spans="1:9" ht="18" hidden="1" customHeight="1" outlineLevel="1" x14ac:dyDescent="0.25">
      <c r="B413" s="992" t="s">
        <v>1775</v>
      </c>
      <c r="C413" s="982" t="s">
        <v>2699</v>
      </c>
      <c r="D413" s="983" t="s">
        <v>1776</v>
      </c>
      <c r="E413" s="983">
        <f>(MAX((S_MEOL)-S_umo__MSatMin,0)/((K_MEOL_OHO)+(S_MEOL)))</f>
        <v>0</v>
      </c>
      <c r="F413" s="983" t="s">
        <v>283</v>
      </c>
      <c r="G413" s="983">
        <v>2</v>
      </c>
      <c r="H413" s="580"/>
      <c r="I413" s="812"/>
    </row>
    <row r="414" spans="1:9" s="720" customFormat="1" ht="18" hidden="1" customHeight="1" outlineLevel="1" x14ac:dyDescent="0.25">
      <c r="A414" s="103"/>
      <c r="B414" s="1238" t="s">
        <v>2396</v>
      </c>
      <c r="C414" s="982" t="s">
        <v>2705</v>
      </c>
      <c r="D414" s="1042" t="s">
        <v>2397</v>
      </c>
      <c r="E414" s="1042">
        <f>(MAX((S_NO3)-S_umo__MSatMin,0)/((K_NO3_OHO)+(S_NO3)))</f>
        <v>0.96153846153846145</v>
      </c>
      <c r="F414" s="1042" t="s">
        <v>283</v>
      </c>
      <c r="G414" s="1042">
        <v>2</v>
      </c>
      <c r="H414" s="1742"/>
      <c r="I414" s="1239"/>
    </row>
    <row r="415" spans="1:9" s="1192" customFormat="1" ht="18" hidden="1" customHeight="1" outlineLevel="1" x14ac:dyDescent="0.25">
      <c r="A415" s="103"/>
      <c r="B415" s="1238" t="s">
        <v>2394</v>
      </c>
      <c r="C415" s="982" t="s">
        <v>2706</v>
      </c>
      <c r="D415" s="1042" t="s">
        <v>2395</v>
      </c>
      <c r="E415" s="1042">
        <f>(MAX((S_NO2)-S_umo__MSatMin,0)/((K_NO2_OHO)+(S_NO2)))</f>
        <v>0.33333333333333331</v>
      </c>
      <c r="F415" s="1042" t="s">
        <v>283</v>
      </c>
      <c r="G415" s="1042">
        <v>2</v>
      </c>
      <c r="H415" s="1742"/>
      <c r="I415" s="1239"/>
    </row>
    <row r="416" spans="1:9" s="1192" customFormat="1" ht="18" hidden="1" customHeight="1" outlineLevel="1" x14ac:dyDescent="0.25">
      <c r="A416" s="103"/>
      <c r="B416" s="1238" t="s">
        <v>3787</v>
      </c>
      <c r="C416" s="982" t="s">
        <v>3788</v>
      </c>
      <c r="D416" s="1042" t="s">
        <v>4760</v>
      </c>
      <c r="E416" s="1042">
        <f>((S_NO_OHO)/((K_NO_OHO)+(S_NO_OHO)+((S_NO_OHO)^2/(K_iNO_OHO_NO_AS))))</f>
        <v>0.28037383177570091</v>
      </c>
      <c r="F416" s="1042" t="s">
        <v>283</v>
      </c>
      <c r="G416" s="1042">
        <v>2</v>
      </c>
      <c r="H416" s="1742"/>
      <c r="I416" s="1239"/>
    </row>
    <row r="417" spans="1:9" s="1192" customFormat="1" ht="18" hidden="1" customHeight="1" outlineLevel="1" x14ac:dyDescent="0.25">
      <c r="A417" s="103"/>
      <c r="B417" s="1238" t="s">
        <v>3850</v>
      </c>
      <c r="C417" s="982" t="s">
        <v>3785</v>
      </c>
      <c r="D417" s="1042" t="s">
        <v>3786</v>
      </c>
      <c r="E417" s="1042">
        <f>(MAX((S_N2O)-S_umo__MSatMin,0)/((K_N2O_OHO)+(S_N2O)))</f>
        <v>0.16666666666666666</v>
      </c>
      <c r="F417" s="1042" t="s">
        <v>283</v>
      </c>
      <c r="G417" s="1042">
        <v>2</v>
      </c>
      <c r="H417" s="1742"/>
      <c r="I417" s="1239"/>
    </row>
    <row r="418" spans="1:9" ht="18" hidden="1" customHeight="1" outlineLevel="1" x14ac:dyDescent="0.25">
      <c r="B418" s="992" t="s">
        <v>1773</v>
      </c>
      <c r="C418" s="982" t="s">
        <v>2700</v>
      </c>
      <c r="D418" s="983" t="s">
        <v>1774</v>
      </c>
      <c r="E418" s="983">
        <f>(MAX((S_O2)-S_umo__MSatMin,0)/((K_O2_OHO)+(S_O2)))</f>
        <v>0.93023255813953487</v>
      </c>
      <c r="F418" s="983" t="s">
        <v>283</v>
      </c>
      <c r="G418" s="983">
        <v>2</v>
      </c>
      <c r="H418" s="580"/>
      <c r="I418" s="812"/>
    </row>
    <row r="419" spans="1:9" ht="18" hidden="1" customHeight="1" outlineLevel="1" x14ac:dyDescent="0.25">
      <c r="B419" s="992" t="s">
        <v>892</v>
      </c>
      <c r="C419" s="982" t="s">
        <v>2701</v>
      </c>
      <c r="D419" s="983" t="s">
        <v>893</v>
      </c>
      <c r="E419" s="983">
        <f>(MAX((S_VFA)-S_umo__MSatMin,0)/((K_VFA)+(S_VFA)))</f>
        <v>1.9607843137254902E-2</v>
      </c>
      <c r="F419" s="983" t="s">
        <v>283</v>
      </c>
      <c r="G419" s="983">
        <v>2</v>
      </c>
      <c r="H419" s="580"/>
      <c r="I419" s="812"/>
    </row>
    <row r="420" spans="1:9" ht="18" hidden="1" customHeight="1" outlineLevel="1" x14ac:dyDescent="0.25">
      <c r="B420" s="992" t="s">
        <v>3834</v>
      </c>
      <c r="C420" s="982" t="s">
        <v>3838</v>
      </c>
      <c r="D420" s="983" t="s">
        <v>3842</v>
      </c>
      <c r="E420" s="983">
        <f>(MAX((S_VFA)-S_umo__MSatMin,0)/((K_VFA_NO3)+(S_VFA)))</f>
        <v>1.9607843137254902E-2</v>
      </c>
      <c r="F420" s="983" t="s">
        <v>283</v>
      </c>
      <c r="G420" s="983">
        <v>2</v>
      </c>
      <c r="H420" s="580"/>
      <c r="I420" s="812"/>
    </row>
    <row r="421" spans="1:9" ht="18" hidden="1" customHeight="1" outlineLevel="1" x14ac:dyDescent="0.25">
      <c r="B421" s="992" t="s">
        <v>3835</v>
      </c>
      <c r="C421" s="982" t="s">
        <v>3839</v>
      </c>
      <c r="D421" s="983" t="s">
        <v>3843</v>
      </c>
      <c r="E421" s="983">
        <f>(MAX((S_VFA)-S_umo__MSatMin,0)/((K_VFA_NO2)+(S_VFA)))</f>
        <v>1.9607843137254902E-2</v>
      </c>
      <c r="F421" s="983" t="s">
        <v>283</v>
      </c>
      <c r="G421" s="983">
        <v>2</v>
      </c>
      <c r="H421" s="580"/>
      <c r="I421" s="812"/>
    </row>
    <row r="422" spans="1:9" ht="18" hidden="1" customHeight="1" outlineLevel="1" x14ac:dyDescent="0.25">
      <c r="B422" s="992" t="s">
        <v>3836</v>
      </c>
      <c r="C422" s="982" t="s">
        <v>3840</v>
      </c>
      <c r="D422" s="983" t="s">
        <v>3844</v>
      </c>
      <c r="E422" s="983">
        <f>(MAX((S_VFA)-S_umo__MSatMin,0)/((K_VFA_NO)+(S_VFA)))</f>
        <v>1.9607843137254902E-2</v>
      </c>
      <c r="F422" s="983" t="s">
        <v>283</v>
      </c>
      <c r="G422" s="983">
        <v>2</v>
      </c>
      <c r="H422" s="580"/>
      <c r="I422" s="812"/>
    </row>
    <row r="423" spans="1:9" ht="18" hidden="1" customHeight="1" outlineLevel="1" x14ac:dyDescent="0.25">
      <c r="B423" s="992" t="s">
        <v>3837</v>
      </c>
      <c r="C423" s="982" t="s">
        <v>3841</v>
      </c>
      <c r="D423" s="983" t="s">
        <v>3845</v>
      </c>
      <c r="E423" s="983">
        <f>(MAX((S_VFA)-S_umo__MSatMin,0)/((K_VFA_N2O)+(S_VFA)))</f>
        <v>1.9607843137254902E-2</v>
      </c>
      <c r="F423" s="983" t="s">
        <v>283</v>
      </c>
      <c r="G423" s="983">
        <v>2</v>
      </c>
      <c r="H423" s="580"/>
      <c r="I423" s="812"/>
    </row>
    <row r="424" spans="1:9" ht="18" hidden="1" customHeight="1" outlineLevel="1" x14ac:dyDescent="0.25">
      <c r="B424" s="992" t="s">
        <v>2158</v>
      </c>
      <c r="C424" s="982" t="s">
        <v>2157</v>
      </c>
      <c r="D424" s="1347" t="s">
        <v>4717</v>
      </c>
      <c r="E424" s="1347">
        <f>((S_VFA)/((S_VFA)+(K_VFA_FERM)*EXP(((K_VFA_FERM)-(S_VFA))*(L_ogslopeVFA_FERM))))</f>
        <v>4.4767737282903354E-217</v>
      </c>
      <c r="F424" s="983" t="s">
        <v>283</v>
      </c>
      <c r="G424" s="983">
        <v>2</v>
      </c>
      <c r="H424" s="580"/>
      <c r="I424" s="812"/>
    </row>
    <row r="425" spans="1:9" ht="18" hidden="1" customHeight="1" outlineLevel="1" x14ac:dyDescent="0.25">
      <c r="B425" s="992" t="s">
        <v>2159</v>
      </c>
      <c r="C425" s="982" t="s">
        <v>4923</v>
      </c>
      <c r="D425" s="1347" t="s">
        <v>4718</v>
      </c>
      <c r="E425" s="1347">
        <f>(1-(S_VFA)/((S_VFA)+(K_VFA_FERM)*EXP(((K_VFA_FERM)-(S_VFA))*(L_ogslopeVFA_FERM))))</f>
        <v>1</v>
      </c>
      <c r="F425" s="983" t="s">
        <v>283</v>
      </c>
      <c r="G425" s="983">
        <v>2</v>
      </c>
      <c r="H425" s="580"/>
      <c r="I425" s="812"/>
    </row>
    <row r="426" spans="1:9" ht="18" hidden="1" customHeight="1" outlineLevel="1" x14ac:dyDescent="0.25">
      <c r="B426" s="1043" t="s">
        <v>3446</v>
      </c>
      <c r="C426" s="1044" t="s">
        <v>2702</v>
      </c>
      <c r="D426" s="1045" t="s">
        <v>3447</v>
      </c>
      <c r="E426" s="1045">
        <f>((K_iO2_MEOLO)/((K_iO2_MEOLO)+(S_O2)))</f>
        <v>2.4390243902439029E-2</v>
      </c>
      <c r="F426" s="1045" t="s">
        <v>283</v>
      </c>
      <c r="G426" s="1045">
        <v>2</v>
      </c>
      <c r="H426" s="933"/>
      <c r="I426" s="1046"/>
    </row>
    <row r="427" spans="1:9" s="1192" customFormat="1" ht="18" hidden="1" customHeight="1" outlineLevel="1" x14ac:dyDescent="0.25">
      <c r="A427" s="103"/>
      <c r="B427" s="1047" t="s">
        <v>2302</v>
      </c>
      <c r="C427" s="1044" t="s">
        <v>2707</v>
      </c>
      <c r="D427" s="1045" t="s">
        <v>2303</v>
      </c>
      <c r="E427" s="1048">
        <f>((K_NO2_MEOLO)/((K_NO2_MEOLO)+(S_NO2)))</f>
        <v>0.16666666666666666</v>
      </c>
      <c r="F427" s="1045" t="s">
        <v>283</v>
      </c>
      <c r="G427" s="1045">
        <v>2</v>
      </c>
      <c r="H427" s="933"/>
      <c r="I427" s="1049"/>
    </row>
    <row r="428" spans="1:9" s="1192" customFormat="1" ht="18" hidden="1" customHeight="1" outlineLevel="1" x14ac:dyDescent="0.25">
      <c r="A428" s="103"/>
      <c r="B428" s="1047" t="s">
        <v>2304</v>
      </c>
      <c r="C428" s="1044" t="s">
        <v>2708</v>
      </c>
      <c r="D428" s="1045" t="s">
        <v>2305</v>
      </c>
      <c r="E428" s="1048">
        <f>((K_NO3_MEOLO)/((K_NO3_MEOLO)+(S_NO3)))</f>
        <v>9.9009900990099011E-3</v>
      </c>
      <c r="F428" s="1045" t="s">
        <v>283</v>
      </c>
      <c r="G428" s="1045">
        <v>2</v>
      </c>
      <c r="H428" s="933"/>
      <c r="I428" s="1049"/>
    </row>
    <row r="429" spans="1:9" s="1192" customFormat="1" ht="18" hidden="1" customHeight="1" outlineLevel="1" x14ac:dyDescent="0.25">
      <c r="A429" s="103"/>
      <c r="B429" s="1047" t="s">
        <v>1777</v>
      </c>
      <c r="C429" s="1044" t="s">
        <v>2703</v>
      </c>
      <c r="D429" s="1045" t="s">
        <v>1778</v>
      </c>
      <c r="E429" s="1048">
        <f>(MAX((S_MEOL)-S_umo__MSatMin,0)/((K_MEOL)+(S_MEOL)))</f>
        <v>0</v>
      </c>
      <c r="F429" s="1045" t="s">
        <v>283</v>
      </c>
      <c r="G429" s="1045">
        <v>2</v>
      </c>
      <c r="H429" s="933"/>
      <c r="I429" s="1049"/>
    </row>
    <row r="430" spans="1:9" s="1192" customFormat="1" ht="18" hidden="1" customHeight="1" outlineLevel="1" x14ac:dyDescent="0.25">
      <c r="A430" s="103"/>
      <c r="B430" s="1240" t="s">
        <v>2306</v>
      </c>
      <c r="C430" s="1044" t="s">
        <v>2709</v>
      </c>
      <c r="D430" s="1050" t="s">
        <v>2307</v>
      </c>
      <c r="E430" s="1051">
        <f>(MAX((S_NO2)-S_umo__MSatMin,0)/((K_NO2_MEOLO)+(S_NO2)))</f>
        <v>0.83333333333333326</v>
      </c>
      <c r="F430" s="933" t="s">
        <v>283</v>
      </c>
      <c r="G430" s="933">
        <v>2</v>
      </c>
      <c r="H430" s="1743"/>
      <c r="I430" s="1241"/>
    </row>
    <row r="431" spans="1:9" s="1192" customFormat="1" ht="18" hidden="1" customHeight="1" outlineLevel="1" x14ac:dyDescent="0.25">
      <c r="A431" s="103"/>
      <c r="B431" s="1240" t="s">
        <v>2308</v>
      </c>
      <c r="C431" s="1044" t="s">
        <v>2710</v>
      </c>
      <c r="D431" s="1050" t="s">
        <v>2309</v>
      </c>
      <c r="E431" s="1051">
        <f>(MAX((S_NO3)-S_umo__MSatMin,0)/((K_NO3_MEOLO)+(S_NO3)))</f>
        <v>0.99009900990099009</v>
      </c>
      <c r="F431" s="933" t="s">
        <v>283</v>
      </c>
      <c r="G431" s="933">
        <v>2</v>
      </c>
      <c r="H431" s="1743"/>
      <c r="I431" s="1241"/>
    </row>
    <row r="432" spans="1:9" ht="18" hidden="1" customHeight="1" outlineLevel="1" x14ac:dyDescent="0.25">
      <c r="B432" s="1043" t="s">
        <v>3448</v>
      </c>
      <c r="C432" s="1044" t="s">
        <v>2704</v>
      </c>
      <c r="D432" s="1045" t="s">
        <v>3449</v>
      </c>
      <c r="E432" s="1045">
        <f>(MAX((S_O2)-S_umo__MSatMin,0)/((K_iO2_MEOLO)+(S_O2)))</f>
        <v>0.97560975609756106</v>
      </c>
      <c r="F432" s="1045" t="s">
        <v>283</v>
      </c>
      <c r="G432" s="1045">
        <v>2</v>
      </c>
      <c r="H432" s="933"/>
      <c r="I432" s="1046"/>
    </row>
    <row r="433" spans="1:9" s="1192" customFormat="1" ht="18" hidden="1" customHeight="1" outlineLevel="1" x14ac:dyDescent="0.25">
      <c r="A433" s="103"/>
      <c r="B433" s="1052" t="s">
        <v>4526</v>
      </c>
      <c r="C433" s="1053" t="s">
        <v>2711</v>
      </c>
      <c r="D433" s="964" t="s">
        <v>4527</v>
      </c>
      <c r="E433" s="1054">
        <f>((K_NOx_AOB)/((K_NOx_AOB)+(S_NOx)))</f>
        <v>5.8479532163742687E-3</v>
      </c>
      <c r="F433" s="964" t="s">
        <v>283</v>
      </c>
      <c r="G433" s="964">
        <v>2</v>
      </c>
      <c r="H433" s="1734"/>
      <c r="I433" s="1242"/>
    </row>
    <row r="434" spans="1:9" s="720" customFormat="1" ht="18" hidden="1" customHeight="1" outlineLevel="1" x14ac:dyDescent="0.25">
      <c r="A434" s="103"/>
      <c r="B434" s="1243" t="s">
        <v>2310</v>
      </c>
      <c r="C434" s="931" t="s">
        <v>2712</v>
      </c>
      <c r="D434" s="958" t="s">
        <v>2311</v>
      </c>
      <c r="E434" s="1055">
        <f>((K_O2_AOB)/((K_O2_AOB)+(S_O2)))</f>
        <v>0.2</v>
      </c>
      <c r="F434" s="521" t="s">
        <v>283</v>
      </c>
      <c r="G434" s="521">
        <v>2</v>
      </c>
      <c r="H434" s="931"/>
      <c r="I434" s="1244"/>
    </row>
    <row r="435" spans="1:9" s="1192" customFormat="1" ht="18" hidden="1" customHeight="1" outlineLevel="1" x14ac:dyDescent="0.25">
      <c r="A435" s="103"/>
      <c r="B435" s="1243" t="s">
        <v>2314</v>
      </c>
      <c r="C435" s="931" t="s">
        <v>2715</v>
      </c>
      <c r="D435" s="958" t="s">
        <v>2315</v>
      </c>
      <c r="E435" s="1055">
        <f>(MAX((S_O2)-S_umo__MSatMin,0)/((K_O2_AOB)+(S_O2)))</f>
        <v>0.8</v>
      </c>
      <c r="F435" s="958" t="s">
        <v>283</v>
      </c>
      <c r="G435" s="958">
        <v>2</v>
      </c>
      <c r="H435" s="931"/>
      <c r="I435" s="1244"/>
    </row>
    <row r="436" spans="1:9" s="720" customFormat="1" ht="18" hidden="1" customHeight="1" outlineLevel="1" x14ac:dyDescent="0.25">
      <c r="A436" s="103"/>
      <c r="B436" s="1052" t="s">
        <v>3912</v>
      </c>
      <c r="C436" s="1053" t="s">
        <v>2712</v>
      </c>
      <c r="D436" s="964" t="s">
        <v>3913</v>
      </c>
      <c r="E436" s="1054">
        <f>((K_iO2_AOB)/((K_iO2_AOB)+(S_O2)))</f>
        <v>0.28571428571428575</v>
      </c>
      <c r="F436" s="364" t="s">
        <v>283</v>
      </c>
      <c r="G436" s="364">
        <v>2</v>
      </c>
      <c r="H436" s="1734"/>
      <c r="I436" s="1242"/>
    </row>
    <row r="437" spans="1:9" s="720" customFormat="1" ht="18" hidden="1" customHeight="1" outlineLevel="1" x14ac:dyDescent="0.25">
      <c r="A437" s="103"/>
      <c r="B437" s="1052" t="s">
        <v>2312</v>
      </c>
      <c r="C437" s="1053" t="s">
        <v>2713</v>
      </c>
      <c r="D437" s="964" t="s">
        <v>2313</v>
      </c>
      <c r="E437" s="1054">
        <f>(MAX((S_NHx)-S_umo__MSatMin,0)/((K_NHx_AOB)+(S_NHx)))</f>
        <v>0.99009900990099009</v>
      </c>
      <c r="F437" s="964" t="s">
        <v>283</v>
      </c>
      <c r="G437" s="964">
        <v>2</v>
      </c>
      <c r="H437" s="1734"/>
      <c r="I437" s="1242"/>
    </row>
    <row r="438" spans="1:9" s="720" customFormat="1" ht="18" hidden="1" customHeight="1" outlineLevel="1" x14ac:dyDescent="0.25">
      <c r="A438" s="103"/>
      <c r="B438" s="1052" t="s">
        <v>3947</v>
      </c>
      <c r="C438" s="1053" t="s">
        <v>3948</v>
      </c>
      <c r="D438" s="964" t="s">
        <v>3949</v>
      </c>
      <c r="E438" s="1054">
        <f>(MAX((S_NHx)-S_umo__MSatMin,0)/((K_NHx_NH2OH_AOB)+(S_NHx)))</f>
        <v>0.58823529411764708</v>
      </c>
      <c r="F438" s="964" t="s">
        <v>283</v>
      </c>
      <c r="G438" s="964">
        <v>2</v>
      </c>
      <c r="H438" s="1734"/>
      <c r="I438" s="1242"/>
    </row>
    <row r="439" spans="1:9" s="720" customFormat="1" ht="18" hidden="1" customHeight="1" outlineLevel="1" x14ac:dyDescent="0.25">
      <c r="A439" s="103"/>
      <c r="B439" s="1052" t="s">
        <v>3914</v>
      </c>
      <c r="C439" s="1053" t="s">
        <v>3915</v>
      </c>
      <c r="D439" s="964" t="s">
        <v>3916</v>
      </c>
      <c r="E439" s="1054">
        <f>(MAX((S_NH2OH)-S_umo__MSatMin,0)/((K_NH2OH_AOB)+(S_NH2OH)))</f>
        <v>1.0989010989010988E-2</v>
      </c>
      <c r="F439" s="964" t="s">
        <v>283</v>
      </c>
      <c r="G439" s="964">
        <v>2</v>
      </c>
      <c r="H439" s="1734"/>
      <c r="I439" s="1242"/>
    </row>
    <row r="440" spans="1:9" s="720" customFormat="1" ht="18" hidden="1" customHeight="1" outlineLevel="1" x14ac:dyDescent="0.25">
      <c r="A440" s="103"/>
      <c r="B440" s="1052" t="s">
        <v>4536</v>
      </c>
      <c r="C440" s="1053" t="s">
        <v>2714</v>
      </c>
      <c r="D440" s="964" t="s">
        <v>4537</v>
      </c>
      <c r="E440" s="1054">
        <f>(MAX((S_NOx)-S_umo__MSatMin,0)/((K_NOx_AOB)+(S_NOx)))</f>
        <v>0.99415204678362568</v>
      </c>
      <c r="F440" s="364" t="s">
        <v>283</v>
      </c>
      <c r="G440" s="364">
        <v>2</v>
      </c>
      <c r="H440" s="1734"/>
      <c r="I440" s="1242"/>
    </row>
    <row r="441" spans="1:9" s="1192" customFormat="1" ht="18" hidden="1" customHeight="1" outlineLevel="1" x14ac:dyDescent="0.25">
      <c r="A441" s="103"/>
      <c r="B441" s="1052" t="s">
        <v>3896</v>
      </c>
      <c r="C441" s="1053" t="s">
        <v>3897</v>
      </c>
      <c r="D441" s="964" t="s">
        <v>3898</v>
      </c>
      <c r="E441" s="1054">
        <f>(MAX((S_O2)-S_umo__MSatMin,0)/((K_O2_NHx_AOB)+(S_O2)))</f>
        <v>0.8</v>
      </c>
      <c r="F441" s="964" t="s">
        <v>283</v>
      </c>
      <c r="G441" s="964">
        <v>2</v>
      </c>
      <c r="H441" s="1734"/>
      <c r="I441" s="1242"/>
    </row>
    <row r="442" spans="1:9" s="1192" customFormat="1" ht="18" hidden="1" customHeight="1" outlineLevel="1" x14ac:dyDescent="0.25">
      <c r="A442" s="103"/>
      <c r="B442" s="1052" t="s">
        <v>3899</v>
      </c>
      <c r="C442" s="1053" t="s">
        <v>3900</v>
      </c>
      <c r="D442" s="964" t="s">
        <v>3901</v>
      </c>
      <c r="E442" s="1054">
        <f>(MAX((S_O2)-S_umo__MSatMin,0)/((K_O2_NH2OH_AOB)+(S_O2)))</f>
        <v>0.93023255813953487</v>
      </c>
      <c r="F442" s="964" t="s">
        <v>283</v>
      </c>
      <c r="G442" s="964">
        <v>2</v>
      </c>
      <c r="H442" s="1734"/>
      <c r="I442" s="1242"/>
    </row>
    <row r="443" spans="1:9" s="929" customFormat="1" ht="18" hidden="1" customHeight="1" outlineLevel="1" x14ac:dyDescent="0.25">
      <c r="A443" s="103"/>
      <c r="B443" s="1034" t="s">
        <v>3946</v>
      </c>
      <c r="C443" s="791" t="s">
        <v>4920</v>
      </c>
      <c r="D443" s="1035" t="s">
        <v>3932</v>
      </c>
      <c r="E443" s="1036">
        <f>(MAX((S_HNO2)-S_umo__MSatMin,0)/((K_HNO2_AOB)+(S_HNO2)))</f>
        <v>3.0024396495117994E-3</v>
      </c>
      <c r="F443" s="1035" t="s">
        <v>283</v>
      </c>
      <c r="G443" s="1035">
        <v>2</v>
      </c>
      <c r="H443" s="1744"/>
      <c r="I443" s="1245"/>
    </row>
    <row r="444" spans="1:9" s="929" customFormat="1" ht="18" hidden="1" customHeight="1" outlineLevel="1" x14ac:dyDescent="0.25">
      <c r="A444" s="103"/>
      <c r="B444" s="1034" t="s">
        <v>3910</v>
      </c>
      <c r="C444" s="519" t="s">
        <v>4921</v>
      </c>
      <c r="D444" s="1035" t="s">
        <v>4763</v>
      </c>
      <c r="E444" s="1036">
        <f>(MAX((S_NO_AOB)-S_umo__MSatMin,0)/((K_NO_NO2_AOB)+(S_NO_AOB)))</f>
        <v>0.970873786407767</v>
      </c>
      <c r="F444" s="1035" t="s">
        <v>283</v>
      </c>
      <c r="G444" s="1035">
        <v>2</v>
      </c>
      <c r="H444" s="1744"/>
      <c r="I444" s="1245"/>
    </row>
    <row r="445" spans="1:9" s="929" customFormat="1" ht="18" hidden="1" customHeight="1" outlineLevel="1" x14ac:dyDescent="0.25">
      <c r="A445" s="103"/>
      <c r="B445" s="1034" t="s">
        <v>3911</v>
      </c>
      <c r="C445" s="519" t="s">
        <v>4922</v>
      </c>
      <c r="D445" s="1035" t="s">
        <v>4764</v>
      </c>
      <c r="E445" s="1036">
        <f>(MAX((S_NO_AOB)-S_umo__MSatMin,0)/((K_NO_N2O_AOB)+(S_NO_AOB)))</f>
        <v>0.55555555555555547</v>
      </c>
      <c r="F445" s="1035" t="s">
        <v>283</v>
      </c>
      <c r="G445" s="1035">
        <v>2</v>
      </c>
      <c r="H445" s="1744"/>
      <c r="I445" s="1245"/>
    </row>
    <row r="446" spans="1:9" s="1192" customFormat="1" ht="18" hidden="1" customHeight="1" outlineLevel="1" x14ac:dyDescent="0.25">
      <c r="A446" s="103"/>
      <c r="B446" s="1056" t="s">
        <v>4530</v>
      </c>
      <c r="C446" s="1057" t="s">
        <v>2716</v>
      </c>
      <c r="D446" s="1058" t="s">
        <v>4528</v>
      </c>
      <c r="E446" s="1059">
        <f>((K_NOx_NOB)/((K_NOx_NOB)+(S_NOx)))</f>
        <v>5.8479532163742687E-3</v>
      </c>
      <c r="F446" s="1058" t="s">
        <v>283</v>
      </c>
      <c r="G446" s="1058">
        <v>2</v>
      </c>
      <c r="H446" s="1745"/>
      <c r="I446" s="1246"/>
    </row>
    <row r="447" spans="1:9" s="720" customFormat="1" ht="18" hidden="1" customHeight="1" outlineLevel="1" x14ac:dyDescent="0.25">
      <c r="A447" s="103"/>
      <c r="B447" s="1056" t="s">
        <v>2316</v>
      </c>
      <c r="C447" s="1057" t="s">
        <v>2717</v>
      </c>
      <c r="D447" s="1058" t="s">
        <v>2317</v>
      </c>
      <c r="E447" s="1059">
        <f>((K_O2_NOB)/((K_O2_NOB)+(S_O2)))</f>
        <v>0.2</v>
      </c>
      <c r="F447" s="1058" t="s">
        <v>283</v>
      </c>
      <c r="G447" s="1058">
        <v>2</v>
      </c>
      <c r="H447" s="1745"/>
      <c r="I447" s="1246"/>
    </row>
    <row r="448" spans="1:9" s="1192" customFormat="1" ht="18" hidden="1" customHeight="1" outlineLevel="1" x14ac:dyDescent="0.25">
      <c r="A448" s="103"/>
      <c r="B448" s="1056" t="s">
        <v>2318</v>
      </c>
      <c r="C448" s="1057" t="s">
        <v>2718</v>
      </c>
      <c r="D448" s="1058" t="s">
        <v>2319</v>
      </c>
      <c r="E448" s="1059">
        <f>(MAX((S_NO2)-S_umo__MSatMin,0)/((K_NO2_NOB)+(S_NO2)))</f>
        <v>0.5</v>
      </c>
      <c r="F448" s="1058" t="s">
        <v>283</v>
      </c>
      <c r="G448" s="1058">
        <v>2</v>
      </c>
      <c r="H448" s="1745"/>
      <c r="I448" s="1246"/>
    </row>
    <row r="449" spans="1:9" s="1192" customFormat="1" ht="18" hidden="1" customHeight="1" outlineLevel="1" x14ac:dyDescent="0.25">
      <c r="A449" s="103"/>
      <c r="B449" s="1056" t="s">
        <v>4531</v>
      </c>
      <c r="C449" s="1057" t="s">
        <v>2719</v>
      </c>
      <c r="D449" s="1058" t="s">
        <v>4529</v>
      </c>
      <c r="E449" s="1059">
        <f>(MAX((S_NOx)-S_umo__MSatMin,0)/((K_NOx_NOB)+(S_NOx)))</f>
        <v>0.99415204678362568</v>
      </c>
      <c r="F449" s="1060" t="s">
        <v>283</v>
      </c>
      <c r="G449" s="1060">
        <v>2</v>
      </c>
      <c r="H449" s="1745"/>
      <c r="I449" s="1246"/>
    </row>
    <row r="450" spans="1:9" s="720" customFormat="1" ht="18" hidden="1" customHeight="1" outlineLevel="1" x14ac:dyDescent="0.25">
      <c r="A450" s="103"/>
      <c r="B450" s="1056" t="s">
        <v>2320</v>
      </c>
      <c r="C450" s="1057" t="s">
        <v>2720</v>
      </c>
      <c r="D450" s="1058" t="s">
        <v>2321</v>
      </c>
      <c r="E450" s="1059">
        <f>(MAX((S_O2)-S_umo__MSatMin,0)/((K_O2_NOB)+(S_O2)))</f>
        <v>0.8</v>
      </c>
      <c r="F450" s="1060" t="s">
        <v>283</v>
      </c>
      <c r="G450" s="1060">
        <v>2</v>
      </c>
      <c r="H450" s="1745"/>
      <c r="I450" s="1246"/>
    </row>
    <row r="451" spans="1:9" s="720" customFormat="1" ht="18" hidden="1" customHeight="1" outlineLevel="1" x14ac:dyDescent="0.25">
      <c r="A451" s="103"/>
      <c r="B451" s="1056" t="s">
        <v>5101</v>
      </c>
      <c r="C451" s="1057" t="s">
        <v>5102</v>
      </c>
      <c r="D451" s="1058" t="s">
        <v>5107</v>
      </c>
      <c r="E451" s="1059">
        <f>((K_iNH2OH_NOB)/((K_iNH2OH_NOB)+(S_NH2OH)))</f>
        <v>0.99900099900099903</v>
      </c>
      <c r="F451" s="1058" t="s">
        <v>283</v>
      </c>
      <c r="G451" s="1058">
        <v>2</v>
      </c>
      <c r="H451" s="1745"/>
      <c r="I451" s="1246"/>
    </row>
    <row r="452" spans="1:9" s="1192" customFormat="1" ht="18" hidden="1" customHeight="1" outlineLevel="1" x14ac:dyDescent="0.25">
      <c r="A452" s="103"/>
      <c r="B452" s="2452" t="s">
        <v>5522</v>
      </c>
      <c r="C452" s="2453" t="s">
        <v>5523</v>
      </c>
      <c r="D452" s="2454" t="s">
        <v>5524</v>
      </c>
      <c r="E452" s="2455">
        <f>(MAX((S_O2)-S_umo__MSatMin,0)/((K_O2_aBIO)+(S_O2)))</f>
        <v>0.88888888888888884</v>
      </c>
      <c r="F452" s="2454" t="s">
        <v>283</v>
      </c>
      <c r="G452" s="2454">
        <v>2</v>
      </c>
      <c r="H452" s="2453"/>
      <c r="I452" s="2456"/>
    </row>
    <row r="453" spans="1:9" s="1192" customFormat="1" ht="18" hidden="1" customHeight="1" outlineLevel="1" x14ac:dyDescent="0.25">
      <c r="A453" s="103"/>
      <c r="B453" s="2452" t="s">
        <v>5560</v>
      </c>
      <c r="C453" s="2453" t="s">
        <v>5561</v>
      </c>
      <c r="D453" s="2454" t="s">
        <v>5562</v>
      </c>
      <c r="E453" s="2455">
        <f>((K_O2_aBIO)/((K_O2_aBIO)+(S_O2)))</f>
        <v>0.1111111111111111</v>
      </c>
      <c r="F453" s="2454" t="s">
        <v>283</v>
      </c>
      <c r="G453" s="2454">
        <v>2</v>
      </c>
      <c r="H453" s="2453"/>
      <c r="I453" s="2456"/>
    </row>
    <row r="454" spans="1:9" s="1192" customFormat="1" ht="18" hidden="1" customHeight="1" outlineLevel="1" x14ac:dyDescent="0.25">
      <c r="A454" s="103"/>
      <c r="B454" s="2452" t="s">
        <v>5568</v>
      </c>
      <c r="C454" s="2453" t="s">
        <v>5564</v>
      </c>
      <c r="D454" s="2454" t="s">
        <v>5565</v>
      </c>
      <c r="E454" s="2455">
        <f>((K_NOx_aBIO)/((K_NOx_aBIO)+(S_NOx)))</f>
        <v>1.9569471624266148E-3</v>
      </c>
      <c r="F454" s="2454" t="s">
        <v>283</v>
      </c>
      <c r="G454" s="2454">
        <v>2</v>
      </c>
      <c r="H454" s="2453"/>
      <c r="I454" s="2456"/>
    </row>
    <row r="455" spans="1:9" s="1192" customFormat="1" ht="18" hidden="1" customHeight="1" outlineLevel="1" x14ac:dyDescent="0.25">
      <c r="A455" s="103"/>
      <c r="B455" s="1061" t="s">
        <v>4535</v>
      </c>
      <c r="C455" s="1062" t="s">
        <v>2721</v>
      </c>
      <c r="D455" s="1063" t="s">
        <v>4534</v>
      </c>
      <c r="E455" s="1064">
        <f>((K_NOx_AMX)/((K_NOx_AMX)+(S_NOx)))</f>
        <v>1.9230769230769235E-2</v>
      </c>
      <c r="F455" s="943" t="s">
        <v>283</v>
      </c>
      <c r="G455" s="943">
        <v>2</v>
      </c>
      <c r="H455" s="1746"/>
      <c r="I455" s="1247"/>
    </row>
    <row r="456" spans="1:9" s="720" customFormat="1" ht="18" hidden="1" customHeight="1" outlineLevel="1" x14ac:dyDescent="0.25">
      <c r="A456" s="103"/>
      <c r="B456" s="1061" t="s">
        <v>3468</v>
      </c>
      <c r="C456" s="1062" t="s">
        <v>2722</v>
      </c>
      <c r="D456" s="1063" t="s">
        <v>3469</v>
      </c>
      <c r="E456" s="1064">
        <f>((K_iO2_AMX)/((K_iO2_AMX)+(S_O2)))</f>
        <v>0.16666666666666669</v>
      </c>
      <c r="F456" s="943" t="s">
        <v>283</v>
      </c>
      <c r="G456" s="943">
        <v>2</v>
      </c>
      <c r="H456" s="1746"/>
      <c r="I456" s="1247"/>
    </row>
    <row r="457" spans="1:9" s="720" customFormat="1" ht="18" hidden="1" customHeight="1" outlineLevel="1" x14ac:dyDescent="0.25">
      <c r="A457" s="103"/>
      <c r="B457" s="1061" t="s">
        <v>2322</v>
      </c>
      <c r="C457" s="1062" t="s">
        <v>2723</v>
      </c>
      <c r="D457" s="1063" t="s">
        <v>2323</v>
      </c>
      <c r="E457" s="1064">
        <f>(MAX((S_NHx)-S_umo__MSatMin,0)/((K_NHx_AMX)+(S_NHx)))</f>
        <v>0.33333333333333331</v>
      </c>
      <c r="F457" s="943" t="s">
        <v>283</v>
      </c>
      <c r="G457" s="943">
        <v>2</v>
      </c>
      <c r="H457" s="1746"/>
      <c r="I457" s="1247"/>
    </row>
    <row r="458" spans="1:9" s="1192" customFormat="1" ht="18" hidden="1" customHeight="1" outlineLevel="1" x14ac:dyDescent="0.25">
      <c r="A458" s="103"/>
      <c r="B458" s="1061" t="s">
        <v>2324</v>
      </c>
      <c r="C458" s="1062" t="s">
        <v>2724</v>
      </c>
      <c r="D458" s="1063" t="s">
        <v>2325</v>
      </c>
      <c r="E458" s="1064">
        <f>(MAX((S_NO2)-S_umo__MSatMin,0)/((K_NO2_AMX)+(S_NO2)))</f>
        <v>9.0909090909090912E-2</v>
      </c>
      <c r="F458" s="1063" t="s">
        <v>283</v>
      </c>
      <c r="G458" s="1063">
        <v>2</v>
      </c>
      <c r="H458" s="1746"/>
      <c r="I458" s="1247"/>
    </row>
    <row r="459" spans="1:9" s="720" customFormat="1" ht="18" hidden="1" customHeight="1" outlineLevel="1" x14ac:dyDescent="0.25">
      <c r="A459" s="103"/>
      <c r="B459" s="1061" t="s">
        <v>4532</v>
      </c>
      <c r="C459" s="1062" t="s">
        <v>2725</v>
      </c>
      <c r="D459" s="1063" t="s">
        <v>4533</v>
      </c>
      <c r="E459" s="1064">
        <f>(MAX((S_NOx)-S_umo__MSatMin,0)/((K_NOx_AMX)+(S_NOx)))</f>
        <v>0.98076923076923084</v>
      </c>
      <c r="F459" s="1063" t="s">
        <v>283</v>
      </c>
      <c r="G459" s="1063">
        <v>2</v>
      </c>
      <c r="H459" s="1746"/>
      <c r="I459" s="1247"/>
    </row>
    <row r="460" spans="1:9" s="1192" customFormat="1" ht="18" hidden="1" customHeight="1" outlineLevel="1" x14ac:dyDescent="0.25">
      <c r="A460" s="103"/>
      <c r="B460" s="1061" t="s">
        <v>3470</v>
      </c>
      <c r="C460" s="1062" t="s">
        <v>2726</v>
      </c>
      <c r="D460" s="1063" t="s">
        <v>3471</v>
      </c>
      <c r="E460" s="1064">
        <f>(MAX((S_O2)-S_umo__MSatMin,0)/((K_iO2_AMX)+(S_O2)))</f>
        <v>0.83333333333333337</v>
      </c>
      <c r="F460" s="943" t="s">
        <v>283</v>
      </c>
      <c r="G460" s="943">
        <v>2</v>
      </c>
      <c r="H460" s="1746"/>
      <c r="I460" s="1247"/>
    </row>
    <row r="461" spans="1:9" ht="18" hidden="1" customHeight="1" outlineLevel="1" x14ac:dyDescent="0.25">
      <c r="B461" s="1014" t="s">
        <v>4338</v>
      </c>
      <c r="C461" s="1012" t="s">
        <v>4339</v>
      </c>
      <c r="D461" s="1012" t="s">
        <v>4340</v>
      </c>
      <c r="E461" s="437">
        <f>((K_NO2_CASTO)/((K_NO2_CASTO)+(S_NO2)))</f>
        <v>0.33333333333333331</v>
      </c>
      <c r="F461" s="1012" t="s">
        <v>283</v>
      </c>
      <c r="G461" s="1012">
        <v>2</v>
      </c>
      <c r="H461" s="432"/>
      <c r="I461" s="827"/>
    </row>
    <row r="462" spans="1:9" ht="18" hidden="1" customHeight="1" outlineLevel="1" x14ac:dyDescent="0.25">
      <c r="B462" s="1014" t="s">
        <v>4341</v>
      </c>
      <c r="C462" s="1012" t="s">
        <v>4342</v>
      </c>
      <c r="D462" s="1012" t="s">
        <v>4343</v>
      </c>
      <c r="E462" s="437">
        <f>((K_NO3_CASTO)/((K_NO3_CASTO)+(S_NO3)))</f>
        <v>1.9607843137254905E-2</v>
      </c>
      <c r="F462" s="1012" t="s">
        <v>283</v>
      </c>
      <c r="G462" s="1012">
        <v>2</v>
      </c>
      <c r="H462" s="432"/>
      <c r="I462" s="827"/>
    </row>
    <row r="463" spans="1:9" ht="18" hidden="1" customHeight="1" outlineLevel="1" x14ac:dyDescent="0.25">
      <c r="B463" s="1014" t="s">
        <v>4344</v>
      </c>
      <c r="C463" s="1012" t="s">
        <v>4345</v>
      </c>
      <c r="D463" s="1012" t="s">
        <v>4346</v>
      </c>
      <c r="E463" s="1012">
        <f>((K_O2_CASTO)/((K_O2_CASTO)+(S_O2)))</f>
        <v>2.4390243902439029E-2</v>
      </c>
      <c r="F463" s="1012" t="s">
        <v>283</v>
      </c>
      <c r="G463" s="1012">
        <v>2</v>
      </c>
      <c r="H463" s="432"/>
      <c r="I463" s="827"/>
    </row>
    <row r="464" spans="1:9" ht="18" hidden="1" customHeight="1" outlineLevel="1" x14ac:dyDescent="0.25">
      <c r="B464" s="1014" t="s">
        <v>2727</v>
      </c>
      <c r="C464" s="1012" t="s">
        <v>2728</v>
      </c>
      <c r="D464" s="1012" t="s">
        <v>2729</v>
      </c>
      <c r="E464" s="1012">
        <f>((K_iPO4_lim)/((K_iPO4_lim)+(S_PO4)))</f>
        <v>9.9009900990099011E-3</v>
      </c>
      <c r="F464" s="1012" t="s">
        <v>283</v>
      </c>
      <c r="G464" s="1012">
        <v>2</v>
      </c>
      <c r="H464" s="432"/>
      <c r="I464" s="827"/>
    </row>
    <row r="465" spans="1:9" ht="18" hidden="1" customHeight="1" outlineLevel="1" x14ac:dyDescent="0.25">
      <c r="B465" s="1014" t="s">
        <v>4347</v>
      </c>
      <c r="C465" s="2448" t="s">
        <v>5473</v>
      </c>
      <c r="D465" s="1012" t="s">
        <v>4348</v>
      </c>
      <c r="E465" s="1012">
        <f>(((X_STC)/(X_CASTO))/((X_STC)/(X_CASTO)+(K_STC)))</f>
        <v>0.31506849315068486</v>
      </c>
      <c r="F465" s="1012" t="s">
        <v>283</v>
      </c>
      <c r="G465" s="1012">
        <v>2</v>
      </c>
      <c r="H465" s="432"/>
      <c r="I465" s="827"/>
    </row>
    <row r="466" spans="1:9" ht="18" hidden="1" customHeight="1" outlineLevel="1" x14ac:dyDescent="0.25">
      <c r="B466" s="1014" t="s">
        <v>1803</v>
      </c>
      <c r="C466" s="1012" t="s">
        <v>4912</v>
      </c>
      <c r="D466" s="1012" t="s">
        <v>5479</v>
      </c>
      <c r="E466" s="1012">
        <f>(((X_PHA_PAO)/(X_PAO))/((X_PHA_PAO)/(X_PAO)+(K_PHA)))</f>
        <v>0.8214285714285714</v>
      </c>
      <c r="F466" s="1012" t="s">
        <v>283</v>
      </c>
      <c r="G466" s="1012">
        <v>2</v>
      </c>
      <c r="H466" s="432"/>
      <c r="I466" s="827"/>
    </row>
    <row r="467" spans="1:9" ht="18" hidden="1" customHeight="1" outlineLevel="1" x14ac:dyDescent="0.25">
      <c r="B467" s="1014" t="s">
        <v>4349</v>
      </c>
      <c r="C467" s="1012" t="s">
        <v>4913</v>
      </c>
      <c r="D467" s="1012" t="s">
        <v>5480</v>
      </c>
      <c r="E467" s="1012">
        <f>(((K_PHA_cle))/((X_PHA_PAO)/(X_PAO)+(K_PHA_cle)))</f>
        <v>0.68493150684931503</v>
      </c>
      <c r="F467" s="1012" t="s">
        <v>283</v>
      </c>
      <c r="G467" s="1012">
        <v>2</v>
      </c>
      <c r="H467" s="432"/>
      <c r="I467" s="827"/>
    </row>
    <row r="468" spans="1:9" ht="18" hidden="1" customHeight="1" outlineLevel="1" x14ac:dyDescent="0.25">
      <c r="B468" s="1014" t="s">
        <v>4350</v>
      </c>
      <c r="C468" s="2448" t="s">
        <v>5474</v>
      </c>
      <c r="D468" s="1012" t="s">
        <v>4351</v>
      </c>
      <c r="E468" s="1012">
        <f>(((K_STC))/((X_STC)/(X_CASTO)+(K_STC)))</f>
        <v>0.68493150684931503</v>
      </c>
      <c r="F468" s="1012" t="s">
        <v>283</v>
      </c>
      <c r="G468" s="1012">
        <v>2</v>
      </c>
      <c r="H468" s="432"/>
      <c r="I468" s="827"/>
    </row>
    <row r="469" spans="1:9" ht="18" hidden="1" customHeight="1" outlineLevel="1" x14ac:dyDescent="0.25">
      <c r="B469" s="1014" t="s">
        <v>2180</v>
      </c>
      <c r="C469" s="1012" t="s">
        <v>4914</v>
      </c>
      <c r="D469" s="1012" t="s">
        <v>2181</v>
      </c>
      <c r="E469" s="1012">
        <f>(((K_PP))/((X_PP)/(X_PAO)+(K_PP)))</f>
        <v>6.7567567567567571E-2</v>
      </c>
      <c r="F469" s="1012" t="s">
        <v>283</v>
      </c>
      <c r="G469" s="1012">
        <v>2</v>
      </c>
      <c r="H469" s="432"/>
      <c r="I469" s="827"/>
    </row>
    <row r="470" spans="1:9" ht="18" hidden="1" customHeight="1" outlineLevel="1" x14ac:dyDescent="0.25">
      <c r="B470" s="1014" t="s">
        <v>2110</v>
      </c>
      <c r="C470" s="1012" t="s">
        <v>4915</v>
      </c>
      <c r="D470" s="1012" t="s">
        <v>2104</v>
      </c>
      <c r="E470" s="1012">
        <f>(((X_PP)/(X_PAO))/((X_PP)/(X_PAO)+(K_PP)))</f>
        <v>0.93243243243243235</v>
      </c>
      <c r="F470" s="1012" t="s">
        <v>283</v>
      </c>
      <c r="G470" s="1012">
        <v>2</v>
      </c>
      <c r="H470" s="432"/>
      <c r="I470" s="827"/>
    </row>
    <row r="471" spans="1:9" ht="18" hidden="1" customHeight="1" outlineLevel="1" x14ac:dyDescent="0.25">
      <c r="B471" s="1014" t="s">
        <v>1791</v>
      </c>
      <c r="C471" s="1012" t="s">
        <v>2730</v>
      </c>
      <c r="D471" s="1012" t="s">
        <v>1792</v>
      </c>
      <c r="E471" s="1012">
        <f>(MAX((S_Ca)-S_umo__MSatMin,0)/((K_Ca_PAO)+(S_Ca)))</f>
        <v>0.9999933333777774</v>
      </c>
      <c r="F471" s="1012" t="s">
        <v>283</v>
      </c>
      <c r="G471" s="1012">
        <v>2</v>
      </c>
      <c r="H471" s="432"/>
      <c r="I471" s="827"/>
    </row>
    <row r="472" spans="1:9" ht="18" hidden="1" customHeight="1" outlineLevel="1" x14ac:dyDescent="0.25">
      <c r="B472" s="1014" t="s">
        <v>1795</v>
      </c>
      <c r="C472" s="1012" t="s">
        <v>2731</v>
      </c>
      <c r="D472" s="1012" t="s">
        <v>1796</v>
      </c>
      <c r="E472" s="1012">
        <f>(MAX((S_K)-S_umo__MSatMin,0)/((K_K_PAO)+(S_K)))</f>
        <v>0.9999333377774815</v>
      </c>
      <c r="F472" s="1012" t="s">
        <v>283</v>
      </c>
      <c r="G472" s="1012">
        <v>2</v>
      </c>
      <c r="H472" s="432"/>
      <c r="I472" s="827"/>
    </row>
    <row r="473" spans="1:9" ht="18" hidden="1" customHeight="1" outlineLevel="1" x14ac:dyDescent="0.25">
      <c r="B473" s="1014" t="s">
        <v>1793</v>
      </c>
      <c r="C473" s="1012" t="s">
        <v>2732</v>
      </c>
      <c r="D473" s="1012" t="s">
        <v>1794</v>
      </c>
      <c r="E473" s="1012">
        <f>(MAX((S_Mg)-S_umo__MSatMin,0)/((K_Mg_PAO)+(S_Mg)))</f>
        <v>0.9999333377774815</v>
      </c>
      <c r="F473" s="1012" t="s">
        <v>283</v>
      </c>
      <c r="G473" s="1012">
        <v>2</v>
      </c>
      <c r="H473" s="432"/>
      <c r="I473" s="827"/>
    </row>
    <row r="474" spans="1:9" s="1192" customFormat="1" ht="18" hidden="1" customHeight="1" outlineLevel="1" x14ac:dyDescent="0.25">
      <c r="A474" s="103"/>
      <c r="B474" s="1065" t="s">
        <v>4352</v>
      </c>
      <c r="C474" s="1012" t="s">
        <v>4353</v>
      </c>
      <c r="D474" s="1066" t="s">
        <v>4354</v>
      </c>
      <c r="E474" s="1067">
        <f>(MAX((S_NO2)-S_umo__MSatMin,0)/((K_NO2_CASTO)+(S_NO2)))</f>
        <v>0.66666666666666663</v>
      </c>
      <c r="F474" s="1066" t="s">
        <v>283</v>
      </c>
      <c r="G474" s="1066">
        <v>2</v>
      </c>
      <c r="H474" s="1747"/>
      <c r="I474" s="1248"/>
    </row>
    <row r="475" spans="1:9" s="720" customFormat="1" ht="18" hidden="1" customHeight="1" outlineLevel="1" x14ac:dyDescent="0.25">
      <c r="A475" s="103"/>
      <c r="B475" s="1065" t="s">
        <v>4355</v>
      </c>
      <c r="C475" s="1012" t="s">
        <v>4356</v>
      </c>
      <c r="D475" s="1066" t="s">
        <v>4357</v>
      </c>
      <c r="E475" s="1067">
        <f>(MAX((S_NO3)-S_umo__MSatMin,0)/((K_NO3_CASTO)+(S_NO3)))</f>
        <v>0.98039215686274517</v>
      </c>
      <c r="F475" s="1066" t="s">
        <v>283</v>
      </c>
      <c r="G475" s="1066">
        <v>2</v>
      </c>
      <c r="H475" s="1747"/>
      <c r="I475" s="1248"/>
    </row>
    <row r="476" spans="1:9" ht="18" hidden="1" customHeight="1" outlineLevel="1" x14ac:dyDescent="0.25">
      <c r="B476" s="1014" t="s">
        <v>4358</v>
      </c>
      <c r="C476" s="1012" t="s">
        <v>4359</v>
      </c>
      <c r="D476" s="1012" t="s">
        <v>4360</v>
      </c>
      <c r="E476" s="1012">
        <f>(MAX((S_O2)-S_umo__MSatMin,0)/((K_O2_CASTO)+(S_O2)))</f>
        <v>0.97560975609756106</v>
      </c>
      <c r="F476" s="1012" t="s">
        <v>283</v>
      </c>
      <c r="G476" s="1012">
        <v>2</v>
      </c>
      <c r="H476" s="432"/>
      <c r="I476" s="827"/>
    </row>
    <row r="477" spans="1:9" ht="18" hidden="1" customHeight="1" outlineLevel="1" x14ac:dyDescent="0.25">
      <c r="B477" s="1014" t="s">
        <v>4361</v>
      </c>
      <c r="C477" s="1012" t="s">
        <v>4362</v>
      </c>
      <c r="D477" s="1368" t="s">
        <v>4719</v>
      </c>
      <c r="E477" s="1368">
        <f>((S_PO4)/((S_PO4)+(K_PO4_PAO)*EXP(((K_PO4_PAO)-(S_PO4))*(L_ogslopePO4_PAO_sat))))</f>
        <v>0.99999992584528696</v>
      </c>
      <c r="F477" s="1012" t="s">
        <v>283</v>
      </c>
      <c r="G477" s="1012">
        <v>2</v>
      </c>
      <c r="H477" s="432"/>
      <c r="I477" s="827"/>
    </row>
    <row r="478" spans="1:9" ht="18" hidden="1" customHeight="1" outlineLevel="1" x14ac:dyDescent="0.25">
      <c r="B478" s="1014" t="s">
        <v>1789</v>
      </c>
      <c r="C478" s="1012" t="s">
        <v>2733</v>
      </c>
      <c r="D478" s="1012" t="s">
        <v>1790</v>
      </c>
      <c r="E478" s="1012">
        <f>(MAX((S_PO4)-S_umo__MSatMin,0)/((K_PO4_PAO)+(S_PO4)))</f>
        <v>0.76923076923076916</v>
      </c>
      <c r="F478" s="1012" t="s">
        <v>283</v>
      </c>
      <c r="G478" s="1012">
        <v>2</v>
      </c>
      <c r="H478" s="432"/>
      <c r="I478" s="827"/>
    </row>
    <row r="479" spans="1:9" ht="18" hidden="1" customHeight="1" outlineLevel="1" x14ac:dyDescent="0.25">
      <c r="B479" s="1014" t="s">
        <v>4363</v>
      </c>
      <c r="C479" s="1012" t="s">
        <v>4364</v>
      </c>
      <c r="D479" s="1012" t="s">
        <v>4365</v>
      </c>
      <c r="E479" s="1012">
        <f>(MAX((S_VFA)-S_umo__MSatMin,0)/((K_VFA_CASTO)+(S_VFA)))</f>
        <v>1.9960079840319364E-3</v>
      </c>
      <c r="F479" s="1012" t="s">
        <v>283</v>
      </c>
      <c r="G479" s="1012">
        <v>2</v>
      </c>
      <c r="H479" s="432"/>
      <c r="I479" s="827"/>
    </row>
    <row r="480" spans="1:9" ht="18" hidden="1" customHeight="1" outlineLevel="1" x14ac:dyDescent="0.25">
      <c r="B480" s="1014" t="s">
        <v>4366</v>
      </c>
      <c r="C480" s="1012" t="s">
        <v>4367</v>
      </c>
      <c r="D480" s="1368" t="s">
        <v>4720</v>
      </c>
      <c r="E480" s="1368">
        <f>((X_PP)/((X_PP)+(K_PO4_PAO)*EXP(((K_PO4_PAO)-(X_PP))*(L_ogslopePP_PAO_sat))))</f>
        <v>1</v>
      </c>
      <c r="F480" s="1012" t="s">
        <v>283</v>
      </c>
      <c r="G480" s="1012">
        <v>2</v>
      </c>
      <c r="H480" s="432"/>
      <c r="I480" s="827"/>
    </row>
    <row r="481" spans="2:9" ht="18" hidden="1" customHeight="1" outlineLevel="1" x14ac:dyDescent="0.25">
      <c r="B481" s="1014" t="s">
        <v>2105</v>
      </c>
      <c r="C481" s="1012" t="s">
        <v>2734</v>
      </c>
      <c r="D481" s="1012" t="s">
        <v>2106</v>
      </c>
      <c r="E481" s="1012">
        <f>(MAX((X_PP)-S_umo__MSatMin,0)/((K_PP_lim)+(X_PP)))</f>
        <v>0.99996666777774068</v>
      </c>
      <c r="F481" s="1012" t="s">
        <v>283</v>
      </c>
      <c r="G481" s="1012">
        <v>2</v>
      </c>
      <c r="H481" s="432"/>
      <c r="I481" s="827"/>
    </row>
    <row r="482" spans="2:9" ht="18" hidden="1" customHeight="1" outlineLevel="1" x14ac:dyDescent="0.25">
      <c r="B482" s="1014" t="s">
        <v>2121</v>
      </c>
      <c r="C482" s="1012" t="s">
        <v>4368</v>
      </c>
      <c r="D482" s="2448" t="s">
        <v>5467</v>
      </c>
      <c r="E482" s="1369">
        <f>(1-(X_PHA_PAO/X_PAO)/((X_PHA_PAO/X_PAO)+(K_iPHA_PAO_max)*EXP(((K_iPHA_PAO_max)-(X_PHA_PAO/X_PAO))*(L_ogslopePHA_PAO_inh))))</f>
        <v>1</v>
      </c>
      <c r="F482" s="1012" t="s">
        <v>283</v>
      </c>
      <c r="G482" s="1012">
        <v>2</v>
      </c>
      <c r="H482" s="432"/>
      <c r="I482" s="827"/>
    </row>
    <row r="483" spans="2:9" ht="18" hidden="1" customHeight="1" outlineLevel="1" x14ac:dyDescent="0.25">
      <c r="B483" s="1014" t="s">
        <v>2122</v>
      </c>
      <c r="C483" s="1012" t="s">
        <v>4369</v>
      </c>
      <c r="D483" s="1368" t="s">
        <v>4721</v>
      </c>
      <c r="E483" s="1369">
        <f>(1-(X_PP/X_PAO)/((X_PP/X_PAO)+(K_iPP_PAO_max)*EXP(((K_iPP_PAO_max)-(X_PP/X_PAO))*(L_ogslopePP_PAO_inh))))</f>
        <v>0.99999999945571982</v>
      </c>
      <c r="F483" s="1012" t="s">
        <v>283</v>
      </c>
      <c r="G483" s="1012">
        <v>2</v>
      </c>
      <c r="H483" s="432"/>
      <c r="I483" s="827"/>
    </row>
    <row r="484" spans="2:9" ht="18" hidden="1" customHeight="1" outlineLevel="1" x14ac:dyDescent="0.25">
      <c r="B484" s="2433" t="s">
        <v>5458</v>
      </c>
      <c r="C484" s="2447" t="s">
        <v>5459</v>
      </c>
      <c r="D484" s="2447" t="s">
        <v>5460</v>
      </c>
      <c r="E484" s="1370">
        <f>(1-(X_PHA_GAO/X_GAO)/((X_PHA_GAO/X_GAO)+(K_iPHA_GAO_max)*EXP(((K_iPHA_GAO_max)-(X_PHA_GAO/X_GAO))*(L_ogslopePHA_GAO_inh))))</f>
        <v>1</v>
      </c>
      <c r="F484" s="1068" t="s">
        <v>283</v>
      </c>
      <c r="G484" s="1068">
        <v>2</v>
      </c>
      <c r="H484" s="426"/>
      <c r="I484" s="829"/>
    </row>
    <row r="485" spans="2:9" ht="18" hidden="1" customHeight="1" outlineLevel="1" x14ac:dyDescent="0.25">
      <c r="B485" s="2433" t="s">
        <v>5461</v>
      </c>
      <c r="C485" s="2447" t="s">
        <v>5462</v>
      </c>
      <c r="D485" s="2447" t="s">
        <v>5463</v>
      </c>
      <c r="E485" s="1068">
        <f>(((K_PHA_GAO))/((X_PHA_GAO)/(X_GAO)+(K_PHA_GAO)))</f>
        <v>0.52083333333333337</v>
      </c>
      <c r="F485" s="1068" t="s">
        <v>283</v>
      </c>
      <c r="G485" s="1068">
        <v>2</v>
      </c>
      <c r="H485" s="426"/>
      <c r="I485" s="829"/>
    </row>
    <row r="486" spans="2:9" ht="18" hidden="1" customHeight="1" outlineLevel="1" x14ac:dyDescent="0.25">
      <c r="B486" s="2433" t="s">
        <v>5464</v>
      </c>
      <c r="C486" s="2447" t="s">
        <v>5465</v>
      </c>
      <c r="D486" s="2447" t="s">
        <v>5466</v>
      </c>
      <c r="E486" s="1068">
        <f>(((X_PHA_GAO)/(X_GAO))/((X_PHA_GAO)/(X_GAO)+(K_PHA_GAO)))</f>
        <v>0.47916666666666663</v>
      </c>
      <c r="F486" s="1068" t="s">
        <v>283</v>
      </c>
      <c r="G486" s="1068">
        <v>2</v>
      </c>
      <c r="H486" s="426"/>
      <c r="I486" s="829"/>
    </row>
    <row r="487" spans="2:9" ht="18" hidden="1" customHeight="1" outlineLevel="1" x14ac:dyDescent="0.25">
      <c r="B487" s="1069" t="s">
        <v>1807</v>
      </c>
      <c r="C487" s="1029" t="s">
        <v>2735</v>
      </c>
      <c r="D487" s="1027" t="s">
        <v>4538</v>
      </c>
      <c r="E487" s="1027">
        <f>((K_NOx_AMETO)/((K_NOx_AMETO)+(S_NOx)))</f>
        <v>9.7087378640776708E-3</v>
      </c>
      <c r="F487" s="1027" t="s">
        <v>283</v>
      </c>
      <c r="G487" s="1027">
        <v>2</v>
      </c>
      <c r="H487" s="264"/>
      <c r="I487" s="893"/>
    </row>
    <row r="488" spans="2:9" ht="18" hidden="1" customHeight="1" outlineLevel="1" x14ac:dyDescent="0.25">
      <c r="B488" s="1069" t="s">
        <v>3450</v>
      </c>
      <c r="C488" s="1029" t="s">
        <v>2736</v>
      </c>
      <c r="D488" s="1027" t="s">
        <v>3451</v>
      </c>
      <c r="E488" s="1027">
        <f>((K_iO2_AMETO)/((K_iO2_AMETO)+(S_O2)))</f>
        <v>2.4390243902439029E-2</v>
      </c>
      <c r="F488" s="1027" t="s">
        <v>283</v>
      </c>
      <c r="G488" s="1027">
        <v>2</v>
      </c>
      <c r="H488" s="264"/>
      <c r="I488" s="893"/>
    </row>
    <row r="489" spans="2:9" ht="18" hidden="1" customHeight="1" outlineLevel="1" x14ac:dyDescent="0.25">
      <c r="B489" s="1069" t="s">
        <v>1797</v>
      </c>
      <c r="C489" s="1029" t="s">
        <v>2737</v>
      </c>
      <c r="D489" s="1070" t="s">
        <v>4539</v>
      </c>
      <c r="E489" s="1027">
        <f>(MAX((S_NOx)-S_umo__MSatMin,0)/((K_NOx_AMETO)+(S_NOx)))</f>
        <v>0.99029126213592233</v>
      </c>
      <c r="F489" s="1027" t="s">
        <v>283</v>
      </c>
      <c r="G489" s="1027">
        <v>2</v>
      </c>
      <c r="H489" s="264"/>
      <c r="I489" s="893"/>
    </row>
    <row r="490" spans="2:9" ht="18" hidden="1" customHeight="1" outlineLevel="1" x14ac:dyDescent="0.25">
      <c r="B490" s="1069" t="s">
        <v>3452</v>
      </c>
      <c r="C490" s="1029" t="s">
        <v>2738</v>
      </c>
      <c r="D490" s="1027" t="s">
        <v>3453</v>
      </c>
      <c r="E490" s="1027">
        <f>(MAX((S_O2)-S_umo__MSatMin,0)/((K_iO2_AMETO)+(S_O2)))</f>
        <v>0.97560975609756106</v>
      </c>
      <c r="F490" s="1027" t="s">
        <v>283</v>
      </c>
      <c r="G490" s="1027">
        <v>2</v>
      </c>
      <c r="H490" s="264"/>
      <c r="I490" s="893"/>
    </row>
    <row r="491" spans="2:9" ht="18" hidden="1" customHeight="1" outlineLevel="1" x14ac:dyDescent="0.25">
      <c r="B491" s="1069" t="s">
        <v>1972</v>
      </c>
      <c r="C491" s="1029" t="s">
        <v>2739</v>
      </c>
      <c r="D491" s="1029" t="s">
        <v>2745</v>
      </c>
      <c r="E491" s="1027">
        <f>((S_VFA)/((K_VFA_AMETO)+(S_VFA)+((S_VFA)^2/(K_iVFA_AMETO))))</f>
        <v>2.4999375015562114E-5</v>
      </c>
      <c r="F491" s="1027" t="s">
        <v>283</v>
      </c>
      <c r="G491" s="1027">
        <v>2</v>
      </c>
      <c r="H491" s="264"/>
      <c r="I491" s="893"/>
    </row>
    <row r="492" spans="2:9" ht="18" hidden="1" customHeight="1" outlineLevel="1" x14ac:dyDescent="0.25">
      <c r="B492" s="1071" t="s">
        <v>1808</v>
      </c>
      <c r="C492" s="1072" t="s">
        <v>2740</v>
      </c>
      <c r="D492" s="1073" t="s">
        <v>4540</v>
      </c>
      <c r="E492" s="1073">
        <f>((K_NOx_HMETO)/((K_NOx_HMETO)+(S_NOx)))</f>
        <v>9.7087378640776708E-3</v>
      </c>
      <c r="F492" s="1073" t="s">
        <v>283</v>
      </c>
      <c r="G492" s="1073">
        <v>2</v>
      </c>
      <c r="H492" s="1748"/>
      <c r="I492" s="1074"/>
    </row>
    <row r="493" spans="2:9" ht="18" hidden="1" customHeight="1" outlineLevel="1" x14ac:dyDescent="0.25">
      <c r="B493" s="1071" t="s">
        <v>3454</v>
      </c>
      <c r="C493" s="1072" t="s">
        <v>2741</v>
      </c>
      <c r="D493" s="1073" t="s">
        <v>3455</v>
      </c>
      <c r="E493" s="1073">
        <f>((K_iO2_HMETO)/((K_iO2_HMETO)+(S_O2)))</f>
        <v>2.4390243902439029E-2</v>
      </c>
      <c r="F493" s="1073" t="s">
        <v>283</v>
      </c>
      <c r="G493" s="1073">
        <v>2</v>
      </c>
      <c r="H493" s="1748"/>
      <c r="I493" s="1074"/>
    </row>
    <row r="494" spans="2:9" ht="18" hidden="1" customHeight="1" outlineLevel="1" x14ac:dyDescent="0.25">
      <c r="B494" s="1071" t="s">
        <v>1801</v>
      </c>
      <c r="C494" s="1072" t="s">
        <v>2742</v>
      </c>
      <c r="D494" s="1073" t="s">
        <v>1802</v>
      </c>
      <c r="E494" s="1073">
        <f>(MAX((S_H2)-S_umo__MSatMin,0)/((K_H2_HMETO)+(S_H2)))</f>
        <v>9.0909090909090912E-2</v>
      </c>
      <c r="F494" s="1073" t="s">
        <v>283</v>
      </c>
      <c r="G494" s="1073">
        <v>2</v>
      </c>
      <c r="H494" s="1748"/>
      <c r="I494" s="1074"/>
    </row>
    <row r="495" spans="2:9" ht="18" hidden="1" customHeight="1" outlineLevel="1" x14ac:dyDescent="0.25">
      <c r="B495" s="1071" t="s">
        <v>1798</v>
      </c>
      <c r="C495" s="1072" t="s">
        <v>2743</v>
      </c>
      <c r="D495" s="1075" t="s">
        <v>4541</v>
      </c>
      <c r="E495" s="1073">
        <f>(MAX((S_NOx)-S_umo__MSatMin,0)/((K_NOx_HMETO)+(S_NOx)))</f>
        <v>0.99029126213592233</v>
      </c>
      <c r="F495" s="1073" t="s">
        <v>283</v>
      </c>
      <c r="G495" s="1073">
        <v>2</v>
      </c>
      <c r="H495" s="1748"/>
      <c r="I495" s="1074"/>
    </row>
    <row r="496" spans="2:9" ht="18" hidden="1" customHeight="1" outlineLevel="1" x14ac:dyDescent="0.25">
      <c r="B496" s="1071" t="s">
        <v>3457</v>
      </c>
      <c r="C496" s="1072" t="s">
        <v>2744</v>
      </c>
      <c r="D496" s="1073" t="s">
        <v>3456</v>
      </c>
      <c r="E496" s="1073">
        <f>(MAX((S_O2)-S_umo__MSatMin,0)/((K_iO2_HMETO)+(S_O2)))</f>
        <v>0.97560975609756106</v>
      </c>
      <c r="F496" s="1073" t="s">
        <v>283</v>
      </c>
      <c r="G496" s="1073">
        <v>2</v>
      </c>
      <c r="H496" s="1748"/>
      <c r="I496" s="1074"/>
    </row>
    <row r="497" spans="2:9" s="112" customFormat="1" ht="18" hidden="1" outlineLevel="1" x14ac:dyDescent="0.25">
      <c r="B497" s="1658" t="s">
        <v>4988</v>
      </c>
      <c r="C497" s="1659" t="s">
        <v>4989</v>
      </c>
      <c r="D497" s="1659" t="s">
        <v>4990</v>
      </c>
      <c r="E497" s="1660">
        <f>(MAX((S_CO2)-S_umo__MSatMin,0)/((K_CO2_ALGAE)+(S_CO2)))</f>
        <v>0.88095238095238093</v>
      </c>
      <c r="F497" s="1660" t="s">
        <v>283</v>
      </c>
      <c r="G497" s="1660">
        <v>2</v>
      </c>
      <c r="H497" s="1661"/>
      <c r="I497" s="1662"/>
    </row>
    <row r="498" spans="2:9" s="112" customFormat="1" ht="18" hidden="1" outlineLevel="1" x14ac:dyDescent="0.25">
      <c r="B498" s="1658" t="s">
        <v>4991</v>
      </c>
      <c r="C498" s="1659" t="s">
        <v>5021</v>
      </c>
      <c r="D498" s="1659" t="s">
        <v>4992</v>
      </c>
      <c r="E498" s="1660">
        <f>(MAX((S_NOx)-S_umo__MSatMin,0)/((K_NOx_ALGAE)+(S_NOx)))</f>
        <v>0.9107142857142857</v>
      </c>
      <c r="F498" s="1660" t="s">
        <v>283</v>
      </c>
      <c r="G498" s="1660">
        <v>2</v>
      </c>
      <c r="H498" s="1661"/>
      <c r="I498" s="1662"/>
    </row>
    <row r="499" spans="2:9" s="112" customFormat="1" ht="18" hidden="1" outlineLevel="1" x14ac:dyDescent="0.25">
      <c r="B499" s="1658" t="s">
        <v>4993</v>
      </c>
      <c r="C499" s="1659" t="s">
        <v>5022</v>
      </c>
      <c r="D499" s="1659" t="s">
        <v>4994</v>
      </c>
      <c r="E499" s="1660">
        <f>(MAX((S_NHx)-S_umo__MSatMin,0)/((K_NHx_ALGAE)+(S_NHx)))</f>
        <v>0.58823529411764708</v>
      </c>
      <c r="F499" s="1660" t="s">
        <v>283</v>
      </c>
      <c r="G499" s="1660">
        <v>2</v>
      </c>
      <c r="H499" s="1661"/>
      <c r="I499" s="1662"/>
    </row>
    <row r="500" spans="2:9" s="112" customFormat="1" ht="18" hidden="1" outlineLevel="1" x14ac:dyDescent="0.25">
      <c r="B500" s="1658" t="s">
        <v>4995</v>
      </c>
      <c r="C500" s="1659" t="s">
        <v>4996</v>
      </c>
      <c r="D500" s="1659" t="s">
        <v>4997</v>
      </c>
      <c r="E500" s="1660">
        <f>(MAX((S_O2)-S_umo__MSatMin,0)/((K_O2_ALGAE)+(S_O2)))</f>
        <v>0.97560975609756106</v>
      </c>
      <c r="F500" s="1660" t="s">
        <v>283</v>
      </c>
      <c r="G500" s="1660">
        <v>2</v>
      </c>
      <c r="H500" s="1661"/>
      <c r="I500" s="1662"/>
    </row>
    <row r="501" spans="2:9" s="112" customFormat="1" ht="18" hidden="1" outlineLevel="1" x14ac:dyDescent="0.25">
      <c r="B501" s="1658" t="s">
        <v>4998</v>
      </c>
      <c r="C501" s="1659" t="s">
        <v>4999</v>
      </c>
      <c r="D501" s="1659" t="s">
        <v>5000</v>
      </c>
      <c r="E501" s="1660">
        <f>((K_O2_ALGAE)/((K_O2_ALGAE)+(S_O2)))</f>
        <v>2.4390243902439029E-2</v>
      </c>
      <c r="F501" s="1660" t="s">
        <v>283</v>
      </c>
      <c r="G501" s="1660">
        <v>2</v>
      </c>
      <c r="H501" s="1661"/>
      <c r="I501" s="1662"/>
    </row>
    <row r="502" spans="2:9" s="112" customFormat="1" ht="18" hidden="1" outlineLevel="1" x14ac:dyDescent="0.25">
      <c r="B502" s="1658" t="s">
        <v>5001</v>
      </c>
      <c r="C502" s="1659" t="s">
        <v>5002</v>
      </c>
      <c r="D502" s="1659" t="s">
        <v>5003</v>
      </c>
      <c r="E502" s="1660">
        <f>((K_iNHx_ALGAE)/((K_iNHx_ALGAE)+(S_NHx)))</f>
        <v>0.33333333333333331</v>
      </c>
      <c r="F502" s="1660" t="s">
        <v>283</v>
      </c>
      <c r="G502" s="1660">
        <v>2</v>
      </c>
      <c r="H502" s="1661"/>
      <c r="I502" s="1662"/>
    </row>
    <row r="503" spans="2:9" ht="18" hidden="1" customHeight="1" outlineLevel="1" x14ac:dyDescent="0.25">
      <c r="B503" s="1076" t="s">
        <v>2746</v>
      </c>
      <c r="C503" s="1077" t="s">
        <v>2878</v>
      </c>
      <c r="D503" s="1077" t="s">
        <v>2747</v>
      </c>
      <c r="E503" s="1078">
        <f>((K_iNHx_ASSIM)/((K_iNHx_ASSIM)+(S_NHx)))</f>
        <v>4.9975012493753133E-4</v>
      </c>
      <c r="F503" s="1078" t="s">
        <v>283</v>
      </c>
      <c r="G503" s="1078">
        <v>2</v>
      </c>
      <c r="H503" s="365"/>
      <c r="I503" s="1079"/>
    </row>
    <row r="504" spans="2:9" s="112" customFormat="1" ht="30" hidden="1" outlineLevel="1" x14ac:dyDescent="0.25">
      <c r="B504" s="1833" t="s">
        <v>5159</v>
      </c>
      <c r="C504" s="1832" t="s">
        <v>5160</v>
      </c>
      <c r="D504" s="1832" t="s">
        <v>5161</v>
      </c>
      <c r="E504" s="1834">
        <f>(MAX((C_B)-S_umo__MSatMin,0)/((K_CB_FLOC)+(C_B)))</f>
        <v>1.9960079840319364E-3</v>
      </c>
      <c r="F504" s="1834" t="s">
        <v>283</v>
      </c>
      <c r="G504" s="1834">
        <v>2</v>
      </c>
      <c r="H504" s="1333"/>
      <c r="I504" s="1835"/>
    </row>
    <row r="505" spans="2:9" s="112" customFormat="1" ht="30" hidden="1" outlineLevel="1" x14ac:dyDescent="0.25">
      <c r="B505" s="1833" t="s">
        <v>5162</v>
      </c>
      <c r="C505" s="1832" t="s">
        <v>5163</v>
      </c>
      <c r="D505" s="1832" t="s">
        <v>5164</v>
      </c>
      <c r="E505" s="1834">
        <f>(MAX((C_U)-S_umo__MSatMin,0)/((K_CU_FLOC)+(C_U)))</f>
        <v>9.9009900990099011E-3</v>
      </c>
      <c r="F505" s="1834" t="s">
        <v>283</v>
      </c>
      <c r="G505" s="1834">
        <v>2</v>
      </c>
      <c r="H505" s="1333"/>
      <c r="I505" s="1835"/>
    </row>
    <row r="506" spans="2:9" s="112" customFormat="1" ht="30" hidden="1" outlineLevel="1" x14ac:dyDescent="0.25">
      <c r="B506" s="1330" t="s">
        <v>5334</v>
      </c>
      <c r="C506" s="1832" t="s">
        <v>5335</v>
      </c>
      <c r="D506" s="1832" t="s">
        <v>5336</v>
      </c>
      <c r="E506" s="1834">
        <f>(MAX((C_B)-S_umo__MSatMin,0)/((K_CB_FLOC_HFO)+(C_B)))</f>
        <v>1.9960079840319364E-3</v>
      </c>
      <c r="F506" s="1834" t="s">
        <v>283</v>
      </c>
      <c r="G506" s="1834">
        <v>2</v>
      </c>
      <c r="H506" s="1333"/>
      <c r="I506" s="1334"/>
    </row>
    <row r="507" spans="2:9" s="112" customFormat="1" ht="30" hidden="1" outlineLevel="1" x14ac:dyDescent="0.25">
      <c r="B507" s="1330" t="s">
        <v>5337</v>
      </c>
      <c r="C507" s="1832" t="s">
        <v>5338</v>
      </c>
      <c r="D507" s="1832" t="s">
        <v>5339</v>
      </c>
      <c r="E507" s="1834">
        <f>(MAX((C_U)-S_umo__MSatMin,0)/((K_CU_FLOC_HFO)+(C_U)))</f>
        <v>9.9009900990099011E-3</v>
      </c>
      <c r="F507" s="1834" t="s">
        <v>283</v>
      </c>
      <c r="G507" s="1834">
        <v>2</v>
      </c>
      <c r="H507" s="1333"/>
      <c r="I507" s="1334"/>
    </row>
    <row r="508" spans="2:9" s="112" customFormat="1" ht="30" hidden="1" outlineLevel="1" x14ac:dyDescent="0.25">
      <c r="B508" s="1330" t="s">
        <v>5340</v>
      </c>
      <c r="C508" s="1832" t="s">
        <v>5341</v>
      </c>
      <c r="D508" s="1832" t="s">
        <v>5342</v>
      </c>
      <c r="E508" s="1834">
        <f>(MAX((C_B)-S_umo__MSatMin,0)/((K_CB_FLOC_HAO)+(C_B)))</f>
        <v>1.9960079840319364E-3</v>
      </c>
      <c r="F508" s="1834" t="s">
        <v>283</v>
      </c>
      <c r="G508" s="1834">
        <v>2</v>
      </c>
      <c r="H508" s="1333"/>
      <c r="I508" s="1334"/>
    </row>
    <row r="509" spans="2:9" s="112" customFormat="1" ht="30" hidden="1" outlineLevel="1" x14ac:dyDescent="0.25">
      <c r="B509" s="1330" t="s">
        <v>5343</v>
      </c>
      <c r="C509" s="1832" t="s">
        <v>5344</v>
      </c>
      <c r="D509" s="1832" t="s">
        <v>5345</v>
      </c>
      <c r="E509" s="1834">
        <f>(MAX((C_U)-S_umo__MSatMin,0)/((K_CU_FLOC_HAO)+(C_U)))</f>
        <v>9.9009900990099011E-3</v>
      </c>
      <c r="F509" s="1834" t="s">
        <v>283</v>
      </c>
      <c r="G509" s="1834">
        <v>2</v>
      </c>
      <c r="H509" s="1333"/>
      <c r="I509" s="1334"/>
    </row>
    <row r="510" spans="2:9" ht="18" hidden="1" customHeight="1" outlineLevel="1" x14ac:dyDescent="0.25">
      <c r="B510" s="973" t="s">
        <v>5025</v>
      </c>
      <c r="C510" s="1077" t="s">
        <v>2748</v>
      </c>
      <c r="D510" s="1078" t="s">
        <v>5027</v>
      </c>
      <c r="E510" s="1078">
        <f>(((X_B)/(X_HET))/((X_B)/(X_HET)+(K_HYD)))</f>
        <v>0.21869874248223073</v>
      </c>
      <c r="F510" s="1078" t="s">
        <v>283</v>
      </c>
      <c r="G510" s="1078">
        <v>2</v>
      </c>
      <c r="H510" s="365"/>
      <c r="I510" s="1079"/>
    </row>
    <row r="511" spans="2:9" ht="18" hidden="1" customHeight="1" outlineLevel="1" x14ac:dyDescent="0.25">
      <c r="B511" s="973" t="s">
        <v>5382</v>
      </c>
      <c r="C511" s="1077" t="s">
        <v>5383</v>
      </c>
      <c r="D511" s="1078" t="s">
        <v>5384</v>
      </c>
      <c r="E511" s="1078">
        <f>(((X_B_e)/(X_HET))/((X_B_e)/(X_HET)+(K_HYD)))</f>
        <v>0.56514367691170719</v>
      </c>
      <c r="F511" s="1078" t="s">
        <v>283</v>
      </c>
      <c r="G511" s="1078">
        <v>2</v>
      </c>
      <c r="H511" s="365"/>
      <c r="I511" s="1079"/>
    </row>
    <row r="512" spans="2:9" ht="18" hidden="1" customHeight="1" outlineLevel="1" x14ac:dyDescent="0.25">
      <c r="B512" s="1080" t="s">
        <v>5026</v>
      </c>
      <c r="C512" s="1077" t="s">
        <v>2749</v>
      </c>
      <c r="D512" s="1078" t="s">
        <v>5028</v>
      </c>
      <c r="E512" s="1078">
        <f>(((X_E_ana)/(X_HET))/((X_E_ana)/(X_HET)+(K_HYD)))</f>
        <v>1.9954105557218401E-3</v>
      </c>
      <c r="F512" s="1078" t="s">
        <v>283</v>
      </c>
      <c r="G512" s="1078">
        <v>2</v>
      </c>
      <c r="H512" s="365"/>
      <c r="I512" s="1079"/>
    </row>
    <row r="513" spans="2:9" s="112" customFormat="1" ht="30" hidden="1" outlineLevel="1" x14ac:dyDescent="0.25">
      <c r="B513" s="1833" t="s">
        <v>5165</v>
      </c>
      <c r="C513" s="1832" t="s">
        <v>5166</v>
      </c>
      <c r="D513" s="1832" t="s">
        <v>5167</v>
      </c>
      <c r="E513" s="1834">
        <f>(MAX((X_B)-S_umo__MSatMin,0)/((K_XB_HYD)+(X_B)))</f>
        <v>2.7237354085603113E-2</v>
      </c>
      <c r="F513" s="1834" t="s">
        <v>283</v>
      </c>
      <c r="G513" s="1834">
        <v>2</v>
      </c>
      <c r="H513" s="1333"/>
      <c r="I513" s="1835"/>
    </row>
    <row r="514" spans="2:9" ht="30" hidden="1" outlineLevel="1" x14ac:dyDescent="0.25">
      <c r="B514" s="973" t="s">
        <v>5385</v>
      </c>
      <c r="C514" s="1077" t="s">
        <v>5386</v>
      </c>
      <c r="D514" s="1078" t="s">
        <v>5387</v>
      </c>
      <c r="E514" s="1078">
        <f>(MAX((X_B_e)-S_umo__MSatMin,0)/((K_XBe_HYD)+(X_B_e)))</f>
        <v>0.11504424778761062</v>
      </c>
      <c r="F514" s="1078" t="s">
        <v>283</v>
      </c>
      <c r="G514" s="1078">
        <v>2</v>
      </c>
      <c r="H514" s="365"/>
      <c r="I514" s="1079"/>
    </row>
    <row r="515" spans="2:9" s="112" customFormat="1" ht="30" hidden="1" outlineLevel="1" x14ac:dyDescent="0.25">
      <c r="B515" s="1833" t="s">
        <v>5168</v>
      </c>
      <c r="C515" s="1832" t="s">
        <v>5169</v>
      </c>
      <c r="D515" s="1832" t="s">
        <v>5170</v>
      </c>
      <c r="E515" s="1834">
        <f>(MAX((X_E_ana)-S_umo__MSatMin,0)/((K_XEana_HYD)+(X_E_ana)))</f>
        <v>1.9996000799840031E-4</v>
      </c>
      <c r="F515" s="1834" t="s">
        <v>283</v>
      </c>
      <c r="G515" s="1834">
        <v>2</v>
      </c>
      <c r="H515" s="1333"/>
      <c r="I515" s="1835"/>
    </row>
    <row r="516" spans="2:9" s="112" customFormat="1" ht="18" hidden="1" outlineLevel="1" x14ac:dyDescent="0.25">
      <c r="B516" s="1833" t="s">
        <v>5171</v>
      </c>
      <c r="C516" s="1832" t="s">
        <v>5179</v>
      </c>
      <c r="D516" s="1832" t="s">
        <v>5172</v>
      </c>
      <c r="E516" s="1834">
        <f>((-1)*(2/((X_HET_HYD_lim)*(L_ograngeXHET_HYD_lim)))*LN((1/19)*(1+(1/2)*((X_HET_HYD_lim)*(L_ograngeXHET_HYD_lim)/(X_HET_HYD_lim)))))</f>
        <v>0.11582595259988035</v>
      </c>
      <c r="F516" s="1834" t="s">
        <v>1179</v>
      </c>
      <c r="G516" s="1834">
        <v>1</v>
      </c>
      <c r="H516" s="1333"/>
      <c r="I516" s="1835" t="s">
        <v>4733</v>
      </c>
    </row>
    <row r="517" spans="2:9" s="112" customFormat="1" ht="18" hidden="1" outlineLevel="1" x14ac:dyDescent="0.25">
      <c r="B517" s="1833" t="s">
        <v>5173</v>
      </c>
      <c r="C517" s="1832" t="s">
        <v>5174</v>
      </c>
      <c r="D517" s="1832" t="s">
        <v>5175</v>
      </c>
      <c r="E517" s="1834">
        <f>((X_HET)/((X_HET)+(X_HET_HYD_lim)*EXP(((X_HET_HYD_lim)-(X_HET))*(L_ogslopeXHET_HYD_lim))))</f>
        <v>1</v>
      </c>
      <c r="F517" s="1834" t="s">
        <v>283</v>
      </c>
      <c r="G517" s="1834">
        <v>2</v>
      </c>
      <c r="H517" s="1333"/>
      <c r="I517" s="1835"/>
    </row>
    <row r="518" spans="2:9" s="112" customFormat="1" ht="18" hidden="1" outlineLevel="1" x14ac:dyDescent="0.25">
      <c r="B518" s="1833" t="s">
        <v>5176</v>
      </c>
      <c r="C518" s="1832" t="s">
        <v>5177</v>
      </c>
      <c r="D518" s="1832" t="s">
        <v>5178</v>
      </c>
      <c r="E518" s="1834">
        <f>(1-(X_HET)/((X_HET)+(X_HET_HYD_lim)*EXP(((X_HET_HYD_lim)-(X_HET))*(L_ogslopeXHET_HYD_lim))))</f>
        <v>0</v>
      </c>
      <c r="F518" s="1834" t="s">
        <v>283</v>
      </c>
      <c r="G518" s="1834">
        <v>2</v>
      </c>
      <c r="H518" s="1333"/>
      <c r="I518" s="1835"/>
    </row>
    <row r="519" spans="2:9" ht="18" hidden="1" customHeight="1" outlineLevel="1" x14ac:dyDescent="0.25">
      <c r="B519" s="1249" t="s">
        <v>4905</v>
      </c>
      <c r="C519" s="1081" t="s">
        <v>4906</v>
      </c>
      <c r="D519" s="1082" t="s">
        <v>4907</v>
      </c>
      <c r="E519" s="1083">
        <f>(MAX((X_U)-S_umo__MSatMin,0)/((K_XU)+(X_U)))</f>
        <v>0.99009900990099009</v>
      </c>
      <c r="F519" s="934" t="s">
        <v>283</v>
      </c>
      <c r="G519" s="934">
        <v>2</v>
      </c>
      <c r="H519" s="1749"/>
      <c r="I519" s="1250"/>
    </row>
    <row r="520" spans="2:9" ht="18" hidden="1" customHeight="1" outlineLevel="1" x14ac:dyDescent="0.25">
      <c r="B520" s="1249" t="s">
        <v>2342</v>
      </c>
      <c r="C520" s="1081" t="s">
        <v>2750</v>
      </c>
      <c r="D520" s="1082" t="s">
        <v>2343</v>
      </c>
      <c r="E520" s="1083">
        <f>(MAX((S_NO2)-S_umo__MSatMin,0)/((K_NO2_ASSIM)+(S_NO2)))</f>
        <v>0.99009900990099009</v>
      </c>
      <c r="F520" s="934" t="s">
        <v>283</v>
      </c>
      <c r="G520" s="934">
        <v>2</v>
      </c>
      <c r="H520" s="1749"/>
      <c r="I520" s="1250"/>
    </row>
    <row r="521" spans="2:9" ht="18" hidden="1" customHeight="1" outlineLevel="1" x14ac:dyDescent="0.25">
      <c r="B521" s="1251" t="s">
        <v>2344</v>
      </c>
      <c r="C521" s="1081" t="s">
        <v>2751</v>
      </c>
      <c r="D521" s="1082" t="s">
        <v>2345</v>
      </c>
      <c r="E521" s="1083">
        <f>(MAX((S_NO3)-S_umo__MSatMin,0)/((K_NO3_ASSIM)+(S_NO3)))</f>
        <v>0.99980003999200151</v>
      </c>
      <c r="F521" s="934" t="s">
        <v>283</v>
      </c>
      <c r="G521" s="934">
        <v>2</v>
      </c>
      <c r="H521" s="1749"/>
      <c r="I521" s="1250"/>
    </row>
    <row r="522" spans="2:9" ht="18" hidden="1" customHeight="1" outlineLevel="1" x14ac:dyDescent="0.25">
      <c r="B522" s="1084" t="s">
        <v>2340</v>
      </c>
      <c r="C522" s="896" t="s">
        <v>2752</v>
      </c>
      <c r="D522" s="1085" t="s">
        <v>2341</v>
      </c>
      <c r="E522" s="1086">
        <f>((K_NO2_ASSIM)/((K_NO2_ASSIM)+(S_NO2)))</f>
        <v>9.9009900990099011E-3</v>
      </c>
      <c r="F522" s="1085" t="s">
        <v>283</v>
      </c>
      <c r="G522" s="1085">
        <v>2</v>
      </c>
      <c r="H522" s="934"/>
      <c r="I522" s="1087"/>
    </row>
    <row r="523" spans="2:9" ht="18" hidden="1" customHeight="1" outlineLevel="1" x14ac:dyDescent="0.25">
      <c r="B523" s="620" t="s">
        <v>4684</v>
      </c>
      <c r="C523" s="935" t="s">
        <v>2753</v>
      </c>
      <c r="D523" s="1340" t="s">
        <v>4722</v>
      </c>
      <c r="E523" s="1371">
        <f>(1-(S_PO4)/((S_PO4)+(K_iP_HFO_DISS)*EXP(((K_iP_HFO_DISS)-(S_PO4))*(L_ogslopeP_HFO_DISS))))</f>
        <v>0</v>
      </c>
      <c r="F523" s="1088" t="s">
        <v>283</v>
      </c>
      <c r="G523" s="1088">
        <v>2</v>
      </c>
      <c r="H523" s="935"/>
      <c r="I523" s="1089"/>
    </row>
    <row r="524" spans="2:9" ht="18" hidden="1" customHeight="1" outlineLevel="1" x14ac:dyDescent="0.25">
      <c r="B524" s="620" t="s">
        <v>5072</v>
      </c>
      <c r="C524" s="935" t="s">
        <v>3324</v>
      </c>
      <c r="D524" s="935" t="s">
        <v>5066</v>
      </c>
      <c r="E524" s="1088">
        <f>((K_iP_HFO_DESORP)/((K_iP_HFO_DESORP)+(S_PO4)))</f>
        <v>0.16666666666666669</v>
      </c>
      <c r="F524" s="1088" t="s">
        <v>283</v>
      </c>
      <c r="G524" s="1088">
        <v>2</v>
      </c>
      <c r="H524" s="935"/>
      <c r="I524" s="1089"/>
    </row>
    <row r="525" spans="2:9" ht="18" hidden="1" customHeight="1" outlineLevel="1" x14ac:dyDescent="0.25">
      <c r="B525" s="711" t="s">
        <v>5073</v>
      </c>
      <c r="C525" s="1090" t="s">
        <v>2754</v>
      </c>
      <c r="D525" s="1090" t="s">
        <v>5067</v>
      </c>
      <c r="E525" s="1085">
        <f>(MAX((S_PO4)-S_umo__MSatMin,0)/((K_P_HFO_BIND)+(S_PO4)))</f>
        <v>0.83333333333333337</v>
      </c>
      <c r="F525" s="1085" t="s">
        <v>283</v>
      </c>
      <c r="G525" s="1085">
        <v>2</v>
      </c>
      <c r="H525" s="934"/>
      <c r="I525" s="1087"/>
    </row>
    <row r="526" spans="2:9" ht="18" hidden="1" customHeight="1" outlineLevel="1" x14ac:dyDescent="0.25">
      <c r="B526" s="620" t="s">
        <v>4370</v>
      </c>
      <c r="C526" s="648" t="s">
        <v>4371</v>
      </c>
      <c r="D526" s="1340" t="s">
        <v>4723</v>
      </c>
      <c r="E526" s="1371">
        <f>(1-(S_PO4)/((S_PO4)+(K_iP_HAO_DISS)*EXP(((K_iP_HAO_DISS)-(S_PO4))*(L_ogslopeP_HAO_DISS))))</f>
        <v>0</v>
      </c>
      <c r="F526" s="1091" t="s">
        <v>283</v>
      </c>
      <c r="G526" s="1091">
        <v>2</v>
      </c>
      <c r="H526" s="648"/>
      <c r="I526" s="1089"/>
    </row>
    <row r="527" spans="2:9" ht="18" hidden="1" customHeight="1" outlineLevel="1" x14ac:dyDescent="0.25">
      <c r="B527" s="620" t="s">
        <v>4372</v>
      </c>
      <c r="C527" s="648" t="s">
        <v>4373</v>
      </c>
      <c r="D527" s="648" t="s">
        <v>4374</v>
      </c>
      <c r="E527" s="1091">
        <f>((K_iP_HAO_DESORP)/((K_iP_HAO_DESORP)+(S_PO4)))</f>
        <v>0.16666666666666669</v>
      </c>
      <c r="F527" s="1091" t="s">
        <v>283</v>
      </c>
      <c r="G527" s="1091">
        <v>2</v>
      </c>
      <c r="H527" s="648"/>
      <c r="I527" s="1089"/>
    </row>
    <row r="528" spans="2:9" ht="18" hidden="1" customHeight="1" outlineLevel="1" x14ac:dyDescent="0.25">
      <c r="B528" s="620" t="s">
        <v>4375</v>
      </c>
      <c r="C528" s="1091" t="s">
        <v>4376</v>
      </c>
      <c r="D528" s="1091" t="s">
        <v>4377</v>
      </c>
      <c r="E528" s="1091">
        <f>(MAX((S_PO4)-S_umo__MSatMin,0)/((K_P_HAO_BIND)+(S_PO4)))</f>
        <v>0.83333333333333337</v>
      </c>
      <c r="F528" s="1091" t="s">
        <v>283</v>
      </c>
      <c r="G528" s="1091">
        <v>2</v>
      </c>
      <c r="H528" s="648"/>
      <c r="I528" s="907"/>
    </row>
    <row r="529" spans="2:9" ht="18" hidden="1" customHeight="1" outlineLevel="1" x14ac:dyDescent="0.25">
      <c r="B529" s="711" t="s">
        <v>2755</v>
      </c>
      <c r="C529" s="896" t="s">
        <v>2756</v>
      </c>
      <c r="D529" s="896" t="s">
        <v>2757</v>
      </c>
      <c r="E529" s="1085">
        <f>(MAX((X_ACP)-S_umo__MSatMin,0)/((K_ACP_DISS)+(X_ACP)))</f>
        <v>0</v>
      </c>
      <c r="F529" s="1085" t="s">
        <v>283</v>
      </c>
      <c r="G529" s="1085">
        <v>2</v>
      </c>
      <c r="H529" s="934"/>
      <c r="I529" s="1092"/>
    </row>
    <row r="530" spans="2:9" ht="18" hidden="1" customHeight="1" outlineLevel="1" x14ac:dyDescent="0.25">
      <c r="B530" s="620" t="s">
        <v>4378</v>
      </c>
      <c r="C530" s="648" t="s">
        <v>4379</v>
      </c>
      <c r="D530" s="648" t="s">
        <v>4380</v>
      </c>
      <c r="E530" s="621">
        <f>(MAX((X_BSH)-S_umo__MSatMin,0)/((K_BSH_DISS)+(X_BSH)))</f>
        <v>0</v>
      </c>
      <c r="F530" s="1091" t="s">
        <v>283</v>
      </c>
      <c r="G530" s="1091">
        <v>2</v>
      </c>
      <c r="H530" s="648"/>
      <c r="I530" s="1089"/>
    </row>
    <row r="531" spans="2:9" ht="18" hidden="1" customHeight="1" outlineLevel="1" x14ac:dyDescent="0.25">
      <c r="B531" s="711" t="s">
        <v>2758</v>
      </c>
      <c r="C531" s="896" t="s">
        <v>2759</v>
      </c>
      <c r="D531" s="896" t="s">
        <v>2760</v>
      </c>
      <c r="E531" s="1085">
        <f>(MAX((X_CaCO3)-S_umo__MSatMin,0)/((K_CaCO3_DISS)+(X_CaCO3)))</f>
        <v>0</v>
      </c>
      <c r="F531" s="1085" t="s">
        <v>283</v>
      </c>
      <c r="G531" s="1085">
        <v>2</v>
      </c>
      <c r="H531" s="934"/>
      <c r="I531" s="1092"/>
    </row>
    <row r="532" spans="2:9" ht="18" hidden="1" customHeight="1" outlineLevel="1" x14ac:dyDescent="0.25">
      <c r="B532" s="711" t="s">
        <v>2761</v>
      </c>
      <c r="C532" s="896" t="s">
        <v>2762</v>
      </c>
      <c r="D532" s="896" t="s">
        <v>2763</v>
      </c>
      <c r="E532" s="1085">
        <f>(MAX((X_STR)-S_umo__MSatMin,0)/((K_STR_DISS)+(X_STR)))</f>
        <v>0</v>
      </c>
      <c r="F532" s="1085" t="s">
        <v>283</v>
      </c>
      <c r="G532" s="1085">
        <v>2</v>
      </c>
      <c r="H532" s="934"/>
      <c r="I532" s="1092"/>
    </row>
    <row r="533" spans="2:9" ht="18.75" hidden="1" customHeight="1" outlineLevel="1" thickBot="1" x14ac:dyDescent="0.3">
      <c r="B533" s="1093" t="s">
        <v>2764</v>
      </c>
      <c r="C533" s="936" t="s">
        <v>2765</v>
      </c>
      <c r="D533" s="936" t="s">
        <v>2766</v>
      </c>
      <c r="E533" s="1094">
        <f>(MAX((X_Vivi)-S_umo__MSatMin,0)/((K_Vivi_DISS)+(X_Vivi)))</f>
        <v>0</v>
      </c>
      <c r="F533" s="1094" t="s">
        <v>283</v>
      </c>
      <c r="G533" s="1094">
        <v>2</v>
      </c>
      <c r="H533" s="936"/>
      <c r="I533" s="1095"/>
    </row>
    <row r="534" spans="2:9" ht="15.75" collapsed="1" thickBot="1" x14ac:dyDescent="0.3">
      <c r="B534" s="130"/>
      <c r="C534" s="130"/>
      <c r="D534" s="130"/>
      <c r="E534" s="130"/>
      <c r="F534" s="130"/>
      <c r="G534" s="130"/>
      <c r="H534" s="130"/>
      <c r="I534" s="130"/>
    </row>
    <row r="535" spans="2:9" ht="15.75" thickBot="1" x14ac:dyDescent="0.3">
      <c r="C535" s="1118" t="s">
        <v>2130</v>
      </c>
      <c r="D535" s="2051" t="s">
        <v>301</v>
      </c>
      <c r="E535" s="103"/>
    </row>
    <row r="536" spans="2:9" ht="15.75" thickBot="1" x14ac:dyDescent="0.3">
      <c r="B536" s="1119" t="s">
        <v>0</v>
      </c>
      <c r="C536" s="940" t="s">
        <v>1</v>
      </c>
      <c r="D536" s="940" t="s">
        <v>5</v>
      </c>
      <c r="E536" s="940" t="s">
        <v>152</v>
      </c>
      <c r="F536" s="940" t="s">
        <v>2</v>
      </c>
      <c r="G536" s="940" t="s">
        <v>300</v>
      </c>
      <c r="H536" s="940" t="s">
        <v>116</v>
      </c>
      <c r="I536" s="1120" t="s">
        <v>117</v>
      </c>
    </row>
    <row r="537" spans="2:9" ht="18" hidden="1" customHeight="1" outlineLevel="1" x14ac:dyDescent="0.25">
      <c r="B537" s="1096" t="s">
        <v>1811</v>
      </c>
      <c r="C537" s="1097" t="s">
        <v>2770</v>
      </c>
      <c r="D537" s="937" t="s">
        <v>1812</v>
      </c>
      <c r="E537" s="1098">
        <f>µ_OHO*((θ_µ_OHO)^((T__)-(T_base)))</f>
        <v>4</v>
      </c>
      <c r="F537" s="1098" t="s">
        <v>444</v>
      </c>
      <c r="G537" s="937">
        <v>2</v>
      </c>
      <c r="H537" s="937"/>
      <c r="I537" s="1099"/>
    </row>
    <row r="538" spans="2:9" ht="18" hidden="1" customHeight="1" outlineLevel="1" x14ac:dyDescent="0.25">
      <c r="B538" s="1100" t="s">
        <v>1813</v>
      </c>
      <c r="C538" s="1101" t="s">
        <v>2771</v>
      </c>
      <c r="D538" s="171" t="s">
        <v>1814</v>
      </c>
      <c r="E538" s="580">
        <f>µ_FERM_OHO*((θ_FERM_OHO)^((T__)-(T_base)))</f>
        <v>0.3</v>
      </c>
      <c r="F538" s="580" t="s">
        <v>444</v>
      </c>
      <c r="G538" s="171">
        <v>2</v>
      </c>
      <c r="H538" s="171"/>
      <c r="I538" s="1102"/>
    </row>
    <row r="539" spans="2:9" ht="18" hidden="1" customHeight="1" outlineLevel="1" x14ac:dyDescent="0.25">
      <c r="B539" s="1100" t="s">
        <v>1815</v>
      </c>
      <c r="C539" s="1101" t="s">
        <v>2772</v>
      </c>
      <c r="D539" s="171" t="s">
        <v>1816</v>
      </c>
      <c r="E539" s="580">
        <f>b_OHO*((θ_b_OHO)^((T__)-(T_base)))</f>
        <v>0.62</v>
      </c>
      <c r="F539" s="580" t="s">
        <v>444</v>
      </c>
      <c r="G539" s="171">
        <v>2</v>
      </c>
      <c r="H539" s="171"/>
      <c r="I539" s="1102"/>
    </row>
    <row r="540" spans="2:9" ht="18" hidden="1" customHeight="1" outlineLevel="1" x14ac:dyDescent="0.25">
      <c r="B540" s="1100" t="s">
        <v>1817</v>
      </c>
      <c r="C540" s="1101" t="s">
        <v>2773</v>
      </c>
      <c r="D540" s="171" t="s">
        <v>1818</v>
      </c>
      <c r="E540" s="580">
        <f>µ_MEOLO*((θ_µ_MEOLO)^((T__)-(T_base)))</f>
        <v>1.3</v>
      </c>
      <c r="F540" s="580" t="s">
        <v>444</v>
      </c>
      <c r="G540" s="171">
        <v>2</v>
      </c>
      <c r="H540" s="171"/>
      <c r="I540" s="1102"/>
    </row>
    <row r="541" spans="2:9" ht="18" hidden="1" customHeight="1" outlineLevel="1" x14ac:dyDescent="0.25">
      <c r="B541" s="1100" t="s">
        <v>1819</v>
      </c>
      <c r="C541" s="1101" t="s">
        <v>2774</v>
      </c>
      <c r="D541" s="171" t="s">
        <v>1820</v>
      </c>
      <c r="E541" s="580">
        <f>b_MEOLO*((θ_b_MEOLO)^((T__)-(T_base)))</f>
        <v>0.05</v>
      </c>
      <c r="F541" s="580" t="s">
        <v>444</v>
      </c>
      <c r="G541" s="171">
        <v>2</v>
      </c>
      <c r="H541" s="171"/>
      <c r="I541" s="1102"/>
    </row>
    <row r="542" spans="2:9" ht="30" hidden="1" customHeight="1" outlineLevel="1" x14ac:dyDescent="0.25">
      <c r="B542" s="1103" t="s">
        <v>4381</v>
      </c>
      <c r="C542" s="442" t="s">
        <v>4382</v>
      </c>
      <c r="D542" s="442" t="s">
        <v>4383</v>
      </c>
      <c r="E542" s="432">
        <f>µ_CASTO*((θ_µ_CASTO)^((T__)-(T_base)))</f>
        <v>1</v>
      </c>
      <c r="F542" s="432" t="s">
        <v>444</v>
      </c>
      <c r="G542" s="442">
        <v>2</v>
      </c>
      <c r="H542" s="442"/>
      <c r="I542" s="1104"/>
    </row>
    <row r="543" spans="2:9" ht="30" hidden="1" customHeight="1" outlineLevel="1" x14ac:dyDescent="0.25">
      <c r="B543" s="1103" t="s">
        <v>1847</v>
      </c>
      <c r="C543" s="442" t="s">
        <v>2775</v>
      </c>
      <c r="D543" s="442" t="s">
        <v>1850</v>
      </c>
      <c r="E543" s="432">
        <f>µ_PAO_lim*((θ_µ_PAO_lim)^((T__)-(T_base)))</f>
        <v>0.49</v>
      </c>
      <c r="F543" s="432" t="s">
        <v>444</v>
      </c>
      <c r="G543" s="442">
        <v>2</v>
      </c>
      <c r="H543" s="442"/>
      <c r="I543" s="1104"/>
    </row>
    <row r="544" spans="2:9" ht="18" hidden="1" customHeight="1" outlineLevel="1" x14ac:dyDescent="0.25">
      <c r="B544" s="1103" t="s">
        <v>2767</v>
      </c>
      <c r="C544" s="442" t="s">
        <v>2768</v>
      </c>
      <c r="D544" s="442" t="s">
        <v>2769</v>
      </c>
      <c r="E544" s="432">
        <f>µ_FERM_PAO*((θ_FERM_PAO)^((T__)-(T_base)))</f>
        <v>0.45</v>
      </c>
      <c r="F544" s="432" t="s">
        <v>444</v>
      </c>
      <c r="G544" s="442">
        <v>2</v>
      </c>
      <c r="H544" s="442"/>
      <c r="I544" s="1104"/>
    </row>
    <row r="545" spans="2:9" ht="18" hidden="1" customHeight="1" outlineLevel="1" x14ac:dyDescent="0.25">
      <c r="B545" s="1103" t="s">
        <v>4384</v>
      </c>
      <c r="C545" s="442" t="s">
        <v>4385</v>
      </c>
      <c r="D545" s="442" t="s">
        <v>4386</v>
      </c>
      <c r="E545" s="432">
        <f>q_PAO_PP*((θ_q_PAO_PP)^((T__)-(T_base)))</f>
        <v>0.1</v>
      </c>
      <c r="F545" s="432" t="s">
        <v>444</v>
      </c>
      <c r="G545" s="442">
        <v>2</v>
      </c>
      <c r="H545" s="442"/>
      <c r="I545" s="1104"/>
    </row>
    <row r="546" spans="2:9" ht="18" hidden="1" customHeight="1" outlineLevel="1" x14ac:dyDescent="0.25">
      <c r="B546" s="1103" t="s">
        <v>1821</v>
      </c>
      <c r="C546" s="442" t="s">
        <v>2776</v>
      </c>
      <c r="D546" s="442" t="s">
        <v>1822</v>
      </c>
      <c r="E546" s="432">
        <f>q_PAO_PHA*((θ_q_PAO_PHA)^((T__)-(T_base)))</f>
        <v>7</v>
      </c>
      <c r="F546" s="432" t="s">
        <v>444</v>
      </c>
      <c r="G546" s="442">
        <v>2</v>
      </c>
      <c r="H546" s="442"/>
      <c r="I546" s="1104"/>
    </row>
    <row r="547" spans="2:9" ht="18" hidden="1" customHeight="1" outlineLevel="1" x14ac:dyDescent="0.25">
      <c r="B547" s="2439" t="s">
        <v>5475</v>
      </c>
      <c r="C547" s="2440" t="s">
        <v>5476</v>
      </c>
      <c r="D547" s="2440" t="s">
        <v>5477</v>
      </c>
      <c r="E547" s="426">
        <f>q_GAO_PHA*((θ_q_GAO_PHA)^((T__)-(T_base)))</f>
        <v>4</v>
      </c>
      <c r="F547" s="426" t="s">
        <v>444</v>
      </c>
      <c r="G547" s="938">
        <v>2</v>
      </c>
      <c r="H547" s="938"/>
      <c r="I547" s="1105"/>
    </row>
    <row r="548" spans="2:9" ht="30" hidden="1" customHeight="1" outlineLevel="1" x14ac:dyDescent="0.25">
      <c r="B548" s="1103" t="s">
        <v>4387</v>
      </c>
      <c r="C548" s="2438" t="s">
        <v>5478</v>
      </c>
      <c r="D548" s="442" t="s">
        <v>4388</v>
      </c>
      <c r="E548" s="432">
        <f>b_STC*((θ_b_STC)^((T__)-(T_base)))</f>
        <v>7.0000000000000007E-2</v>
      </c>
      <c r="F548" s="432" t="s">
        <v>444</v>
      </c>
      <c r="G548" s="442">
        <v>2</v>
      </c>
      <c r="H548" s="442"/>
      <c r="I548" s="1104"/>
    </row>
    <row r="549" spans="2:9" ht="30" hidden="1" customHeight="1" outlineLevel="1" x14ac:dyDescent="0.25">
      <c r="B549" s="1103" t="s">
        <v>2107</v>
      </c>
      <c r="C549" s="442" t="s">
        <v>2777</v>
      </c>
      <c r="D549" s="442" t="s">
        <v>2108</v>
      </c>
      <c r="E549" s="432">
        <f>b_PP_ana*((θ_b_PP_ana)^((T__)-(T_base)))</f>
        <v>5.0000000000000001E-3</v>
      </c>
      <c r="F549" s="432" t="s">
        <v>444</v>
      </c>
      <c r="G549" s="442">
        <v>2</v>
      </c>
      <c r="H549" s="442"/>
      <c r="I549" s="1104"/>
    </row>
    <row r="550" spans="2:9" ht="18" hidden="1" customHeight="1" outlineLevel="1" x14ac:dyDescent="0.25">
      <c r="B550" s="1103" t="s">
        <v>4389</v>
      </c>
      <c r="C550" s="442" t="s">
        <v>4390</v>
      </c>
      <c r="D550" s="442" t="s">
        <v>4391</v>
      </c>
      <c r="E550" s="432">
        <f>b_CASTO*((θ_b_CASTO)^((T__)-(T_base)))</f>
        <v>0.08</v>
      </c>
      <c r="F550" s="432" t="s">
        <v>444</v>
      </c>
      <c r="G550" s="442">
        <v>2</v>
      </c>
      <c r="H550" s="442"/>
      <c r="I550" s="1104"/>
    </row>
    <row r="551" spans="2:9" s="1192" customFormat="1" ht="18" hidden="1" customHeight="1" outlineLevel="1" x14ac:dyDescent="0.25">
      <c r="B551" s="1252" t="s">
        <v>2326</v>
      </c>
      <c r="C551" s="1106" t="s">
        <v>2778</v>
      </c>
      <c r="D551" s="1253" t="s">
        <v>2327</v>
      </c>
      <c r="E551" s="1253">
        <f>µ_AOB*((θ_µ_AOB)^((T__)-(T_base)))</f>
        <v>0.9</v>
      </c>
      <c r="F551" s="1253" t="s">
        <v>444</v>
      </c>
      <c r="G551" s="1253">
        <v>2</v>
      </c>
      <c r="H551" s="1253"/>
      <c r="I551" s="1254"/>
    </row>
    <row r="552" spans="2:9" s="1192" customFormat="1" ht="18" hidden="1" customHeight="1" outlineLevel="1" x14ac:dyDescent="0.25">
      <c r="B552" s="1252" t="s">
        <v>2328</v>
      </c>
      <c r="C552" s="1106" t="s">
        <v>2779</v>
      </c>
      <c r="D552" s="1253" t="s">
        <v>2329</v>
      </c>
      <c r="E552" s="1253">
        <f>b_AOB*((θ_b_AOB)^((T__)-(T_base)))</f>
        <v>0.17</v>
      </c>
      <c r="F552" s="1253" t="s">
        <v>444</v>
      </c>
      <c r="G552" s="1253">
        <v>2</v>
      </c>
      <c r="H552" s="1253"/>
      <c r="I552" s="1254"/>
    </row>
    <row r="553" spans="2:9" s="1192" customFormat="1" ht="18" hidden="1" customHeight="1" outlineLevel="1" x14ac:dyDescent="0.25">
      <c r="B553" s="1252" t="s">
        <v>2330</v>
      </c>
      <c r="C553" s="1106" t="s">
        <v>2780</v>
      </c>
      <c r="D553" s="1253" t="s">
        <v>2331</v>
      </c>
      <c r="E553" s="1253">
        <f>µ_NOB*((θ_µ_NOB)^((T__)-(T_base)))</f>
        <v>0.65</v>
      </c>
      <c r="F553" s="1253" t="s">
        <v>444</v>
      </c>
      <c r="G553" s="1253">
        <v>2</v>
      </c>
      <c r="H553" s="1253"/>
      <c r="I553" s="1254"/>
    </row>
    <row r="554" spans="2:9" s="1192" customFormat="1" ht="18" hidden="1" customHeight="1" outlineLevel="1" x14ac:dyDescent="0.25">
      <c r="B554" s="1252" t="s">
        <v>2332</v>
      </c>
      <c r="C554" s="1106" t="s">
        <v>2781</v>
      </c>
      <c r="D554" s="1253" t="s">
        <v>2333</v>
      </c>
      <c r="E554" s="1253">
        <f>b_NOB*((θ_b_NOB)^((T__)-(T_base)))</f>
        <v>0.15</v>
      </c>
      <c r="F554" s="1253" t="s">
        <v>444</v>
      </c>
      <c r="G554" s="1253">
        <v>2</v>
      </c>
      <c r="H554" s="1253"/>
      <c r="I554" s="1254"/>
    </row>
    <row r="555" spans="2:9" s="1192" customFormat="1" ht="18" hidden="1" customHeight="1" outlineLevel="1" x14ac:dyDescent="0.25">
      <c r="B555" s="1255" t="s">
        <v>2334</v>
      </c>
      <c r="C555" s="345" t="s">
        <v>2782</v>
      </c>
      <c r="D555" s="1256" t="s">
        <v>2335</v>
      </c>
      <c r="E555" s="1256">
        <f>µ_AMX*((θ_µ_AMX)^((T__)-(T_base)))</f>
        <v>0.1</v>
      </c>
      <c r="F555" s="1256" t="s">
        <v>444</v>
      </c>
      <c r="G555" s="1256">
        <v>2</v>
      </c>
      <c r="H555" s="1256"/>
      <c r="I555" s="1257"/>
    </row>
    <row r="556" spans="2:9" s="1192" customFormat="1" ht="18" hidden="1" customHeight="1" outlineLevel="1" x14ac:dyDescent="0.25">
      <c r="B556" s="1255" t="s">
        <v>2336</v>
      </c>
      <c r="C556" s="345" t="s">
        <v>2783</v>
      </c>
      <c r="D556" s="1256" t="s">
        <v>2337</v>
      </c>
      <c r="E556" s="1256">
        <f>b_AMX*((θ_b_AMX)^((T__)-(T_base)))</f>
        <v>1.9E-2</v>
      </c>
      <c r="F556" s="1256" t="s">
        <v>444</v>
      </c>
      <c r="G556" s="1256">
        <v>2</v>
      </c>
      <c r="H556" s="1256"/>
      <c r="I556" s="1257"/>
    </row>
    <row r="557" spans="2:9" ht="18" hidden="1" customHeight="1" outlineLevel="1" x14ac:dyDescent="0.25">
      <c r="B557" s="1107" t="s">
        <v>1823</v>
      </c>
      <c r="C557" s="1108" t="s">
        <v>2784</v>
      </c>
      <c r="D557" s="261" t="s">
        <v>1824</v>
      </c>
      <c r="E557" s="264">
        <f>µ_AMETO*((θ_µ_AMETO)^((T__)-(T_base)))</f>
        <v>0.3</v>
      </c>
      <c r="F557" s="264" t="s">
        <v>444</v>
      </c>
      <c r="G557" s="261">
        <v>2</v>
      </c>
      <c r="H557" s="261"/>
      <c r="I557" s="1109"/>
    </row>
    <row r="558" spans="2:9" ht="18" hidden="1" customHeight="1" outlineLevel="1" x14ac:dyDescent="0.25">
      <c r="B558" s="1107" t="s">
        <v>1825</v>
      </c>
      <c r="C558" s="1108" t="s">
        <v>2785</v>
      </c>
      <c r="D558" s="261" t="s">
        <v>1826</v>
      </c>
      <c r="E558" s="264">
        <f>b_AMETO*((θ_b_AMETO)^((T__)-(T_base)))</f>
        <v>0.03</v>
      </c>
      <c r="F558" s="264" t="s">
        <v>444</v>
      </c>
      <c r="G558" s="261">
        <v>2</v>
      </c>
      <c r="H558" s="261"/>
      <c r="I558" s="1109"/>
    </row>
    <row r="559" spans="2:9" ht="18" hidden="1" customHeight="1" outlineLevel="1" x14ac:dyDescent="0.25">
      <c r="B559" s="1107" t="s">
        <v>1827</v>
      </c>
      <c r="C559" s="1108" t="s">
        <v>2786</v>
      </c>
      <c r="D559" s="261" t="s">
        <v>1828</v>
      </c>
      <c r="E559" s="264">
        <f>µ_HMETO*((θ_µ_HMETO)^((T__)-(T_base)))</f>
        <v>1.3</v>
      </c>
      <c r="F559" s="264" t="s">
        <v>444</v>
      </c>
      <c r="G559" s="261">
        <v>2</v>
      </c>
      <c r="H559" s="261"/>
      <c r="I559" s="1109"/>
    </row>
    <row r="560" spans="2:9" ht="18" hidden="1" customHeight="1" outlineLevel="1" x14ac:dyDescent="0.25">
      <c r="B560" s="1107" t="s">
        <v>1829</v>
      </c>
      <c r="C560" s="1108" t="s">
        <v>2787</v>
      </c>
      <c r="D560" s="261" t="s">
        <v>1830</v>
      </c>
      <c r="E560" s="264">
        <f>b_HMETO*((θ_b_HMETO)^((T__)-(T_base)))</f>
        <v>0.13</v>
      </c>
      <c r="F560" s="264" t="s">
        <v>444</v>
      </c>
      <c r="G560" s="261">
        <v>2</v>
      </c>
      <c r="H560" s="261"/>
      <c r="I560" s="1109"/>
    </row>
    <row r="561" spans="2:9" s="112" customFormat="1" ht="18" hidden="1" outlineLevel="1" x14ac:dyDescent="0.25">
      <c r="B561" s="1625" t="s">
        <v>5004</v>
      </c>
      <c r="C561" s="1614" t="s">
        <v>5005</v>
      </c>
      <c r="D561" s="1614" t="s">
        <v>5006</v>
      </c>
      <c r="E561" s="1661">
        <f>µ_ALGAE*((θ_µ_ALGAE)^((T__)-(T_base)))</f>
        <v>2</v>
      </c>
      <c r="F561" s="1661" t="s">
        <v>4987</v>
      </c>
      <c r="G561" s="1663">
        <v>2</v>
      </c>
      <c r="H561" s="1663" t="s">
        <v>4963</v>
      </c>
      <c r="I561" s="1664"/>
    </row>
    <row r="562" spans="2:9" s="112" customFormat="1" ht="18" hidden="1" outlineLevel="1" x14ac:dyDescent="0.25">
      <c r="B562" s="1625" t="s">
        <v>5007</v>
      </c>
      <c r="C562" s="1614" t="s">
        <v>5008</v>
      </c>
      <c r="D562" s="1614" t="s">
        <v>5009</v>
      </c>
      <c r="E562" s="1661">
        <f>b_ALGAE*((θ_b_ALGAE)^((T__)-(T_base)))</f>
        <v>0.1</v>
      </c>
      <c r="F562" s="1661" t="s">
        <v>4987</v>
      </c>
      <c r="G562" s="1663">
        <v>2</v>
      </c>
      <c r="H562" s="1663" t="s">
        <v>4963</v>
      </c>
      <c r="I562" s="1664"/>
    </row>
    <row r="563" spans="2:9" ht="18" hidden="1" customHeight="1" outlineLevel="1" x14ac:dyDescent="0.25">
      <c r="B563" s="700" t="s">
        <v>1831</v>
      </c>
      <c r="C563" s="1110" t="s">
        <v>2788</v>
      </c>
      <c r="D563" s="106" t="s">
        <v>1832</v>
      </c>
      <c r="E563" s="934">
        <f>q_FLOC*((θ_q_FLOC)^((T__)-(T_base)))</f>
        <v>0.5</v>
      </c>
      <c r="F563" s="934" t="s">
        <v>444</v>
      </c>
      <c r="G563" s="106">
        <v>2</v>
      </c>
      <c r="H563" s="106"/>
      <c r="I563" s="872"/>
    </row>
    <row r="564" spans="2:9" s="112" customFormat="1" ht="18" hidden="1" outlineLevel="1" x14ac:dyDescent="0.25">
      <c r="B564" s="2401" t="s">
        <v>5346</v>
      </c>
      <c r="C564" s="1517" t="s">
        <v>2788</v>
      </c>
      <c r="D564" s="1517" t="s">
        <v>5347</v>
      </c>
      <c r="E564" s="1340">
        <f>q_FLOC_HFO*((θ_q_FLOC_HFO)^((T__)-(T_base)))</f>
        <v>1000</v>
      </c>
      <c r="F564" s="1340" t="s">
        <v>444</v>
      </c>
      <c r="G564" s="1524">
        <v>2</v>
      </c>
      <c r="H564" s="1524"/>
      <c r="I564" s="2402"/>
    </row>
    <row r="565" spans="2:9" s="112" customFormat="1" ht="18" hidden="1" outlineLevel="1" x14ac:dyDescent="0.25">
      <c r="B565" s="2401" t="s">
        <v>5348</v>
      </c>
      <c r="C565" s="1517" t="s">
        <v>2788</v>
      </c>
      <c r="D565" s="1517" t="s">
        <v>5349</v>
      </c>
      <c r="E565" s="1340">
        <f>q_FLOC_HAO*((θ_q_FLOC_HAO)^((T__)-(T_base)))</f>
        <v>1000</v>
      </c>
      <c r="F565" s="1340" t="s">
        <v>444</v>
      </c>
      <c r="G565" s="1524">
        <v>2</v>
      </c>
      <c r="H565" s="1524"/>
      <c r="I565" s="2402"/>
    </row>
    <row r="566" spans="2:9" ht="18" hidden="1" customHeight="1" outlineLevel="1" x14ac:dyDescent="0.25">
      <c r="B566" s="1520" t="s">
        <v>5391</v>
      </c>
      <c r="C566" s="1517" t="s">
        <v>2789</v>
      </c>
      <c r="D566" s="1517" t="s">
        <v>5392</v>
      </c>
      <c r="E566" s="934">
        <f>q_HYD_XB*((θ_q_HYD)^((T__)-(T_base)))</f>
        <v>3</v>
      </c>
      <c r="F566" s="934" t="s">
        <v>444</v>
      </c>
      <c r="G566" s="106">
        <v>2</v>
      </c>
      <c r="H566" s="106"/>
      <c r="I566" s="872"/>
    </row>
    <row r="567" spans="2:9" ht="18" hidden="1" customHeight="1" outlineLevel="1" x14ac:dyDescent="0.25">
      <c r="B567" s="1520" t="s">
        <v>5388</v>
      </c>
      <c r="C567" s="1517" t="s">
        <v>5389</v>
      </c>
      <c r="D567" s="1517" t="s">
        <v>5390</v>
      </c>
      <c r="E567" s="934">
        <f>q_HYD_XBe*((θ_q_HYD)^((T__)-(T_base)))</f>
        <v>1</v>
      </c>
      <c r="F567" s="934" t="s">
        <v>444</v>
      </c>
      <c r="G567" s="106">
        <v>2</v>
      </c>
      <c r="H567" s="106"/>
      <c r="I567" s="872"/>
    </row>
    <row r="568" spans="2:9" ht="18" hidden="1" customHeight="1" outlineLevel="1" x14ac:dyDescent="0.25">
      <c r="B568" s="700" t="s">
        <v>1833</v>
      </c>
      <c r="C568" s="1110" t="s">
        <v>2790</v>
      </c>
      <c r="D568" s="106" t="s">
        <v>1834</v>
      </c>
      <c r="E568" s="934">
        <f>q_AMMON*((θ_q_AMMON)^((T__)-(T_base)))</f>
        <v>0.05</v>
      </c>
      <c r="F568" s="934" t="s">
        <v>444</v>
      </c>
      <c r="G568" s="106">
        <v>2</v>
      </c>
      <c r="H568" s="106"/>
      <c r="I568" s="872"/>
    </row>
    <row r="569" spans="2:9" ht="30" hidden="1" customHeight="1" outlineLevel="1" x14ac:dyDescent="0.25">
      <c r="B569" s="700" t="s">
        <v>1848</v>
      </c>
      <c r="C569" s="1110" t="s">
        <v>2791</v>
      </c>
      <c r="D569" s="106" t="s">
        <v>1849</v>
      </c>
      <c r="E569" s="934">
        <f>q_SPB*((θ_q_SPB)^((T__)-(T_base)))</f>
        <v>0.5</v>
      </c>
      <c r="F569" s="934" t="s">
        <v>444</v>
      </c>
      <c r="G569" s="106">
        <v>2</v>
      </c>
      <c r="H569" s="106"/>
      <c r="I569" s="872"/>
    </row>
    <row r="570" spans="2:9" ht="18" hidden="1" customHeight="1" outlineLevel="1" x14ac:dyDescent="0.25">
      <c r="B570" s="700" t="s">
        <v>1851</v>
      </c>
      <c r="C570" s="1110" t="s">
        <v>2792</v>
      </c>
      <c r="D570" s="106" t="s">
        <v>1852</v>
      </c>
      <c r="E570" s="934">
        <f>q_XE*((θ_q_XE)^((T__)-(T_base)))</f>
        <v>7.0000000000000001E-3</v>
      </c>
      <c r="F570" s="934" t="s">
        <v>444</v>
      </c>
      <c r="G570" s="106">
        <v>2</v>
      </c>
      <c r="H570" s="106"/>
      <c r="I570" s="872"/>
    </row>
    <row r="571" spans="2:9" s="112" customFormat="1" ht="30" hidden="1" outlineLevel="1" x14ac:dyDescent="0.25">
      <c r="B571" s="1520" t="s">
        <v>4900</v>
      </c>
      <c r="C571" s="1517" t="s">
        <v>4901</v>
      </c>
      <c r="D571" s="1517" t="s">
        <v>4902</v>
      </c>
      <c r="E571" s="1340">
        <f>q_XU*((θ_q_XU)^((T__)-(T_base)))</f>
        <v>9.9999999999999995E-7</v>
      </c>
      <c r="F571" s="1340" t="s">
        <v>444</v>
      </c>
      <c r="G571" s="1524">
        <v>2</v>
      </c>
      <c r="H571" s="1524"/>
      <c r="I571" s="1604"/>
    </row>
    <row r="572" spans="2:9" ht="18" hidden="1" customHeight="1" outlineLevel="1" x14ac:dyDescent="0.25">
      <c r="B572" s="700" t="s">
        <v>1835</v>
      </c>
      <c r="C572" s="1110" t="s">
        <v>2793</v>
      </c>
      <c r="D572" s="106" t="s">
        <v>1836</v>
      </c>
      <c r="E572" s="934">
        <f>q_ASSIM*((θ_q_ASSIM)^((T__)-(T_base)))</f>
        <v>1</v>
      </c>
      <c r="F572" s="934" t="s">
        <v>444</v>
      </c>
      <c r="G572" s="106">
        <v>2</v>
      </c>
      <c r="H572" s="106"/>
      <c r="I572" s="872"/>
    </row>
    <row r="573" spans="2:9" ht="18" hidden="1" customHeight="1" outlineLevel="1" x14ac:dyDescent="0.25">
      <c r="B573" s="1111" t="s">
        <v>2796</v>
      </c>
      <c r="C573" s="1112" t="s">
        <v>2794</v>
      </c>
      <c r="D573" s="168" t="s">
        <v>2797</v>
      </c>
      <c r="E573" s="1113">
        <f>q_Fe2_OX*((θ_q_Fe2_OX)^((T__)-(T_base)))</f>
        <v>50</v>
      </c>
      <c r="F573" s="1113" t="s">
        <v>444</v>
      </c>
      <c r="G573" s="168">
        <v>2</v>
      </c>
      <c r="H573" s="168"/>
      <c r="I573" s="1114"/>
    </row>
    <row r="574" spans="2:9" ht="18.75" hidden="1" customHeight="1" outlineLevel="1" thickBot="1" x14ac:dyDescent="0.3">
      <c r="B574" s="1115" t="s">
        <v>1853</v>
      </c>
      <c r="C574" s="939" t="s">
        <v>2795</v>
      </c>
      <c r="D574" s="939" t="s">
        <v>1854</v>
      </c>
      <c r="E574" s="1116">
        <f>q_HFO_RED*((θ_q_HFO_RED)^((T__)-(T_base)))</f>
        <v>2</v>
      </c>
      <c r="F574" s="1116" t="s">
        <v>444</v>
      </c>
      <c r="G574" s="939">
        <v>2</v>
      </c>
      <c r="H574" s="939"/>
      <c r="I574" s="1117"/>
    </row>
    <row r="575" spans="2:9" ht="15.75" collapsed="1" thickBot="1" x14ac:dyDescent="0.3">
      <c r="B575" s="130"/>
      <c r="C575" s="130"/>
      <c r="D575" s="130"/>
      <c r="E575" s="130"/>
      <c r="F575" s="130"/>
      <c r="G575" s="130"/>
      <c r="H575" s="130"/>
      <c r="I575" s="130"/>
    </row>
    <row r="576" spans="2:9" ht="15.75" thickBot="1" x14ac:dyDescent="0.3">
      <c r="C576" s="1118" t="s">
        <v>338</v>
      </c>
      <c r="D576" s="2051" t="s">
        <v>319</v>
      </c>
      <c r="E576" s="103"/>
    </row>
    <row r="577" spans="2:9" ht="15.75" thickBot="1" x14ac:dyDescent="0.3">
      <c r="B577" s="1119" t="s">
        <v>0</v>
      </c>
      <c r="C577" s="940" t="s">
        <v>1</v>
      </c>
      <c r="D577" s="940" t="s">
        <v>5</v>
      </c>
      <c r="E577" s="940" t="s">
        <v>152</v>
      </c>
      <c r="F577" s="940" t="s">
        <v>2</v>
      </c>
      <c r="G577" s="940" t="s">
        <v>300</v>
      </c>
      <c r="H577" s="940" t="s">
        <v>116</v>
      </c>
      <c r="I577" s="1120" t="s">
        <v>117</v>
      </c>
    </row>
    <row r="578" spans="2:9" ht="18" hidden="1" customHeight="1" outlineLevel="1" x14ac:dyDescent="0.25">
      <c r="B578" s="632" t="s">
        <v>907</v>
      </c>
      <c r="C578" s="941" t="s">
        <v>904</v>
      </c>
      <c r="D578" s="941" t="s">
        <v>1837</v>
      </c>
      <c r="E578" s="1121">
        <f>1.82483*10^6*ρ__^(0.5)*(ε__*T_K)^(-1.5)</f>
        <v>0.50517320931567189</v>
      </c>
      <c r="F578" s="941" t="s">
        <v>1981</v>
      </c>
      <c r="G578" s="941">
        <v>3</v>
      </c>
      <c r="H578" s="941" t="s">
        <v>11</v>
      </c>
      <c r="I578" s="1122"/>
    </row>
    <row r="579" spans="2:9" ht="18" hidden="1" customHeight="1" outlineLevel="1" x14ac:dyDescent="0.25">
      <c r="B579" s="632" t="s">
        <v>906</v>
      </c>
      <c r="C579" s="941" t="s">
        <v>2879</v>
      </c>
      <c r="D579" s="941" t="s">
        <v>941</v>
      </c>
      <c r="E579" s="1121">
        <f>2727.586+0.6224107*T_K-466.9151*LN(T_K)-(52000.87/T_K)</f>
        <v>80.261801298291488</v>
      </c>
      <c r="F579" s="941" t="s">
        <v>1981</v>
      </c>
      <c r="G579" s="941">
        <v>3</v>
      </c>
      <c r="H579" s="941" t="s">
        <v>11</v>
      </c>
      <c r="I579" s="1122"/>
    </row>
    <row r="580" spans="2:9" ht="15" hidden="1" customHeight="1" outlineLevel="1" x14ac:dyDescent="0.25">
      <c r="B580" s="632" t="s">
        <v>908</v>
      </c>
      <c r="C580" s="941" t="s">
        <v>2880</v>
      </c>
      <c r="D580" s="941" t="s">
        <v>905</v>
      </c>
      <c r="E580" s="1121">
        <f>1-(T__-3.9863)^2*(T__+288.9414)/(508929.2*(T__+68.12963))+0.011445*EXP(-374.3/T__)</f>
        <v>0.99823363622515204</v>
      </c>
      <c r="F580" s="941" t="s">
        <v>1981</v>
      </c>
      <c r="G580" s="941">
        <v>3</v>
      </c>
      <c r="H580" s="941" t="s">
        <v>11</v>
      </c>
      <c r="I580" s="1122"/>
    </row>
    <row r="581" spans="2:9" ht="18" hidden="1" customHeight="1" outlineLevel="1" x14ac:dyDescent="0.25">
      <c r="B581" s="632" t="s">
        <v>3277</v>
      </c>
      <c r="C581" s="941" t="s">
        <v>3278</v>
      </c>
      <c r="D581" s="445" t="s">
        <v>3279</v>
      </c>
      <c r="E581" s="1121">
        <f>f_mono_ISlim-I_Slim*S_lopeIS_corr</f>
        <v>0.78560775368648972</v>
      </c>
      <c r="F581" s="941" t="s">
        <v>1981</v>
      </c>
      <c r="G581" s="941">
        <v>3</v>
      </c>
      <c r="H581" s="941" t="s">
        <v>11</v>
      </c>
      <c r="I581" s="1122"/>
    </row>
    <row r="582" spans="2:9" ht="18" hidden="1" customHeight="1" outlineLevel="1" x14ac:dyDescent="0.25">
      <c r="B582" s="632" t="s">
        <v>3280</v>
      </c>
      <c r="C582" s="941" t="s">
        <v>3281</v>
      </c>
      <c r="D582" s="445" t="s">
        <v>3282</v>
      </c>
      <c r="E582" s="1121">
        <f>f_di_ISlim-I_Slim*S_lopeIS_corr</f>
        <v>0.38072284713919508</v>
      </c>
      <c r="F582" s="941" t="s">
        <v>1981</v>
      </c>
      <c r="G582" s="941">
        <v>3</v>
      </c>
      <c r="H582" s="941" t="s">
        <v>11</v>
      </c>
      <c r="I582" s="1122"/>
    </row>
    <row r="583" spans="2:9" ht="18" hidden="1" customHeight="1" outlineLevel="1" x14ac:dyDescent="0.25">
      <c r="B583" s="632" t="s">
        <v>3283</v>
      </c>
      <c r="C583" s="941" t="s">
        <v>3284</v>
      </c>
      <c r="D583" s="445" t="s">
        <v>3285</v>
      </c>
      <c r="E583" s="1121">
        <f>f_tri_ISlim-I_Slim*S_lopeIS_corr</f>
        <v>0.11392518696837291</v>
      </c>
      <c r="F583" s="941" t="s">
        <v>1981</v>
      </c>
      <c r="G583" s="941">
        <v>3</v>
      </c>
      <c r="H583" s="941" t="s">
        <v>11</v>
      </c>
      <c r="I583" s="1122"/>
    </row>
    <row r="584" spans="2:9" ht="18" hidden="1" customHeight="1" outlineLevel="1" x14ac:dyDescent="0.25">
      <c r="B584" s="632" t="s">
        <v>3286</v>
      </c>
      <c r="C584" s="941" t="s">
        <v>3287</v>
      </c>
      <c r="D584" s="445" t="s">
        <v>1982</v>
      </c>
      <c r="E584" s="1121">
        <f>10^(-A_Davies*1^(2)*(I_Slim^(0.5)/(1+1.5*I_Slim^(0.5))-0.3*I_Slim))</f>
        <v>0.78540775368648974</v>
      </c>
      <c r="F584" s="941" t="s">
        <v>1981</v>
      </c>
      <c r="G584" s="941">
        <v>3</v>
      </c>
      <c r="H584" s="941" t="s">
        <v>11</v>
      </c>
      <c r="I584" s="1122"/>
    </row>
    <row r="585" spans="2:9" ht="18" hidden="1" customHeight="1" outlineLevel="1" x14ac:dyDescent="0.25">
      <c r="B585" s="378" t="s">
        <v>3288</v>
      </c>
      <c r="C585" s="445" t="s">
        <v>3289</v>
      </c>
      <c r="D585" s="445" t="s">
        <v>1983</v>
      </c>
      <c r="E585" s="1123">
        <f>10^(-A_Davies*2^(2)*(I_Slim^(0.5)/(1+1.5*I_Slim^(0.5))-0.3*I_Slim))</f>
        <v>0.3805228471391951</v>
      </c>
      <c r="F585" s="1124" t="s">
        <v>1981</v>
      </c>
      <c r="G585" s="1125">
        <v>3</v>
      </c>
      <c r="H585" s="445" t="s">
        <v>11</v>
      </c>
      <c r="I585" s="1126"/>
    </row>
    <row r="586" spans="2:9" ht="18" hidden="1" customHeight="1" outlineLevel="1" x14ac:dyDescent="0.25">
      <c r="B586" s="378" t="s">
        <v>3290</v>
      </c>
      <c r="C586" s="445" t="s">
        <v>3291</v>
      </c>
      <c r="D586" s="445" t="s">
        <v>1984</v>
      </c>
      <c r="E586" s="1123">
        <f>10^(-A_Davies*3^(2)*(I_Slim^(0.5)/(1+1.5*I_Slim^(0.5))-0.3*I_Slim))</f>
        <v>0.1137251869683729</v>
      </c>
      <c r="F586" s="1123" t="s">
        <v>1981</v>
      </c>
      <c r="G586" s="1125">
        <v>3</v>
      </c>
      <c r="H586" s="445" t="s">
        <v>11</v>
      </c>
      <c r="I586" s="1126"/>
    </row>
    <row r="587" spans="2:9" ht="18" hidden="1" customHeight="1" outlineLevel="1" x14ac:dyDescent="0.25">
      <c r="B587" s="378" t="s">
        <v>339</v>
      </c>
      <c r="C587" s="445" t="s">
        <v>340</v>
      </c>
      <c r="D587" s="445" t="s">
        <v>3292</v>
      </c>
      <c r="E587" s="1123">
        <f>IF(I_S&lt;I_Slim,10^(-A_Davies*1^(2)*(I_S^(0.5)/(1+1.5*I_S^(0.5))-0.3*I_S)),S_lopeIS_corr*I_S+y_fmono)</f>
        <v>0.87920810737341937</v>
      </c>
      <c r="F587" s="445" t="s">
        <v>1981</v>
      </c>
      <c r="G587" s="1125">
        <v>3</v>
      </c>
      <c r="H587" s="445" t="s">
        <v>11</v>
      </c>
      <c r="I587" s="1126"/>
    </row>
    <row r="588" spans="2:9" ht="18" hidden="1" customHeight="1" outlineLevel="1" x14ac:dyDescent="0.25">
      <c r="B588" s="378" t="s">
        <v>341</v>
      </c>
      <c r="C588" s="445" t="s">
        <v>342</v>
      </c>
      <c r="D588" s="445" t="s">
        <v>3293</v>
      </c>
      <c r="E588" s="1123">
        <f>IF(I_S&lt;I_Slim,10^(-A_Davies*2^(2)*(I_S^(0.5)/(1+1.5*I_S^(0.5))-0.3*I_S)),S_lopeIS_corr*I_S+y_fdi)</f>
        <v>0.59753966137355408</v>
      </c>
      <c r="F588" s="1124" t="s">
        <v>1981</v>
      </c>
      <c r="G588" s="1125">
        <v>3</v>
      </c>
      <c r="H588" s="445" t="s">
        <v>11</v>
      </c>
      <c r="I588" s="1126"/>
    </row>
    <row r="589" spans="2:9" ht="18.75" hidden="1" customHeight="1" outlineLevel="1" thickBot="1" x14ac:dyDescent="0.3">
      <c r="B589" s="379" t="s">
        <v>343</v>
      </c>
      <c r="C589" s="446" t="s">
        <v>344</v>
      </c>
      <c r="D589" s="446" t="s">
        <v>3294</v>
      </c>
      <c r="E589" s="1127">
        <f>IF(I_S&lt;I_Slim,10^(-A_Davies*3^(2)*(I_S^(0.5)/(1+1.5*I_S^(0.5))-0.3*I_S)),S_lopeIS_corr*I_S+y_ftri)</f>
        <v>0.31392446113440575</v>
      </c>
      <c r="F589" s="1127" t="s">
        <v>1981</v>
      </c>
      <c r="G589" s="1128">
        <v>3</v>
      </c>
      <c r="H589" s="446" t="s">
        <v>11</v>
      </c>
      <c r="I589" s="1129"/>
    </row>
    <row r="590" spans="2:9" ht="15.75" collapsed="1" thickBot="1" x14ac:dyDescent="0.3"/>
    <row r="591" spans="2:9" ht="15.75" thickBot="1" x14ac:dyDescent="0.3">
      <c r="C591" s="1130" t="s">
        <v>943</v>
      </c>
      <c r="D591" s="2051" t="s">
        <v>319</v>
      </c>
      <c r="E591" s="103"/>
    </row>
    <row r="592" spans="2:9" ht="15.75" thickBot="1" x14ac:dyDescent="0.3">
      <c r="B592" s="275" t="s">
        <v>0</v>
      </c>
      <c r="C592" s="217" t="s">
        <v>1</v>
      </c>
      <c r="D592" s="217" t="s">
        <v>5</v>
      </c>
      <c r="E592" s="217" t="s">
        <v>152</v>
      </c>
      <c r="F592" s="217" t="s">
        <v>2</v>
      </c>
      <c r="G592" s="217" t="s">
        <v>300</v>
      </c>
      <c r="H592" s="217" t="s">
        <v>116</v>
      </c>
      <c r="I592" s="951" t="s">
        <v>117</v>
      </c>
    </row>
    <row r="593" spans="1:9" ht="18" hidden="1" customHeight="1" outlineLevel="1" x14ac:dyDescent="0.25">
      <c r="B593" s="211" t="s">
        <v>944</v>
      </c>
      <c r="C593" s="1131" t="s">
        <v>2799</v>
      </c>
      <c r="D593" s="942" t="s">
        <v>3104</v>
      </c>
      <c r="E593" s="1132">
        <f>K_W_param*EXP(d_Hdiss_H2O/R__*(1/T_st_K-1/T_K))</f>
        <v>6.7545152316627035E-15</v>
      </c>
      <c r="F593" s="945" t="s">
        <v>1981</v>
      </c>
      <c r="G593" s="1133">
        <v>3</v>
      </c>
      <c r="H593" s="942" t="s">
        <v>11</v>
      </c>
      <c r="I593" s="1134"/>
    </row>
    <row r="594" spans="1:9" ht="18" hidden="1" customHeight="1" outlineLevel="1" x14ac:dyDescent="0.25">
      <c r="B594" s="707" t="s">
        <v>945</v>
      </c>
      <c r="C594" s="349" t="s">
        <v>2800</v>
      </c>
      <c r="D594" s="943" t="s">
        <v>1838</v>
      </c>
      <c r="E594" s="1135">
        <f>10^(-(3404.7/T_K-14.8435+T_K*0.03279))</f>
        <v>4.1392419480646479E-7</v>
      </c>
      <c r="F594" s="945" t="s">
        <v>1981</v>
      </c>
      <c r="G594" s="1136">
        <v>3</v>
      </c>
      <c r="H594" s="943" t="s">
        <v>11</v>
      </c>
      <c r="I594" s="1137"/>
    </row>
    <row r="595" spans="1:9" ht="18" hidden="1" customHeight="1" outlineLevel="1" x14ac:dyDescent="0.25">
      <c r="B595" s="707" t="s">
        <v>946</v>
      </c>
      <c r="C595" s="349" t="s">
        <v>2801</v>
      </c>
      <c r="D595" s="943" t="s">
        <v>1839</v>
      </c>
      <c r="E595" s="1135">
        <f>10^(-(2902.4/T_K-6.498+T_K*0.02379))</f>
        <v>4.1997949506593592E-11</v>
      </c>
      <c r="F595" s="945" t="s">
        <v>1981</v>
      </c>
      <c r="G595" s="1136">
        <v>3</v>
      </c>
      <c r="H595" s="943" t="s">
        <v>11</v>
      </c>
      <c r="I595" s="1137"/>
    </row>
    <row r="596" spans="1:9" ht="18" hidden="1" customHeight="1" outlineLevel="1" x14ac:dyDescent="0.25">
      <c r="B596" s="707" t="s">
        <v>947</v>
      </c>
      <c r="C596" s="349" t="s">
        <v>2802</v>
      </c>
      <c r="D596" s="943" t="s">
        <v>1840</v>
      </c>
      <c r="E596" s="1135">
        <f>10^(-(799.3/T_K-4.5535+T_K*0.01349))</f>
        <v>7.4527408036475567E-3</v>
      </c>
      <c r="F596" s="945" t="s">
        <v>1981</v>
      </c>
      <c r="G596" s="1136">
        <v>3</v>
      </c>
      <c r="H596" s="943" t="s">
        <v>11</v>
      </c>
      <c r="I596" s="1137"/>
    </row>
    <row r="597" spans="1:9" ht="18" hidden="1" customHeight="1" outlineLevel="1" x14ac:dyDescent="0.25">
      <c r="B597" s="707" t="s">
        <v>948</v>
      </c>
      <c r="C597" s="349" t="s">
        <v>2803</v>
      </c>
      <c r="D597" s="943" t="s">
        <v>1841</v>
      </c>
      <c r="E597" s="1135">
        <f>10^(-(1979.5/T_K-5.3541+T_K*0.01984))</f>
        <v>6.1022250881622208E-8</v>
      </c>
      <c r="F597" s="945" t="s">
        <v>1981</v>
      </c>
      <c r="G597" s="1136">
        <v>3</v>
      </c>
      <c r="H597" s="943" t="s">
        <v>11</v>
      </c>
      <c r="I597" s="1137"/>
    </row>
    <row r="598" spans="1:9" ht="18" hidden="1" customHeight="1" outlineLevel="1" x14ac:dyDescent="0.25">
      <c r="B598" s="707" t="s">
        <v>949</v>
      </c>
      <c r="C598" s="349" t="s">
        <v>2804</v>
      </c>
      <c r="D598" s="943" t="s">
        <v>3105</v>
      </c>
      <c r="E598" s="1135">
        <f>K_P3_param*EXP(d_Hdiss_PO4_3/R__*(1/T_st_K-1/T_K))</f>
        <v>3.7853629756273106E-13</v>
      </c>
      <c r="F598" s="1135" t="s">
        <v>1981</v>
      </c>
      <c r="G598" s="1136">
        <v>3</v>
      </c>
      <c r="H598" s="943" t="s">
        <v>11</v>
      </c>
      <c r="I598" s="1137"/>
    </row>
    <row r="599" spans="1:9" ht="18" hidden="1" customHeight="1" outlineLevel="1" x14ac:dyDescent="0.25">
      <c r="B599" s="707" t="s">
        <v>2830</v>
      </c>
      <c r="C599" s="349" t="s">
        <v>2805</v>
      </c>
      <c r="D599" s="943" t="s">
        <v>1842</v>
      </c>
      <c r="E599" s="1135">
        <f>10^(-(1170.5/T_K-3.165+T_K*0.0134))</f>
        <v>1.7536929986944336E-5</v>
      </c>
      <c r="F599" s="1135" t="s">
        <v>1981</v>
      </c>
      <c r="G599" s="1136">
        <v>3</v>
      </c>
      <c r="H599" s="943" t="s">
        <v>11</v>
      </c>
      <c r="I599" s="1137"/>
    </row>
    <row r="600" spans="1:9" ht="18" hidden="1" customHeight="1" outlineLevel="1" x14ac:dyDescent="0.25">
      <c r="B600" s="707" t="s">
        <v>2831</v>
      </c>
      <c r="C600" s="349" t="s">
        <v>2815</v>
      </c>
      <c r="D600" s="943" t="s">
        <v>3106</v>
      </c>
      <c r="E600" s="1135">
        <f>K_NO2_param*EXP(d_Hdiss_NO2/R__*(1/T_st_K-1/T_K))</f>
        <v>4.0484694649180739E-4</v>
      </c>
      <c r="F600" s="941" t="s">
        <v>1981</v>
      </c>
      <c r="G600" s="1136">
        <v>3</v>
      </c>
      <c r="H600" s="943" t="s">
        <v>11</v>
      </c>
      <c r="I600" s="1137"/>
    </row>
    <row r="601" spans="1:9" ht="18.75" hidden="1" customHeight="1" outlineLevel="1" thickBot="1" x14ac:dyDescent="0.3">
      <c r="B601" s="210" t="s">
        <v>2821</v>
      </c>
      <c r="C601" s="289" t="s">
        <v>2806</v>
      </c>
      <c r="D601" s="289" t="s">
        <v>1055</v>
      </c>
      <c r="E601" s="1138">
        <f>10^(-(2835.8/T_K-0.6322+0.00123*T_K))</f>
        <v>3.9635061259550542E-10</v>
      </c>
      <c r="F601" s="1138" t="s">
        <v>1981</v>
      </c>
      <c r="G601" s="1139">
        <v>3</v>
      </c>
      <c r="H601" s="289" t="s">
        <v>11</v>
      </c>
      <c r="I601" s="1140"/>
    </row>
    <row r="602" spans="1:9" ht="15.75" collapsed="1" thickBot="1" x14ac:dyDescent="0.3"/>
    <row r="603" spans="1:9" ht="15.75" thickBot="1" x14ac:dyDescent="0.3">
      <c r="C603" s="1118" t="s">
        <v>981</v>
      </c>
      <c r="D603" s="2051" t="s">
        <v>319</v>
      </c>
      <c r="E603" s="103"/>
    </row>
    <row r="604" spans="1:9" s="1730" customFormat="1" ht="18" customHeight="1" thickBot="1" x14ac:dyDescent="0.3">
      <c r="A604" s="930"/>
      <c r="B604" s="582" t="s">
        <v>0</v>
      </c>
      <c r="C604" s="1376" t="s">
        <v>1</v>
      </c>
      <c r="D604" s="1376" t="s">
        <v>5</v>
      </c>
      <c r="E604" s="1376" t="s">
        <v>152</v>
      </c>
      <c r="F604" s="1376" t="s">
        <v>2</v>
      </c>
      <c r="G604" s="1376" t="s">
        <v>300</v>
      </c>
      <c r="H604" s="1376" t="s">
        <v>116</v>
      </c>
      <c r="I604" s="1377" t="s">
        <v>117</v>
      </c>
    </row>
    <row r="605" spans="1:9" ht="18" hidden="1" customHeight="1" outlineLevel="1" x14ac:dyDescent="0.25">
      <c r="B605" s="236" t="s">
        <v>345</v>
      </c>
      <c r="C605" s="1131" t="s">
        <v>2807</v>
      </c>
      <c r="D605" s="944" t="s">
        <v>950</v>
      </c>
      <c r="E605" s="1141">
        <f>K_W_T/f_mono^2</f>
        <v>8.7379753867564399E-15</v>
      </c>
      <c r="F605" s="944" t="s">
        <v>1981</v>
      </c>
      <c r="G605" s="1142">
        <v>3</v>
      </c>
      <c r="H605" s="944" t="s">
        <v>11</v>
      </c>
      <c r="I605" s="1143"/>
    </row>
    <row r="606" spans="1:9" ht="18" hidden="1" customHeight="1" outlineLevel="1" x14ac:dyDescent="0.25">
      <c r="B606" s="707" t="s">
        <v>346</v>
      </c>
      <c r="C606" s="349" t="s">
        <v>2808</v>
      </c>
      <c r="D606" s="943" t="s">
        <v>951</v>
      </c>
      <c r="E606" s="1135">
        <f>K_C1_T/f_mono^2</f>
        <v>5.3547283589610541E-7</v>
      </c>
      <c r="F606" s="943" t="s">
        <v>1981</v>
      </c>
      <c r="G606" s="1136">
        <v>3</v>
      </c>
      <c r="H606" s="943" t="s">
        <v>11</v>
      </c>
      <c r="I606" s="1137"/>
    </row>
    <row r="607" spans="1:9" ht="18" hidden="1" customHeight="1" outlineLevel="1" x14ac:dyDescent="0.25">
      <c r="B607" s="707" t="s">
        <v>347</v>
      </c>
      <c r="C607" s="349" t="s">
        <v>2809</v>
      </c>
      <c r="D607" s="943" t="s">
        <v>952</v>
      </c>
      <c r="E607" s="1135">
        <f>K_C2_T/f_di</f>
        <v>7.0284789816384129E-11</v>
      </c>
      <c r="F607" s="943" t="s">
        <v>1981</v>
      </c>
      <c r="G607" s="1136">
        <v>3</v>
      </c>
      <c r="H607" s="943" t="s">
        <v>11</v>
      </c>
      <c r="I607" s="1137"/>
    </row>
    <row r="608" spans="1:9" ht="18" hidden="1" customHeight="1" outlineLevel="1" x14ac:dyDescent="0.25">
      <c r="B608" s="707" t="s">
        <v>356</v>
      </c>
      <c r="C608" s="349" t="s">
        <v>2810</v>
      </c>
      <c r="D608" s="943" t="s">
        <v>953</v>
      </c>
      <c r="E608" s="1135">
        <f>K_P1_T/f_mono^2</f>
        <v>9.6412345627529591E-3</v>
      </c>
      <c r="F608" s="943" t="s">
        <v>1981</v>
      </c>
      <c r="G608" s="1136">
        <v>3</v>
      </c>
      <c r="H608" s="943" t="s">
        <v>11</v>
      </c>
      <c r="I608" s="1137"/>
    </row>
    <row r="609" spans="1:9" ht="18" hidden="1" customHeight="1" outlineLevel="1" x14ac:dyDescent="0.25">
      <c r="B609" s="707" t="s">
        <v>357</v>
      </c>
      <c r="C609" s="349" t="s">
        <v>2811</v>
      </c>
      <c r="D609" s="943" t="s">
        <v>954</v>
      </c>
      <c r="E609" s="1135">
        <f>K_P2_T/f_di</f>
        <v>1.0212251140175602E-7</v>
      </c>
      <c r="F609" s="943" t="s">
        <v>1981</v>
      </c>
      <c r="G609" s="1136">
        <v>3</v>
      </c>
      <c r="H609" s="943" t="s">
        <v>11</v>
      </c>
      <c r="I609" s="1137"/>
    </row>
    <row r="610" spans="1:9" ht="18" hidden="1" customHeight="1" outlineLevel="1" x14ac:dyDescent="0.25">
      <c r="B610" s="707" t="s">
        <v>358</v>
      </c>
      <c r="C610" s="349" t="s">
        <v>2812</v>
      </c>
      <c r="D610" s="943" t="s">
        <v>955</v>
      </c>
      <c r="E610" s="1135">
        <f>K_P3_T/(f_mono*f_tri)*f_di</f>
        <v>8.1951597738298681E-13</v>
      </c>
      <c r="F610" s="1135" t="s">
        <v>1981</v>
      </c>
      <c r="G610" s="1136">
        <v>3</v>
      </c>
      <c r="H610" s="943" t="s">
        <v>11</v>
      </c>
      <c r="I610" s="1137"/>
    </row>
    <row r="611" spans="1:9" ht="18" hidden="1" customHeight="1" outlineLevel="1" x14ac:dyDescent="0.25">
      <c r="B611" s="1144" t="s">
        <v>2816</v>
      </c>
      <c r="C611" s="349" t="s">
        <v>2813</v>
      </c>
      <c r="D611" s="349" t="s">
        <v>2817</v>
      </c>
      <c r="E611" s="1135">
        <f>K_Ac_T/f_mono^2</f>
        <v>2.268664105854261E-5</v>
      </c>
      <c r="F611" s="1135" t="s">
        <v>1981</v>
      </c>
      <c r="G611" s="1136">
        <v>3</v>
      </c>
      <c r="H611" s="943" t="s">
        <v>11</v>
      </c>
      <c r="I611" s="1137"/>
    </row>
    <row r="612" spans="1:9" s="104" customFormat="1" ht="18" hidden="1" customHeight="1" outlineLevel="1" x14ac:dyDescent="0.25">
      <c r="B612" s="1144" t="s">
        <v>2818</v>
      </c>
      <c r="C612" s="349" t="s">
        <v>2881</v>
      </c>
      <c r="D612" s="349" t="s">
        <v>2819</v>
      </c>
      <c r="E612" s="1135">
        <f>K_NO2_T/f_mono^2</f>
        <v>5.2373005797162243E-4</v>
      </c>
      <c r="F612" s="941" t="s">
        <v>1981</v>
      </c>
      <c r="G612" s="1136">
        <v>3</v>
      </c>
      <c r="H612" s="943" t="s">
        <v>11</v>
      </c>
      <c r="I612" s="1145"/>
    </row>
    <row r="613" spans="1:9" ht="18.75" hidden="1" customHeight="1" outlineLevel="1" thickBot="1" x14ac:dyDescent="0.3">
      <c r="B613" s="1146" t="s">
        <v>2820</v>
      </c>
      <c r="C613" s="289" t="s">
        <v>2814</v>
      </c>
      <c r="D613" s="1147" t="s">
        <v>2821</v>
      </c>
      <c r="E613" s="1138">
        <f>K_NH3_T</f>
        <v>3.9635061259550542E-10</v>
      </c>
      <c r="F613" s="1138" t="s">
        <v>1981</v>
      </c>
      <c r="G613" s="1139">
        <v>3</v>
      </c>
      <c r="H613" s="289" t="s">
        <v>11</v>
      </c>
      <c r="I613" s="1140"/>
    </row>
    <row r="614" spans="1:9" ht="15.75" collapsed="1" thickBot="1" x14ac:dyDescent="0.3"/>
    <row r="615" spans="1:9" ht="15.75" thickBot="1" x14ac:dyDescent="0.3">
      <c r="C615" s="1118" t="s">
        <v>1315</v>
      </c>
      <c r="D615" s="2051" t="s">
        <v>319</v>
      </c>
      <c r="E615" s="103"/>
    </row>
    <row r="616" spans="1:9" s="1730" customFormat="1" ht="18" customHeight="1" thickBot="1" x14ac:dyDescent="0.3">
      <c r="A616" s="930"/>
      <c r="B616" s="582" t="s">
        <v>0</v>
      </c>
      <c r="C616" s="1376" t="s">
        <v>1</v>
      </c>
      <c r="D616" s="1376" t="s">
        <v>5</v>
      </c>
      <c r="E616" s="1376" t="s">
        <v>152</v>
      </c>
      <c r="F616" s="1376" t="s">
        <v>2</v>
      </c>
      <c r="G616" s="1376" t="s">
        <v>300</v>
      </c>
      <c r="H616" s="1376" t="s">
        <v>116</v>
      </c>
      <c r="I616" s="1377" t="s">
        <v>117</v>
      </c>
    </row>
    <row r="617" spans="1:9" ht="18" hidden="1" customHeight="1" outlineLevel="1" x14ac:dyDescent="0.25">
      <c r="B617" s="1148" t="s">
        <v>1325</v>
      </c>
      <c r="C617" s="1149" t="s">
        <v>2882</v>
      </c>
      <c r="D617" s="2470" t="s">
        <v>5551</v>
      </c>
      <c r="E617" s="1150">
        <f>K_sp_CaCO3_param/f_di</f>
        <v>7.4753798120141423E-7</v>
      </c>
      <c r="F617" s="1150" t="s">
        <v>1981</v>
      </c>
      <c r="G617" s="1151">
        <v>3</v>
      </c>
      <c r="H617" s="1750" t="s">
        <v>11</v>
      </c>
      <c r="I617" s="1152"/>
    </row>
    <row r="618" spans="1:9" ht="18.75" hidden="1" customHeight="1" outlineLevel="1" x14ac:dyDescent="0.25">
      <c r="B618" s="1153" t="s">
        <v>1322</v>
      </c>
      <c r="C618" s="1154" t="s">
        <v>2883</v>
      </c>
      <c r="D618" s="2471" t="s">
        <v>5552</v>
      </c>
      <c r="E618" s="1135">
        <f>K_sp_STR_param/(f_di^(1/3)*f_mono^(1/3)*f_tri^(1/3))</f>
        <v>1.2614964468037164E-13</v>
      </c>
      <c r="F618" s="1135" t="s">
        <v>1981</v>
      </c>
      <c r="G618" s="1136">
        <v>3</v>
      </c>
      <c r="H618" s="943" t="s">
        <v>11</v>
      </c>
      <c r="I618" s="1137"/>
    </row>
    <row r="619" spans="1:9" ht="18.75" hidden="1" customHeight="1" outlineLevel="1" x14ac:dyDescent="0.25">
      <c r="B619" s="1153" t="s">
        <v>1323</v>
      </c>
      <c r="C619" s="1154" t="s">
        <v>2884</v>
      </c>
      <c r="D619" s="2471" t="s">
        <v>5553</v>
      </c>
      <c r="E619" s="1135">
        <f>K_sp_Vivi_param/(f_di^(3/5)*f_tri^(2/5))</f>
        <v>2.1649600914352904E-36</v>
      </c>
      <c r="F619" s="1135" t="s">
        <v>1981</v>
      </c>
      <c r="G619" s="1136">
        <v>3</v>
      </c>
      <c r="H619" s="943" t="s">
        <v>11</v>
      </c>
      <c r="I619" s="1137"/>
    </row>
    <row r="620" spans="1:9" ht="18.75" hidden="1" customHeight="1" outlineLevel="1" x14ac:dyDescent="0.25">
      <c r="B620" s="1153" t="s">
        <v>1324</v>
      </c>
      <c r="C620" s="1154" t="s">
        <v>2885</v>
      </c>
      <c r="D620" s="2471" t="s">
        <v>5554</v>
      </c>
      <c r="E620" s="1135">
        <f>K_sp_ACP_param/(f_di^(3/5)*f_tri^(2/5))</f>
        <v>7.5067144345969344E-26</v>
      </c>
      <c r="F620" s="1135" t="s">
        <v>1981</v>
      </c>
      <c r="G620" s="1136">
        <v>3</v>
      </c>
      <c r="H620" s="943" t="s">
        <v>11</v>
      </c>
      <c r="I620" s="1137"/>
    </row>
    <row r="621" spans="1:9" ht="19.5" hidden="1" customHeight="1" outlineLevel="1" thickBot="1" x14ac:dyDescent="0.3">
      <c r="B621" s="1155" t="s">
        <v>4392</v>
      </c>
      <c r="C621" s="1156" t="s">
        <v>4393</v>
      </c>
      <c r="D621" s="2472" t="s">
        <v>4394</v>
      </c>
      <c r="E621" s="1138">
        <f>K_sp_BSH_param/(f_di^(1/2)*f_di^(1/2))</f>
        <v>4.2037149897892104E-7</v>
      </c>
      <c r="F621" s="1138" t="s">
        <v>1981</v>
      </c>
      <c r="G621" s="1139">
        <v>3</v>
      </c>
      <c r="H621" s="289" t="s">
        <v>11</v>
      </c>
      <c r="I621" s="1140"/>
    </row>
    <row r="622" spans="1:9" ht="15.75" collapsed="1" thickBot="1" x14ac:dyDescent="0.3">
      <c r="D622" s="2224"/>
    </row>
    <row r="623" spans="1:9" ht="15.75" thickBot="1" x14ac:dyDescent="0.3">
      <c r="C623" s="1118" t="s">
        <v>394</v>
      </c>
      <c r="D623" s="2051" t="s">
        <v>319</v>
      </c>
      <c r="E623" s="103"/>
    </row>
    <row r="624" spans="1:9" ht="15.75" thickBot="1" x14ac:dyDescent="0.3">
      <c r="B624" s="953" t="s">
        <v>0</v>
      </c>
      <c r="C624" s="928" t="s">
        <v>1</v>
      </c>
      <c r="D624" s="928" t="s">
        <v>5</v>
      </c>
      <c r="E624" s="928" t="s">
        <v>152</v>
      </c>
      <c r="F624" s="928" t="s">
        <v>2</v>
      </c>
      <c r="G624" s="928" t="s">
        <v>300</v>
      </c>
      <c r="H624" s="928" t="s">
        <v>116</v>
      </c>
      <c r="I624" s="954" t="s">
        <v>117</v>
      </c>
    </row>
    <row r="625" spans="2:10" ht="18.75" hidden="1" customHeight="1" outlineLevel="1" x14ac:dyDescent="0.25">
      <c r="B625" s="1157" t="s">
        <v>894</v>
      </c>
      <c r="C625" s="945" t="s">
        <v>895</v>
      </c>
      <c r="D625" s="945" t="s">
        <v>1871</v>
      </c>
      <c r="E625" s="1158">
        <f>conc_Hp_Ieq*K_P2/(conc_Hp_Ieq^3+conc_Hp_Ieq^2*K_P1+K_P2*conc_Hp_Ieq*K_P1+K_P2*K_P1*K_P3)*K_P1*S_PO4/(A_MP*1000)</f>
        <v>2.5493518636920041E-8</v>
      </c>
      <c r="F625" s="945" t="s">
        <v>384</v>
      </c>
      <c r="G625" s="945">
        <v>3</v>
      </c>
      <c r="H625" s="945" t="s">
        <v>11</v>
      </c>
      <c r="I625" s="1159"/>
    </row>
    <row r="626" spans="2:10" ht="18.75" hidden="1" customHeight="1" outlineLevel="1" x14ac:dyDescent="0.25">
      <c r="B626" s="707" t="s">
        <v>896</v>
      </c>
      <c r="C626" s="943" t="s">
        <v>897</v>
      </c>
      <c r="D626" s="943" t="s">
        <v>1872</v>
      </c>
      <c r="E626" s="1135">
        <f>conc_Hp_Ieq^2*K_P1*S_PO4/(A_MP*1000)/(conc_Hp_Ieq^3+conc_Hp_Ieq^2*K_P1+K_P2*conc_Hp_Ieq*K_P1+K_P2*K_P1*K_P3)</f>
        <v>1.6010694300937341E-5</v>
      </c>
      <c r="F626" s="945" t="s">
        <v>384</v>
      </c>
      <c r="G626" s="943">
        <v>3</v>
      </c>
      <c r="H626" s="943" t="s">
        <v>11</v>
      </c>
      <c r="I626" s="1137"/>
    </row>
    <row r="627" spans="2:10" ht="18.75" hidden="1" customHeight="1" outlineLevel="1" x14ac:dyDescent="0.25">
      <c r="B627" s="707" t="s">
        <v>898</v>
      </c>
      <c r="C627" s="943" t="s">
        <v>899</v>
      </c>
      <c r="D627" s="943" t="s">
        <v>2832</v>
      </c>
      <c r="E627" s="1135">
        <f>S_VFA/(4*A_MO*1000)*K_Ac/(conc_Hp_Ieq+K_Ac)</f>
        <v>4.0829449054993815E-8</v>
      </c>
      <c r="F627" s="945" t="s">
        <v>384</v>
      </c>
      <c r="G627" s="943">
        <v>3</v>
      </c>
      <c r="H627" s="943" t="s">
        <v>11</v>
      </c>
      <c r="I627" s="1137"/>
    </row>
    <row r="628" spans="2:10" ht="18.75" hidden="1" customHeight="1" outlineLevel="1" x14ac:dyDescent="0.25">
      <c r="B628" s="707" t="s">
        <v>2351</v>
      </c>
      <c r="C628" s="943" t="s">
        <v>2352</v>
      </c>
      <c r="D628" s="943" t="s">
        <v>2833</v>
      </c>
      <c r="E628" s="1135">
        <f>K_NO2*S_NO2/(A_MN*1000)/(conc_Hp_Ieq+K_NO2)</f>
        <v>6.3605297319967442E-6</v>
      </c>
      <c r="F628" s="941" t="s">
        <v>384</v>
      </c>
      <c r="G628" s="943">
        <v>3</v>
      </c>
      <c r="H628" s="943" t="s">
        <v>11</v>
      </c>
      <c r="I628" s="1137"/>
    </row>
    <row r="629" spans="2:10" ht="38.25" hidden="1" customHeight="1" outlineLevel="1" thickBot="1" x14ac:dyDescent="0.3">
      <c r="B629" s="210" t="s">
        <v>1279</v>
      </c>
      <c r="C629" s="289" t="s">
        <v>394</v>
      </c>
      <c r="D629" s="289" t="s">
        <v>2353</v>
      </c>
      <c r="E629" s="1160">
        <f>(3*conc_PO43m_I+2*conc_HPO42m_I)-2*conc_HPO42m_Ieq+conc_H2PO4m_I-conc_H2PO4m_Ieq+conc_OHm_I+conc_NO2m_I-conc_NO2m_Ieq+conc_NH3_I+2*conc_CO32m_I+conc_HCO3m_I+conc_Acm_I-conc_Acm_Ieq-conc_Hp_I</f>
        <v>5.5299706224952441E-3</v>
      </c>
      <c r="F629" s="1160" t="s">
        <v>1873</v>
      </c>
      <c r="G629" s="289">
        <v>4</v>
      </c>
      <c r="H629" s="289" t="s">
        <v>11</v>
      </c>
      <c r="I629" s="1140"/>
    </row>
    <row r="630" spans="2:10" s="112" customFormat="1" ht="15.75" collapsed="1" thickBot="1" x14ac:dyDescent="0.3"/>
    <row r="631" spans="2:10" s="112" customFormat="1" ht="15.75" thickBot="1" x14ac:dyDescent="0.3">
      <c r="C631" s="1263" t="s">
        <v>4620</v>
      </c>
      <c r="D631" s="1926" t="s">
        <v>319</v>
      </c>
    </row>
    <row r="632" spans="2:10" s="112" customFormat="1" ht="15.75" thickBot="1" x14ac:dyDescent="0.3">
      <c r="B632" s="662" t="s">
        <v>0</v>
      </c>
      <c r="C632" s="1264" t="s">
        <v>1</v>
      </c>
      <c r="D632" s="1264" t="s">
        <v>5</v>
      </c>
      <c r="E632" s="1264" t="s">
        <v>152</v>
      </c>
      <c r="F632" s="1264" t="s">
        <v>2</v>
      </c>
      <c r="G632" s="1264" t="s">
        <v>300</v>
      </c>
      <c r="H632" s="1264" t="s">
        <v>116</v>
      </c>
      <c r="I632" s="1265" t="s">
        <v>117</v>
      </c>
    </row>
    <row r="633" spans="2:10" s="112" customFormat="1" ht="18" hidden="1" customHeight="1" outlineLevel="1" x14ac:dyDescent="0.25">
      <c r="B633" s="418" t="s">
        <v>15</v>
      </c>
      <c r="C633" s="316" t="s">
        <v>379</v>
      </c>
      <c r="D633" s="316" t="s">
        <v>4623</v>
      </c>
      <c r="E633" s="1762">
        <f>I_Sinput_AS</f>
        <v>0.02</v>
      </c>
      <c r="F633" s="1268" t="s">
        <v>381</v>
      </c>
      <c r="G633" s="1268">
        <v>3</v>
      </c>
      <c r="H633" s="316" t="s">
        <v>4634</v>
      </c>
      <c r="I633" s="377"/>
    </row>
    <row r="634" spans="2:10" s="112" customFormat="1" ht="18" hidden="1" customHeight="1" outlineLevel="1" x14ac:dyDescent="0.25">
      <c r="B634" s="1278" t="s">
        <v>15</v>
      </c>
      <c r="C634" s="1279" t="s">
        <v>379</v>
      </c>
      <c r="D634" s="1279" t="s">
        <v>4624</v>
      </c>
      <c r="E634" s="1290">
        <f>I_Sinput_DIG</f>
        <v>0.1</v>
      </c>
      <c r="F634" s="1279" t="s">
        <v>381</v>
      </c>
      <c r="G634" s="1279">
        <v>3</v>
      </c>
      <c r="H634" s="1279" t="s">
        <v>4627</v>
      </c>
      <c r="I634" s="1282"/>
    </row>
    <row r="635" spans="2:10" s="112" customFormat="1" ht="18.75" hidden="1" customHeight="1" outlineLevel="1" thickBot="1" x14ac:dyDescent="0.3">
      <c r="B635" s="1269" t="s">
        <v>15</v>
      </c>
      <c r="C635" s="1271" t="s">
        <v>379</v>
      </c>
      <c r="D635" s="1271" t="s">
        <v>4632</v>
      </c>
      <c r="E635" s="1272">
        <f>I_Sinput_sidestream</f>
        <v>0.1</v>
      </c>
      <c r="F635" s="1271" t="s">
        <v>381</v>
      </c>
      <c r="G635" s="1271">
        <v>3</v>
      </c>
      <c r="H635" s="1271" t="s">
        <v>4633</v>
      </c>
      <c r="I635" s="1273"/>
      <c r="J635" s="1730"/>
    </row>
    <row r="636" spans="2:10" s="1730" customFormat="1" ht="18" customHeight="1" collapsed="1" thickBot="1" x14ac:dyDescent="0.3">
      <c r="B636" s="4"/>
      <c r="C636" s="4"/>
      <c r="D636" s="4"/>
      <c r="E636" s="2253"/>
      <c r="F636" s="4"/>
      <c r="G636" s="4"/>
      <c r="H636" s="4"/>
    </row>
    <row r="637" spans="2:10" s="1730" customFormat="1" ht="18" customHeight="1" thickBot="1" x14ac:dyDescent="0.3">
      <c r="B637" s="112"/>
      <c r="C637" s="1291" t="s">
        <v>4620</v>
      </c>
      <c r="D637" s="14" t="s">
        <v>319</v>
      </c>
      <c r="E637" s="14"/>
      <c r="F637" s="112"/>
      <c r="G637" s="112"/>
      <c r="H637" s="112"/>
      <c r="I637" s="112"/>
    </row>
    <row r="638" spans="2:10" s="1730" customFormat="1" ht="18" customHeight="1" thickBot="1" x14ac:dyDescent="0.3">
      <c r="B638" s="662" t="s">
        <v>0</v>
      </c>
      <c r="C638" s="1264" t="s">
        <v>1</v>
      </c>
      <c r="D638" s="1264" t="s">
        <v>5</v>
      </c>
      <c r="E638" s="1264" t="s">
        <v>152</v>
      </c>
      <c r="F638" s="1264" t="s">
        <v>2</v>
      </c>
      <c r="G638" s="1264" t="s">
        <v>300</v>
      </c>
      <c r="H638" s="1264" t="s">
        <v>116</v>
      </c>
      <c r="I638" s="1265" t="s">
        <v>117</v>
      </c>
    </row>
    <row r="639" spans="2:10" s="112" customFormat="1" ht="18" hidden="1" customHeight="1" outlineLevel="1" x14ac:dyDescent="0.25">
      <c r="B639" s="1292" t="s">
        <v>15</v>
      </c>
      <c r="C639" s="316" t="s">
        <v>379</v>
      </c>
      <c r="D639" s="316" t="s">
        <v>4623</v>
      </c>
      <c r="E639" s="1762">
        <f>I_Sinput_AS</f>
        <v>0.02</v>
      </c>
      <c r="F639" s="1268" t="s">
        <v>381</v>
      </c>
      <c r="G639" s="1268">
        <v>3</v>
      </c>
      <c r="H639" s="316" t="s">
        <v>4635</v>
      </c>
      <c r="I639" s="377"/>
      <c r="J639" s="1730"/>
    </row>
    <row r="640" spans="2:10" s="112" customFormat="1" ht="18" hidden="1" customHeight="1" outlineLevel="1" x14ac:dyDescent="0.25">
      <c r="B640" s="1278" t="s">
        <v>15</v>
      </c>
      <c r="C640" s="1279" t="s">
        <v>379</v>
      </c>
      <c r="D640" s="1279" t="s">
        <v>4624</v>
      </c>
      <c r="E640" s="1290">
        <f>I_Sinput_DIG</f>
        <v>0.1</v>
      </c>
      <c r="F640" s="1279" t="s">
        <v>381</v>
      </c>
      <c r="G640" s="1279">
        <v>3</v>
      </c>
      <c r="H640" s="1279" t="s">
        <v>4636</v>
      </c>
      <c r="I640" s="1282"/>
      <c r="J640" s="1730"/>
    </row>
    <row r="641" spans="2:11" s="112" customFormat="1" ht="18.75" hidden="1" customHeight="1" outlineLevel="1" thickBot="1" x14ac:dyDescent="0.3">
      <c r="B641" s="1269" t="s">
        <v>15</v>
      </c>
      <c r="C641" s="1271" t="s">
        <v>379</v>
      </c>
      <c r="D641" s="1271" t="s">
        <v>4632</v>
      </c>
      <c r="E641" s="1272">
        <f>I_Sinput_sidestream</f>
        <v>0.1</v>
      </c>
      <c r="F641" s="1271" t="s">
        <v>381</v>
      </c>
      <c r="G641" s="1271">
        <v>3</v>
      </c>
      <c r="H641" s="1271" t="s">
        <v>4637</v>
      </c>
      <c r="I641" s="1273"/>
      <c r="J641" s="1730"/>
    </row>
    <row r="642" spans="2:11" s="112" customFormat="1" ht="15.75" collapsed="1" thickBot="1" x14ac:dyDescent="0.3">
      <c r="E642" s="2257"/>
    </row>
    <row r="643" spans="2:11" s="112" customFormat="1" ht="15.75" thickBot="1" x14ac:dyDescent="0.3">
      <c r="B643" s="112" t="s">
        <v>373</v>
      </c>
      <c r="C643" s="1266" t="s">
        <v>2129</v>
      </c>
      <c r="D643" s="14" t="s">
        <v>319</v>
      </c>
    </row>
    <row r="644" spans="2:11" s="112" customFormat="1" ht="15.75" thickBot="1" x14ac:dyDescent="0.3">
      <c r="B644" s="1267" t="s">
        <v>0</v>
      </c>
      <c r="C644" s="1264" t="s">
        <v>1</v>
      </c>
      <c r="D644" s="1264" t="s">
        <v>374</v>
      </c>
      <c r="E644" s="1264" t="s">
        <v>152</v>
      </c>
      <c r="F644" s="663" t="s">
        <v>375</v>
      </c>
      <c r="G644" s="1264" t="s">
        <v>376</v>
      </c>
      <c r="H644" s="663" t="s">
        <v>2</v>
      </c>
      <c r="I644" s="663" t="s">
        <v>300</v>
      </c>
      <c r="J644" s="663" t="s">
        <v>116</v>
      </c>
      <c r="K644" s="1265" t="s">
        <v>117</v>
      </c>
    </row>
    <row r="645" spans="2:11" s="112" customFormat="1" ht="15" hidden="1" customHeight="1" outlineLevel="1" x14ac:dyDescent="0.25">
      <c r="B645" s="418" t="s">
        <v>11</v>
      </c>
      <c r="C645" s="316" t="s">
        <v>11</v>
      </c>
      <c r="D645" s="316" t="s">
        <v>377</v>
      </c>
      <c r="E645" s="1762">
        <v>7.2</v>
      </c>
      <c r="F645" s="1268">
        <v>2</v>
      </c>
      <c r="G645" s="1268">
        <v>12</v>
      </c>
      <c r="H645" s="316" t="s">
        <v>378</v>
      </c>
      <c r="I645" s="316">
        <v>2</v>
      </c>
      <c r="J645" s="316" t="s">
        <v>1248</v>
      </c>
      <c r="K645" s="377"/>
    </row>
    <row r="646" spans="2:11" s="112" customFormat="1" ht="15.75" hidden="1" customHeight="1" outlineLevel="1" thickBot="1" x14ac:dyDescent="0.3">
      <c r="B646" s="1269" t="s">
        <v>15</v>
      </c>
      <c r="C646" s="1271" t="s">
        <v>379</v>
      </c>
      <c r="D646" s="1271" t="s">
        <v>380</v>
      </c>
      <c r="E646" s="1272">
        <v>0.01</v>
      </c>
      <c r="F646" s="1271">
        <v>0</v>
      </c>
      <c r="G646" s="1271">
        <v>0.5</v>
      </c>
      <c r="H646" s="1271" t="s">
        <v>381</v>
      </c>
      <c r="I646" s="1271">
        <v>2</v>
      </c>
      <c r="J646" s="1271" t="s">
        <v>4622</v>
      </c>
      <c r="K646" s="1273"/>
    </row>
    <row r="647" spans="2:11" s="112" customFormat="1" ht="15.75" collapsed="1" thickBot="1" x14ac:dyDescent="0.3"/>
    <row r="648" spans="2:11" s="112" customFormat="1" ht="15.75" thickBot="1" x14ac:dyDescent="0.3">
      <c r="B648" s="112" t="s">
        <v>373</v>
      </c>
      <c r="C648" s="1266" t="s">
        <v>3344</v>
      </c>
      <c r="D648" s="14" t="s">
        <v>319</v>
      </c>
    </row>
    <row r="649" spans="2:11" s="112" customFormat="1" ht="15.75" thickBot="1" x14ac:dyDescent="0.3">
      <c r="B649" s="1267" t="s">
        <v>0</v>
      </c>
      <c r="C649" s="663" t="s">
        <v>1</v>
      </c>
      <c r="D649" s="1264" t="s">
        <v>374</v>
      </c>
      <c r="E649" s="663" t="s">
        <v>152</v>
      </c>
      <c r="F649" s="663" t="s">
        <v>375</v>
      </c>
      <c r="G649" s="1264" t="s">
        <v>376</v>
      </c>
      <c r="H649" s="663" t="s">
        <v>2</v>
      </c>
      <c r="I649" s="663" t="s">
        <v>300</v>
      </c>
      <c r="J649" s="1264" t="s">
        <v>116</v>
      </c>
      <c r="K649" s="1265" t="s">
        <v>117</v>
      </c>
    </row>
    <row r="650" spans="2:11" s="102" customFormat="1" ht="18" hidden="1" customHeight="1" outlineLevel="1" x14ac:dyDescent="0.25">
      <c r="B650" s="1274" t="s">
        <v>2914</v>
      </c>
      <c r="C650" s="1275" t="s">
        <v>2915</v>
      </c>
      <c r="D650" s="1275" t="s">
        <v>377</v>
      </c>
      <c r="E650" s="1276">
        <v>8.6899999999999998E-3</v>
      </c>
      <c r="F650" s="1268">
        <v>-10000</v>
      </c>
      <c r="G650" s="1268">
        <v>10000</v>
      </c>
      <c r="H650" s="1275" t="s">
        <v>384</v>
      </c>
      <c r="I650" s="1275">
        <v>2</v>
      </c>
      <c r="J650" s="1275" t="s">
        <v>3343</v>
      </c>
      <c r="K650" s="1277" t="s">
        <v>382</v>
      </c>
    </row>
    <row r="651" spans="2:11" s="112" customFormat="1" ht="15" hidden="1" customHeight="1" outlineLevel="1" x14ac:dyDescent="0.25">
      <c r="B651" s="1278" t="s">
        <v>15</v>
      </c>
      <c r="C651" s="1279" t="s">
        <v>379</v>
      </c>
      <c r="D651" s="1279" t="s">
        <v>380</v>
      </c>
      <c r="E651" s="1280">
        <v>0.01</v>
      </c>
      <c r="F651" s="1281" t="s">
        <v>383</v>
      </c>
      <c r="G651" s="1279">
        <v>0.5</v>
      </c>
      <c r="H651" s="1279" t="s">
        <v>381</v>
      </c>
      <c r="I651" s="1279">
        <v>2</v>
      </c>
      <c r="J651" s="1279" t="s">
        <v>3343</v>
      </c>
      <c r="K651" s="1282" t="s">
        <v>385</v>
      </c>
    </row>
    <row r="652" spans="2:11" s="112" customFormat="1" ht="18.75" hidden="1" customHeight="1" outlineLevel="1" thickBot="1" x14ac:dyDescent="0.3">
      <c r="B652" s="1269" t="s">
        <v>386</v>
      </c>
      <c r="C652" s="1271" t="s">
        <v>299</v>
      </c>
      <c r="D652" s="1271" t="s">
        <v>388</v>
      </c>
      <c r="E652" s="1272">
        <v>100</v>
      </c>
      <c r="F652" s="1271">
        <v>0</v>
      </c>
      <c r="G652" s="1271">
        <v>10000</v>
      </c>
      <c r="H652" s="1271" t="s">
        <v>1210</v>
      </c>
      <c r="I652" s="1271">
        <v>2</v>
      </c>
      <c r="J652" s="1271" t="s">
        <v>3343</v>
      </c>
      <c r="K652" s="1273" t="s">
        <v>387</v>
      </c>
    </row>
    <row r="653" spans="2:11" s="112" customFormat="1" ht="15.75" collapsed="1" thickBot="1" x14ac:dyDescent="0.3"/>
    <row r="654" spans="2:11" s="112" customFormat="1" ht="15.75" thickBot="1" x14ac:dyDescent="0.3">
      <c r="B654" s="112" t="s">
        <v>373</v>
      </c>
      <c r="C654" s="1266" t="s">
        <v>3340</v>
      </c>
      <c r="D654" s="14" t="s">
        <v>319</v>
      </c>
    </row>
    <row r="655" spans="2:11" s="112" customFormat="1" ht="15.75" thickBot="1" x14ac:dyDescent="0.3">
      <c r="B655" s="1267" t="s">
        <v>0</v>
      </c>
      <c r="C655" s="663" t="s">
        <v>1</v>
      </c>
      <c r="D655" s="1264" t="s">
        <v>374</v>
      </c>
      <c r="E655" s="663" t="s">
        <v>152</v>
      </c>
      <c r="F655" s="663" t="s">
        <v>375</v>
      </c>
      <c r="G655" s="1264" t="s">
        <v>376</v>
      </c>
      <c r="H655" s="663" t="s">
        <v>2</v>
      </c>
      <c r="I655" s="663" t="s">
        <v>300</v>
      </c>
      <c r="J655" s="1264" t="s">
        <v>116</v>
      </c>
      <c r="K655" s="1265" t="s">
        <v>117</v>
      </c>
    </row>
    <row r="656" spans="2:11" s="102" customFormat="1" ht="18" hidden="1" customHeight="1" outlineLevel="1" x14ac:dyDescent="0.25">
      <c r="B656" s="1274" t="s">
        <v>2914</v>
      </c>
      <c r="C656" s="1275" t="s">
        <v>2915</v>
      </c>
      <c r="D656" s="1275" t="s">
        <v>377</v>
      </c>
      <c r="E656" s="1276">
        <v>8.6899999999999998E-3</v>
      </c>
      <c r="F656" s="1268">
        <v>-10000</v>
      </c>
      <c r="G656" s="1268">
        <v>10000</v>
      </c>
      <c r="H656" s="1275" t="s">
        <v>384</v>
      </c>
      <c r="I656" s="1275">
        <v>2</v>
      </c>
      <c r="J656" s="1275" t="s">
        <v>3341</v>
      </c>
      <c r="K656" s="1277" t="s">
        <v>382</v>
      </c>
    </row>
    <row r="657" spans="2:11" s="112" customFormat="1" ht="15.75" hidden="1" customHeight="1" outlineLevel="1" thickBot="1" x14ac:dyDescent="0.3">
      <c r="B657" s="1269" t="s">
        <v>15</v>
      </c>
      <c r="C657" s="1271" t="s">
        <v>379</v>
      </c>
      <c r="D657" s="1271" t="s">
        <v>380</v>
      </c>
      <c r="E657" s="1283">
        <v>0.01</v>
      </c>
      <c r="F657" s="1284">
        <v>0</v>
      </c>
      <c r="G657" s="1271">
        <v>0.5</v>
      </c>
      <c r="H657" s="1271" t="s">
        <v>381</v>
      </c>
      <c r="I657" s="1271">
        <v>2</v>
      </c>
      <c r="J657" s="1270" t="s">
        <v>5126</v>
      </c>
      <c r="K657" s="1273" t="s">
        <v>385</v>
      </c>
    </row>
    <row r="658" spans="2:11" ht="15.75" collapsed="1" thickBot="1" x14ac:dyDescent="0.3">
      <c r="E658" s="103"/>
    </row>
    <row r="659" spans="2:11" ht="15.75" thickBot="1" x14ac:dyDescent="0.3">
      <c r="C659" s="1166" t="s">
        <v>3355</v>
      </c>
      <c r="D659" s="1375" t="s">
        <v>319</v>
      </c>
      <c r="E659" s="2051"/>
    </row>
    <row r="660" spans="2:11" ht="15.75" thickBot="1" x14ac:dyDescent="0.3">
      <c r="B660" s="955" t="s">
        <v>0</v>
      </c>
      <c r="C660" s="415" t="s">
        <v>1</v>
      </c>
      <c r="D660" s="415" t="s">
        <v>5</v>
      </c>
      <c r="E660" s="415" t="s">
        <v>152</v>
      </c>
      <c r="F660" s="415" t="s">
        <v>2</v>
      </c>
      <c r="G660" s="415" t="s">
        <v>300</v>
      </c>
      <c r="H660" s="415" t="s">
        <v>116</v>
      </c>
      <c r="I660" s="1161" t="s">
        <v>117</v>
      </c>
    </row>
    <row r="661" spans="2:11" ht="18" hidden="1" customHeight="1" outlineLevel="1" x14ac:dyDescent="0.25">
      <c r="B661" s="632" t="s">
        <v>2916</v>
      </c>
      <c r="C661" s="941" t="s">
        <v>2917</v>
      </c>
      <c r="D661" s="1258" t="s">
        <v>2918</v>
      </c>
      <c r="E661" s="1453" t="e">
        <f>S_CAT_ini+S_IC*(A_MNa*1000)</f>
        <v>#NAME?</v>
      </c>
      <c r="F661" s="1167" t="s">
        <v>1045</v>
      </c>
      <c r="G661" s="1167">
        <v>2</v>
      </c>
      <c r="H661" s="941" t="s">
        <v>3356</v>
      </c>
      <c r="I661" s="1122" t="s">
        <v>2410</v>
      </c>
      <c r="J661" s="104"/>
      <c r="K661" s="104"/>
    </row>
    <row r="662" spans="2:11" ht="18" hidden="1" customHeight="1" outlineLevel="1" x14ac:dyDescent="0.25">
      <c r="B662" s="378" t="s">
        <v>2919</v>
      </c>
      <c r="C662" s="445" t="s">
        <v>2920</v>
      </c>
      <c r="D662" s="1259" t="s">
        <v>2921</v>
      </c>
      <c r="E662" s="1454" t="e">
        <f>S_AN_ini-S_IC*(A_MCl*1000)</f>
        <v>#NAME?</v>
      </c>
      <c r="F662" s="445" t="s">
        <v>1047</v>
      </c>
      <c r="G662" s="445">
        <v>2</v>
      </c>
      <c r="H662" s="445" t="s">
        <v>3356</v>
      </c>
      <c r="I662" s="1126" t="s">
        <v>2410</v>
      </c>
      <c r="J662" s="104"/>
      <c r="K662" s="104"/>
    </row>
    <row r="663" spans="2:11" ht="18" hidden="1" customHeight="1" outlineLevel="1" x14ac:dyDescent="0.25">
      <c r="B663" s="378" t="s">
        <v>1159</v>
      </c>
      <c r="C663" s="941" t="s">
        <v>2866</v>
      </c>
      <c r="D663" s="1259" t="s">
        <v>2923</v>
      </c>
      <c r="E663" s="1454" t="e">
        <f>IF(S_CAT_ini_corr&gt;0,S_CAT_ini_corr,S_CAT_ini)</f>
        <v>#NAME?</v>
      </c>
      <c r="F663" s="1125" t="s">
        <v>1045</v>
      </c>
      <c r="G663" s="1125">
        <v>2</v>
      </c>
      <c r="H663" s="445" t="s">
        <v>3356</v>
      </c>
      <c r="I663" s="1126" t="s">
        <v>2410</v>
      </c>
      <c r="J663" s="104"/>
      <c r="K663" s="104"/>
    </row>
    <row r="664" spans="2:11" ht="18.75" hidden="1" customHeight="1" outlineLevel="1" thickBot="1" x14ac:dyDescent="0.3">
      <c r="B664" s="379" t="s">
        <v>2411</v>
      </c>
      <c r="C664" s="446" t="s">
        <v>2867</v>
      </c>
      <c r="D664" s="1260" t="s">
        <v>2925</v>
      </c>
      <c r="E664" s="1455" t="e">
        <f>IF(S_CAT_ini_corr&gt;0,S_AN_ini,S_AN_ini_corr)</f>
        <v>#NAME?</v>
      </c>
      <c r="F664" s="446" t="s">
        <v>1047</v>
      </c>
      <c r="G664" s="446">
        <v>2</v>
      </c>
      <c r="H664" s="446" t="s">
        <v>3356</v>
      </c>
      <c r="I664" s="1129" t="s">
        <v>2410</v>
      </c>
      <c r="J664" s="104"/>
      <c r="K664" s="104"/>
    </row>
    <row r="665" spans="2:11" ht="15.75" collapsed="1" thickBot="1" x14ac:dyDescent="0.3">
      <c r="E665" s="103"/>
    </row>
    <row r="666" spans="2:11" ht="15.75" thickBot="1" x14ac:dyDescent="0.3">
      <c r="C666" s="1166" t="s">
        <v>3347</v>
      </c>
      <c r="D666" s="1375" t="s">
        <v>319</v>
      </c>
      <c r="E666" s="2051"/>
    </row>
    <row r="667" spans="2:11" ht="15.75" thickBot="1" x14ac:dyDescent="0.3">
      <c r="B667" s="955" t="s">
        <v>0</v>
      </c>
      <c r="C667" s="415" t="s">
        <v>1</v>
      </c>
      <c r="D667" s="415" t="s">
        <v>5</v>
      </c>
      <c r="E667" s="415" t="s">
        <v>152</v>
      </c>
      <c r="F667" s="415" t="s">
        <v>2</v>
      </c>
      <c r="G667" s="415" t="s">
        <v>300</v>
      </c>
      <c r="H667" s="415" t="s">
        <v>116</v>
      </c>
      <c r="I667" s="1161" t="s">
        <v>117</v>
      </c>
    </row>
    <row r="668" spans="2:11" ht="18" hidden="1" customHeight="1" outlineLevel="1" x14ac:dyDescent="0.25">
      <c r="B668" s="632" t="s">
        <v>3348</v>
      </c>
      <c r="C668" s="941" t="s">
        <v>2917</v>
      </c>
      <c r="D668" s="1258" t="s">
        <v>3349</v>
      </c>
      <c r="E668" s="1453" t="e">
        <f>S_CAT_ini+S_IC*(A_MNa*1000)</f>
        <v>#NAME?</v>
      </c>
      <c r="F668" s="1167" t="s">
        <v>1045</v>
      </c>
      <c r="G668" s="1167">
        <v>2</v>
      </c>
      <c r="H668" s="941" t="s">
        <v>3350</v>
      </c>
      <c r="I668" s="1122" t="s">
        <v>2410</v>
      </c>
      <c r="J668" s="104"/>
      <c r="K668" s="104"/>
    </row>
    <row r="669" spans="2:11" ht="18" hidden="1" customHeight="1" outlineLevel="1" x14ac:dyDescent="0.25">
      <c r="B669" s="1144" t="s">
        <v>3351</v>
      </c>
      <c r="C669" s="947" t="s">
        <v>2920</v>
      </c>
      <c r="D669" s="1261" t="s">
        <v>3352</v>
      </c>
      <c r="E669" s="1456" t="e">
        <f>S_AN_ini-S_IC*(A_MCl*1000)</f>
        <v>#NAME?</v>
      </c>
      <c r="F669" s="947" t="s">
        <v>1047</v>
      </c>
      <c r="G669" s="947">
        <v>2</v>
      </c>
      <c r="H669" s="947" t="s">
        <v>3350</v>
      </c>
      <c r="I669" s="1165" t="s">
        <v>2410</v>
      </c>
      <c r="J669" s="104"/>
      <c r="K669" s="104"/>
    </row>
    <row r="670" spans="2:11" ht="18" hidden="1" customHeight="1" outlineLevel="1" x14ac:dyDescent="0.25">
      <c r="B670" s="1144" t="s">
        <v>1159</v>
      </c>
      <c r="C670" s="941" t="s">
        <v>2922</v>
      </c>
      <c r="D670" s="1262" t="s">
        <v>3353</v>
      </c>
      <c r="E670" s="1456" t="e">
        <f>IF(S_CAT_ini_corr&gt;0,S_CAT_ini_corr,S_CAT_ini)</f>
        <v>#NAME?</v>
      </c>
      <c r="F670" s="1164" t="s">
        <v>1045</v>
      </c>
      <c r="G670" s="1164">
        <v>2</v>
      </c>
      <c r="H670" s="947" t="s">
        <v>3350</v>
      </c>
      <c r="I670" s="1165" t="s">
        <v>2410</v>
      </c>
      <c r="J670" s="104"/>
      <c r="K670" s="104"/>
    </row>
    <row r="671" spans="2:11" ht="18.75" hidden="1" customHeight="1" outlineLevel="1" thickBot="1" x14ac:dyDescent="0.3">
      <c r="B671" s="379" t="s">
        <v>2411</v>
      </c>
      <c r="C671" s="446" t="s">
        <v>2924</v>
      </c>
      <c r="D671" s="1260" t="s">
        <v>3354</v>
      </c>
      <c r="E671" s="1455" t="e">
        <f>IF(S_CAT_ini_corr&gt;0,S_AN_ini,S_AN_ini_corr)</f>
        <v>#NAME?</v>
      </c>
      <c r="F671" s="446" t="s">
        <v>1047</v>
      </c>
      <c r="G671" s="446">
        <v>2</v>
      </c>
      <c r="H671" s="446" t="s">
        <v>3350</v>
      </c>
      <c r="I671" s="1129" t="s">
        <v>2410</v>
      </c>
      <c r="J671" s="104"/>
      <c r="K671" s="104"/>
    </row>
    <row r="672" spans="2:11" ht="15.75" collapsed="1" thickBot="1" x14ac:dyDescent="0.3">
      <c r="E672" s="103"/>
    </row>
    <row r="673" spans="1:9" ht="15.75" thickBot="1" x14ac:dyDescent="0.3">
      <c r="C673" s="1166" t="s">
        <v>3342</v>
      </c>
      <c r="D673" s="2051" t="s">
        <v>319</v>
      </c>
      <c r="E673" s="2051"/>
    </row>
    <row r="674" spans="1:9" ht="15.75" thickBot="1" x14ac:dyDescent="0.3">
      <c r="B674" s="414" t="s">
        <v>0</v>
      </c>
      <c r="C674" s="415" t="s">
        <v>1</v>
      </c>
      <c r="D674" s="415" t="s">
        <v>5</v>
      </c>
      <c r="E674" s="415" t="s">
        <v>152</v>
      </c>
      <c r="F674" s="415" t="s">
        <v>2</v>
      </c>
      <c r="G674" s="415" t="s">
        <v>300</v>
      </c>
      <c r="H674" s="415" t="s">
        <v>116</v>
      </c>
      <c r="I674" s="1161" t="s">
        <v>117</v>
      </c>
    </row>
    <row r="675" spans="1:9" ht="17.25" hidden="1" customHeight="1" outlineLevel="1" x14ac:dyDescent="0.25">
      <c r="B675" s="714" t="s">
        <v>377</v>
      </c>
      <c r="C675" s="946" t="s">
        <v>1162</v>
      </c>
      <c r="D675" s="1168" t="s">
        <v>4585</v>
      </c>
      <c r="E675" s="1169">
        <f>-(IF((c_hargebalance)&lt;0,-LOG10(-(c_hargebalance)+1),LOG10((c_hargebalance)+1)))</f>
        <v>-2.4175533204406379E-4</v>
      </c>
      <c r="F675" s="1162" t="s">
        <v>1874</v>
      </c>
      <c r="G675" s="1162">
        <v>2</v>
      </c>
      <c r="H675" s="946" t="s">
        <v>11</v>
      </c>
      <c r="I675" s="1163"/>
    </row>
    <row r="676" spans="1:9" ht="18" hidden="1" customHeight="1" outlineLevel="1" x14ac:dyDescent="0.25">
      <c r="B676" s="1144" t="s">
        <v>380</v>
      </c>
      <c r="C676" s="947" t="s">
        <v>390</v>
      </c>
      <c r="D676" s="947" t="s">
        <v>1843</v>
      </c>
      <c r="E676" s="1170">
        <f>I_S-I_Scalc</f>
        <v>5.2056441588948007E-3</v>
      </c>
      <c r="F676" s="1170" t="s">
        <v>381</v>
      </c>
      <c r="G676" s="1164">
        <v>2</v>
      </c>
      <c r="H676" s="947" t="s">
        <v>11</v>
      </c>
      <c r="I676" s="1165"/>
    </row>
    <row r="677" spans="1:9" ht="18.75" hidden="1" customHeight="1" outlineLevel="1" thickBot="1" x14ac:dyDescent="0.3">
      <c r="B677" s="1171" t="s">
        <v>388</v>
      </c>
      <c r="C677" s="1172" t="s">
        <v>391</v>
      </c>
      <c r="D677" s="1172" t="s">
        <v>392</v>
      </c>
      <c r="E677" s="1173">
        <f>S_ALK-S_ALK_input</f>
        <v>-1.4700293775047561E-3</v>
      </c>
      <c r="F677" s="1173" t="s">
        <v>1873</v>
      </c>
      <c r="G677" s="1174">
        <v>2</v>
      </c>
      <c r="H677" s="446" t="s">
        <v>3343</v>
      </c>
      <c r="I677" s="1175"/>
    </row>
    <row r="678" spans="1:9" collapsed="1" x14ac:dyDescent="0.25">
      <c r="B678" s="130"/>
      <c r="C678" s="130"/>
      <c r="D678" s="130"/>
      <c r="E678" s="130"/>
      <c r="F678" s="130"/>
      <c r="G678" s="130"/>
      <c r="H678" s="130"/>
      <c r="I678" s="130"/>
    </row>
    <row r="679" spans="1:9" ht="18" x14ac:dyDescent="0.25">
      <c r="B679" s="112" t="s">
        <v>3328</v>
      </c>
      <c r="E679" s="103"/>
    </row>
    <row r="680" spans="1:9" x14ac:dyDescent="0.25">
      <c r="B680" s="112" t="s">
        <v>3329</v>
      </c>
      <c r="E680" s="103"/>
    </row>
    <row r="681" spans="1:9" ht="15.75" thickBot="1" x14ac:dyDescent="0.3">
      <c r="E681" s="103"/>
    </row>
    <row r="682" spans="1:9" s="1730" customFormat="1" ht="18" customHeight="1" thickBot="1" x14ac:dyDescent="0.3">
      <c r="A682" s="4"/>
      <c r="B682" s="112"/>
      <c r="C682" s="1836" t="s">
        <v>3330</v>
      </c>
      <c r="D682" s="14" t="s">
        <v>301</v>
      </c>
      <c r="E682" s="14"/>
      <c r="F682" s="112"/>
      <c r="G682" s="112"/>
      <c r="H682" s="112"/>
      <c r="I682" s="112"/>
    </row>
    <row r="683" spans="1:9" s="1730" customFormat="1" ht="18" customHeight="1" thickBot="1" x14ac:dyDescent="0.3">
      <c r="A683" s="4"/>
      <c r="B683" s="2304" t="s">
        <v>0</v>
      </c>
      <c r="C683" s="2306" t="s">
        <v>1</v>
      </c>
      <c r="D683" s="2308" t="s">
        <v>5</v>
      </c>
      <c r="E683" s="2308" t="s">
        <v>152</v>
      </c>
      <c r="F683" s="2308" t="s">
        <v>2</v>
      </c>
      <c r="G683" s="2308" t="s">
        <v>300</v>
      </c>
      <c r="H683" s="2308" t="s">
        <v>116</v>
      </c>
      <c r="I683" s="2310" t="s">
        <v>117</v>
      </c>
    </row>
    <row r="684" spans="1:9" s="112" customFormat="1" ht="18" hidden="1" outlineLevel="1" x14ac:dyDescent="0.25">
      <c r="B684" s="1837" t="s">
        <v>3331</v>
      </c>
      <c r="C684" s="1838" t="s">
        <v>3332</v>
      </c>
      <c r="D684" s="1838" t="s">
        <v>4625</v>
      </c>
      <c r="E684" s="1839">
        <f>0.15</f>
        <v>0.15</v>
      </c>
      <c r="F684" s="1840" t="s">
        <v>381</v>
      </c>
      <c r="G684" s="1840">
        <v>3</v>
      </c>
      <c r="H684" s="1840" t="s">
        <v>4879</v>
      </c>
      <c r="I684" s="1841"/>
    </row>
    <row r="685" spans="1:9" s="112" customFormat="1" ht="18" hidden="1" outlineLevel="1" x14ac:dyDescent="0.25">
      <c r="B685" s="1502" t="s">
        <v>3331</v>
      </c>
      <c r="C685" s="948" t="s">
        <v>3332</v>
      </c>
      <c r="D685" s="948" t="s">
        <v>4626</v>
      </c>
      <c r="E685" s="1503"/>
      <c r="F685" s="1504" t="s">
        <v>381</v>
      </c>
      <c r="G685" s="1504">
        <v>3</v>
      </c>
      <c r="H685" s="1505" t="s">
        <v>3333</v>
      </c>
      <c r="I685" s="1506"/>
    </row>
    <row r="686" spans="1:9" s="112" customFormat="1" ht="18" hidden="1" outlineLevel="1" x14ac:dyDescent="0.25">
      <c r="B686" s="1502" t="s">
        <v>3331</v>
      </c>
      <c r="C686" s="948" t="s">
        <v>3332</v>
      </c>
      <c r="D686" s="948" t="s">
        <v>4628</v>
      </c>
      <c r="E686" s="1503">
        <f>0.15</f>
        <v>0.15</v>
      </c>
      <c r="F686" s="1504" t="s">
        <v>381</v>
      </c>
      <c r="G686" s="1504">
        <v>3</v>
      </c>
      <c r="H686" s="1505" t="s">
        <v>4880</v>
      </c>
      <c r="I686" s="1506"/>
    </row>
    <row r="687" spans="1:9" s="112" customFormat="1" ht="18" hidden="1" outlineLevel="1" x14ac:dyDescent="0.25">
      <c r="B687" s="1502" t="s">
        <v>907</v>
      </c>
      <c r="C687" s="948" t="s">
        <v>904</v>
      </c>
      <c r="D687" s="948" t="s">
        <v>1837</v>
      </c>
      <c r="E687" s="1503">
        <f>1.82483*10^6*ρ__^(0.5)*(ε__*T_K)^(-1.5)</f>
        <v>0.50517320931567189</v>
      </c>
      <c r="F687" s="1504" t="s">
        <v>5180</v>
      </c>
      <c r="G687" s="1504">
        <v>3</v>
      </c>
      <c r="H687" s="1505" t="s">
        <v>1150</v>
      </c>
      <c r="I687" s="1506"/>
    </row>
    <row r="688" spans="1:9" s="112" customFormat="1" ht="18" hidden="1" outlineLevel="1" x14ac:dyDescent="0.25">
      <c r="B688" s="1502" t="s">
        <v>906</v>
      </c>
      <c r="C688" s="948" t="s">
        <v>2879</v>
      </c>
      <c r="D688" s="948" t="s">
        <v>941</v>
      </c>
      <c r="E688" s="1503">
        <f>2727.586+0.6224107*T_K-466.9151*LN(T_K)-(52000.87/T_K)</f>
        <v>80.261801298291488</v>
      </c>
      <c r="F688" s="1504" t="s">
        <v>5180</v>
      </c>
      <c r="G688" s="1504">
        <v>3</v>
      </c>
      <c r="H688" s="1505" t="s">
        <v>1150</v>
      </c>
      <c r="I688" s="1506"/>
    </row>
    <row r="689" spans="1:9" s="112" customFormat="1" hidden="1" outlineLevel="1" x14ac:dyDescent="0.25">
      <c r="B689" s="1502" t="s">
        <v>908</v>
      </c>
      <c r="C689" s="948" t="s">
        <v>2880</v>
      </c>
      <c r="D689" s="948" t="s">
        <v>905</v>
      </c>
      <c r="E689" s="1503">
        <f>1-(T__-3.9863)^2*(T__+288.9414)/(508929.2*(T__+68.12963))+0.011445*EXP(-374.3/T__)</f>
        <v>0.99823363622515204</v>
      </c>
      <c r="F689" s="1504" t="s">
        <v>5180</v>
      </c>
      <c r="G689" s="1504">
        <v>3</v>
      </c>
      <c r="H689" s="1505" t="s">
        <v>1150</v>
      </c>
      <c r="I689" s="1506"/>
    </row>
    <row r="690" spans="1:9" s="112" customFormat="1" ht="18" hidden="1" outlineLevel="1" x14ac:dyDescent="0.25">
      <c r="B690" s="1502" t="s">
        <v>3334</v>
      </c>
      <c r="C690" s="948" t="s">
        <v>3287</v>
      </c>
      <c r="D690" s="948" t="s">
        <v>3335</v>
      </c>
      <c r="E690" s="1503">
        <v>0.78540775368648974</v>
      </c>
      <c r="F690" s="1504" t="s">
        <v>5180</v>
      </c>
      <c r="G690" s="1504">
        <v>3</v>
      </c>
      <c r="H690" s="1505" t="s">
        <v>1150</v>
      </c>
      <c r="I690" s="1506"/>
    </row>
    <row r="691" spans="1:9" s="112" customFormat="1" ht="18" hidden="1" outlineLevel="1" x14ac:dyDescent="0.25">
      <c r="B691" s="1502" t="s">
        <v>3336</v>
      </c>
      <c r="C691" s="948" t="s">
        <v>3289</v>
      </c>
      <c r="D691" s="948" t="s">
        <v>3337</v>
      </c>
      <c r="E691" s="1503">
        <v>0.3805228471391951</v>
      </c>
      <c r="F691" s="1504" t="s">
        <v>5180</v>
      </c>
      <c r="G691" s="1504">
        <v>3</v>
      </c>
      <c r="H691" s="1505" t="s">
        <v>1150</v>
      </c>
      <c r="I691" s="1506"/>
    </row>
    <row r="692" spans="1:9" s="112" customFormat="1" ht="18.75" hidden="1" outlineLevel="1" thickBot="1" x14ac:dyDescent="0.3">
      <c r="B692" s="1842" t="s">
        <v>5181</v>
      </c>
      <c r="C692" s="1176" t="s">
        <v>3291</v>
      </c>
      <c r="D692" s="1176" t="s">
        <v>5182</v>
      </c>
      <c r="E692" s="1843">
        <v>0.3805228471391951</v>
      </c>
      <c r="F692" s="1844" t="s">
        <v>5180</v>
      </c>
      <c r="G692" s="1844">
        <v>3</v>
      </c>
      <c r="H692" s="1845" t="s">
        <v>1150</v>
      </c>
      <c r="I692" s="1846"/>
    </row>
    <row r="693" spans="1:9" s="1730" customFormat="1" ht="18" customHeight="1" collapsed="1" thickBot="1" x14ac:dyDescent="0.3">
      <c r="A693" s="4"/>
      <c r="B693" s="4"/>
      <c r="C693" s="4"/>
      <c r="D693" s="4"/>
      <c r="E693" s="2253"/>
      <c r="F693" s="4"/>
      <c r="G693" s="4"/>
      <c r="H693" s="4"/>
      <c r="I693" s="4"/>
    </row>
    <row r="694" spans="1:9" s="1730" customFormat="1" ht="18" customHeight="1" thickBot="1" x14ac:dyDescent="0.3">
      <c r="A694" s="4"/>
      <c r="B694" s="112"/>
      <c r="C694" s="1847" t="s">
        <v>943</v>
      </c>
      <c r="D694" s="14" t="s">
        <v>301</v>
      </c>
      <c r="E694" s="14"/>
      <c r="F694" s="112"/>
      <c r="G694" s="112"/>
      <c r="H694" s="112"/>
      <c r="I694" s="112"/>
    </row>
    <row r="695" spans="1:9" s="1730" customFormat="1" ht="18" customHeight="1" thickBot="1" x14ac:dyDescent="0.3">
      <c r="A695" s="4"/>
      <c r="B695" s="1874" t="s">
        <v>0</v>
      </c>
      <c r="C695" s="1875" t="s">
        <v>1</v>
      </c>
      <c r="D695" s="1876" t="s">
        <v>5</v>
      </c>
      <c r="E695" s="1876" t="s">
        <v>152</v>
      </c>
      <c r="F695" s="1876" t="s">
        <v>2</v>
      </c>
      <c r="G695" s="1876" t="s">
        <v>300</v>
      </c>
      <c r="H695" s="1876" t="s">
        <v>116</v>
      </c>
      <c r="I695" s="1877" t="s">
        <v>117</v>
      </c>
    </row>
    <row r="696" spans="1:9" s="112" customFormat="1" ht="18" hidden="1" outlineLevel="1" x14ac:dyDescent="0.25">
      <c r="B696" s="1848" t="s">
        <v>944</v>
      </c>
      <c r="C696" s="1849" t="s">
        <v>2799</v>
      </c>
      <c r="D696" s="1849" t="s">
        <v>3104</v>
      </c>
      <c r="E696" s="1850">
        <f>K_W_param*EXP(d_Hdiss_H2O/R__*(1/T_st_K-1/T_K))</f>
        <v>6.7545152316627035E-15</v>
      </c>
      <c r="F696" s="1851" t="s">
        <v>5180</v>
      </c>
      <c r="G696" s="1851">
        <v>3</v>
      </c>
      <c r="H696" s="1851" t="s">
        <v>1150</v>
      </c>
      <c r="I696" s="1852"/>
    </row>
    <row r="697" spans="1:9" s="112" customFormat="1" ht="18" hidden="1" outlineLevel="1" x14ac:dyDescent="0.25">
      <c r="B697" s="1502" t="s">
        <v>945</v>
      </c>
      <c r="C697" s="948" t="s">
        <v>2800</v>
      </c>
      <c r="D697" s="948" t="s">
        <v>1838</v>
      </c>
      <c r="E697" s="1503">
        <f>10^(-(3404.7/T_K-14.8435+T_K*0.03279))</f>
        <v>4.1392419480646479E-7</v>
      </c>
      <c r="F697" s="1504" t="s">
        <v>5180</v>
      </c>
      <c r="G697" s="1504">
        <v>3</v>
      </c>
      <c r="H697" s="1505" t="s">
        <v>1150</v>
      </c>
      <c r="I697" s="1506"/>
    </row>
    <row r="698" spans="1:9" s="112" customFormat="1" ht="18" hidden="1" outlineLevel="1" x14ac:dyDescent="0.25">
      <c r="B698" s="1502" t="s">
        <v>946</v>
      </c>
      <c r="C698" s="948" t="s">
        <v>2801</v>
      </c>
      <c r="D698" s="948" t="s">
        <v>1839</v>
      </c>
      <c r="E698" s="1503">
        <f>10^(-(2902.4/T_K-6.498+T_K*0.02379))</f>
        <v>4.1997949506593592E-11</v>
      </c>
      <c r="F698" s="1504" t="s">
        <v>5180</v>
      </c>
      <c r="G698" s="1504">
        <v>3</v>
      </c>
      <c r="H698" s="1505" t="s">
        <v>1150</v>
      </c>
      <c r="I698" s="1506"/>
    </row>
    <row r="699" spans="1:9" s="112" customFormat="1" ht="18" hidden="1" outlineLevel="1" x14ac:dyDescent="0.25">
      <c r="B699" s="1502" t="s">
        <v>947</v>
      </c>
      <c r="C699" s="948" t="s">
        <v>2802</v>
      </c>
      <c r="D699" s="948" t="s">
        <v>1840</v>
      </c>
      <c r="E699" s="1503">
        <f>10^(-(799.3/T_K-4.5535+T_K*0.01349))</f>
        <v>7.4527408036475567E-3</v>
      </c>
      <c r="F699" s="1504" t="s">
        <v>5180</v>
      </c>
      <c r="G699" s="1504">
        <v>3</v>
      </c>
      <c r="H699" s="1505" t="s">
        <v>1150</v>
      </c>
      <c r="I699" s="1506"/>
    </row>
    <row r="700" spans="1:9" s="112" customFormat="1" ht="18" hidden="1" outlineLevel="1" x14ac:dyDescent="0.25">
      <c r="B700" s="1502" t="s">
        <v>948</v>
      </c>
      <c r="C700" s="948" t="s">
        <v>2803</v>
      </c>
      <c r="D700" s="948" t="s">
        <v>1841</v>
      </c>
      <c r="E700" s="1503">
        <f>10^(-(1979.5/T_K-5.3541+T_K*0.01984))</f>
        <v>6.1022250881622208E-8</v>
      </c>
      <c r="F700" s="1504" t="s">
        <v>5180</v>
      </c>
      <c r="G700" s="1504">
        <v>3</v>
      </c>
      <c r="H700" s="1505" t="s">
        <v>1150</v>
      </c>
      <c r="I700" s="1506"/>
    </row>
    <row r="701" spans="1:9" s="112" customFormat="1" ht="18" hidden="1" outlineLevel="1" x14ac:dyDescent="0.25">
      <c r="B701" s="1502" t="s">
        <v>949</v>
      </c>
      <c r="C701" s="948" t="s">
        <v>2804</v>
      </c>
      <c r="D701" s="948" t="s">
        <v>3105</v>
      </c>
      <c r="E701" s="1503">
        <f>K_P3_param*EXP(d_Hdiss_PO4_3/R__*(1/T_st_K-1/T_K))</f>
        <v>3.7853629756273106E-13</v>
      </c>
      <c r="F701" s="1504" t="s">
        <v>5180</v>
      </c>
      <c r="G701" s="1504">
        <v>3</v>
      </c>
      <c r="H701" s="1505" t="s">
        <v>1150</v>
      </c>
      <c r="I701" s="1506"/>
    </row>
    <row r="702" spans="1:9" s="112" customFormat="1" ht="18" hidden="1" outlineLevel="1" x14ac:dyDescent="0.25">
      <c r="B702" s="1502" t="s">
        <v>2830</v>
      </c>
      <c r="C702" s="948" t="s">
        <v>2805</v>
      </c>
      <c r="D702" s="948" t="s">
        <v>1842</v>
      </c>
      <c r="E702" s="1503">
        <f>10^(-(1170.5/T_K-3.165+T_K*0.0134))</f>
        <v>1.7536929986944336E-5</v>
      </c>
      <c r="F702" s="1504" t="s">
        <v>5180</v>
      </c>
      <c r="G702" s="1504">
        <v>3</v>
      </c>
      <c r="H702" s="1505" t="s">
        <v>1150</v>
      </c>
      <c r="I702" s="1506"/>
    </row>
    <row r="703" spans="1:9" s="112" customFormat="1" ht="18" hidden="1" outlineLevel="1" x14ac:dyDescent="0.25">
      <c r="B703" s="1502" t="s">
        <v>2831</v>
      </c>
      <c r="C703" s="948" t="s">
        <v>2815</v>
      </c>
      <c r="D703" s="948" t="s">
        <v>3106</v>
      </c>
      <c r="E703" s="1503">
        <f>K_NO2_param*EXP(d_Hdiss_NO2/R__*(1/T_st_K-1/T_K))</f>
        <v>4.0484694649180739E-4</v>
      </c>
      <c r="F703" s="1504" t="s">
        <v>1981</v>
      </c>
      <c r="G703" s="1504">
        <v>3</v>
      </c>
      <c r="H703" s="1505" t="s">
        <v>1150</v>
      </c>
      <c r="I703" s="1506"/>
    </row>
    <row r="704" spans="1:9" s="112" customFormat="1" ht="18.75" hidden="1" outlineLevel="1" thickBot="1" x14ac:dyDescent="0.3">
      <c r="B704" s="1842" t="s">
        <v>2821</v>
      </c>
      <c r="C704" s="1176" t="s">
        <v>2806</v>
      </c>
      <c r="D704" s="1176" t="s">
        <v>1055</v>
      </c>
      <c r="E704" s="1843">
        <f>10^(-(2835.8/T_K-0.6322+0.00123*T_K))</f>
        <v>3.9635061259550542E-10</v>
      </c>
      <c r="F704" s="1844" t="s">
        <v>5180</v>
      </c>
      <c r="G704" s="1844">
        <v>3</v>
      </c>
      <c r="H704" s="1845" t="s">
        <v>1150</v>
      </c>
      <c r="I704" s="1846"/>
    </row>
    <row r="705" spans="1:9" s="1730" customFormat="1" ht="18" customHeight="1" collapsed="1" thickBot="1" x14ac:dyDescent="0.3">
      <c r="A705" s="4"/>
      <c r="B705" s="4"/>
      <c r="C705" s="4"/>
      <c r="D705" s="4"/>
      <c r="E705" s="2253"/>
      <c r="F705" s="4"/>
      <c r="G705" s="4"/>
      <c r="H705" s="4"/>
      <c r="I705" s="4"/>
    </row>
    <row r="706" spans="1:9" s="1730" customFormat="1" ht="18" customHeight="1" thickBot="1" x14ac:dyDescent="0.3">
      <c r="A706" s="4"/>
      <c r="B706" s="112"/>
      <c r="C706" s="1847" t="s">
        <v>981</v>
      </c>
      <c r="D706" s="14" t="s">
        <v>301</v>
      </c>
      <c r="E706" s="14"/>
      <c r="F706" s="112"/>
      <c r="G706" s="112"/>
      <c r="H706" s="112"/>
      <c r="I706" s="112"/>
    </row>
    <row r="707" spans="1:9" s="1730" customFormat="1" ht="18" customHeight="1" thickBot="1" x14ac:dyDescent="0.3">
      <c r="A707" s="4"/>
      <c r="B707" s="1874" t="s">
        <v>0</v>
      </c>
      <c r="C707" s="1875" t="s">
        <v>1</v>
      </c>
      <c r="D707" s="1876" t="s">
        <v>5</v>
      </c>
      <c r="E707" s="1876" t="s">
        <v>152</v>
      </c>
      <c r="F707" s="1876" t="s">
        <v>2</v>
      </c>
      <c r="G707" s="1876" t="s">
        <v>300</v>
      </c>
      <c r="H707" s="1876" t="s">
        <v>116</v>
      </c>
      <c r="I707" s="1877" t="s">
        <v>117</v>
      </c>
    </row>
    <row r="708" spans="1:9" s="112" customFormat="1" ht="18" hidden="1" outlineLevel="1" x14ac:dyDescent="0.25">
      <c r="B708" s="1848" t="s">
        <v>345</v>
      </c>
      <c r="C708" s="1849" t="s">
        <v>2807</v>
      </c>
      <c r="D708" s="1849" t="s">
        <v>5183</v>
      </c>
      <c r="E708" s="1850">
        <f>K_W_T/f_mono^2</f>
        <v>8.7379753867564399E-15</v>
      </c>
      <c r="F708" s="1851" t="s">
        <v>5180</v>
      </c>
      <c r="G708" s="1851">
        <v>3</v>
      </c>
      <c r="H708" s="1851" t="s">
        <v>1150</v>
      </c>
      <c r="I708" s="1852"/>
    </row>
    <row r="709" spans="1:9" s="112" customFormat="1" ht="18" hidden="1" outlineLevel="1" x14ac:dyDescent="0.25">
      <c r="B709" s="1502" t="s">
        <v>346</v>
      </c>
      <c r="C709" s="948" t="s">
        <v>2808</v>
      </c>
      <c r="D709" s="948" t="s">
        <v>3338</v>
      </c>
      <c r="E709" s="1503">
        <f>K_C1_T/f_mono^2</f>
        <v>5.3547283589610541E-7</v>
      </c>
      <c r="F709" s="1504" t="s">
        <v>5180</v>
      </c>
      <c r="G709" s="1504">
        <v>3</v>
      </c>
      <c r="H709" s="1505" t="s">
        <v>1150</v>
      </c>
      <c r="I709" s="1506"/>
    </row>
    <row r="710" spans="1:9" s="112" customFormat="1" ht="18" hidden="1" outlineLevel="1" x14ac:dyDescent="0.25">
      <c r="B710" s="1502" t="s">
        <v>347</v>
      </c>
      <c r="C710" s="948" t="s">
        <v>2809</v>
      </c>
      <c r="D710" s="948" t="s">
        <v>3339</v>
      </c>
      <c r="E710" s="1503">
        <f>K_C2_T/f_di</f>
        <v>7.0284789816384129E-11</v>
      </c>
      <c r="F710" s="1504" t="s">
        <v>5180</v>
      </c>
      <c r="G710" s="1504">
        <v>3</v>
      </c>
      <c r="H710" s="1505" t="s">
        <v>1150</v>
      </c>
      <c r="I710" s="1506"/>
    </row>
    <row r="711" spans="1:9" s="112" customFormat="1" ht="18" hidden="1" outlineLevel="1" x14ac:dyDescent="0.25">
      <c r="B711" s="1502" t="s">
        <v>356</v>
      </c>
      <c r="C711" s="948" t="s">
        <v>2810</v>
      </c>
      <c r="D711" s="948" t="s">
        <v>5184</v>
      </c>
      <c r="E711" s="1503">
        <f>K_P1_T/f_mono^2</f>
        <v>9.6412345627529591E-3</v>
      </c>
      <c r="F711" s="1504" t="s">
        <v>5180</v>
      </c>
      <c r="G711" s="1504">
        <v>3</v>
      </c>
      <c r="H711" s="1505" t="s">
        <v>1150</v>
      </c>
      <c r="I711" s="1506"/>
    </row>
    <row r="712" spans="1:9" s="112" customFormat="1" ht="18" hidden="1" outlineLevel="1" x14ac:dyDescent="0.25">
      <c r="B712" s="1502" t="s">
        <v>357</v>
      </c>
      <c r="C712" s="948" t="s">
        <v>2811</v>
      </c>
      <c r="D712" s="948" t="s">
        <v>5185</v>
      </c>
      <c r="E712" s="1503">
        <f>K_P2_T/f_di</f>
        <v>1.0212251140175602E-7</v>
      </c>
      <c r="F712" s="1504" t="s">
        <v>5180</v>
      </c>
      <c r="G712" s="1504">
        <v>3</v>
      </c>
      <c r="H712" s="1505" t="s">
        <v>1150</v>
      </c>
      <c r="I712" s="1506"/>
    </row>
    <row r="713" spans="1:9" s="112" customFormat="1" ht="18" hidden="1" outlineLevel="1" x14ac:dyDescent="0.25">
      <c r="B713" s="1502" t="s">
        <v>358</v>
      </c>
      <c r="C713" s="948" t="s">
        <v>2812</v>
      </c>
      <c r="D713" s="948" t="s">
        <v>5186</v>
      </c>
      <c r="E713" s="1503">
        <f>K_P3_T/(f_mono*f_tri)*f_di</f>
        <v>8.1951597738298681E-13</v>
      </c>
      <c r="F713" s="1504" t="s">
        <v>5180</v>
      </c>
      <c r="G713" s="1504">
        <v>3</v>
      </c>
      <c r="H713" s="1505" t="s">
        <v>1150</v>
      </c>
      <c r="I713" s="1506"/>
    </row>
    <row r="714" spans="1:9" s="112" customFormat="1" ht="18" hidden="1" outlineLevel="1" x14ac:dyDescent="0.25">
      <c r="B714" s="1502" t="s">
        <v>2816</v>
      </c>
      <c r="C714" s="948" t="s">
        <v>2813</v>
      </c>
      <c r="D714" s="948" t="s">
        <v>5187</v>
      </c>
      <c r="E714" s="1503">
        <f>K_Ac_T/f_mono^2</f>
        <v>2.268664105854261E-5</v>
      </c>
      <c r="F714" s="1504" t="s">
        <v>5180</v>
      </c>
      <c r="G714" s="1504">
        <v>3</v>
      </c>
      <c r="H714" s="1505" t="s">
        <v>1150</v>
      </c>
      <c r="I714" s="1506"/>
    </row>
    <row r="715" spans="1:9" s="112" customFormat="1" ht="18" hidden="1" outlineLevel="1" x14ac:dyDescent="0.25">
      <c r="B715" s="1502" t="s">
        <v>2818</v>
      </c>
      <c r="C715" s="948" t="s">
        <v>2881</v>
      </c>
      <c r="D715" s="948" t="s">
        <v>3939</v>
      </c>
      <c r="E715" s="1503">
        <f>K_NO2_T/f_mono^2</f>
        <v>5.2373005797162243E-4</v>
      </c>
      <c r="F715" s="1504" t="s">
        <v>1981</v>
      </c>
      <c r="G715" s="1504">
        <v>3</v>
      </c>
      <c r="H715" s="1505" t="s">
        <v>1150</v>
      </c>
      <c r="I715" s="1506"/>
    </row>
    <row r="716" spans="1:9" s="112" customFormat="1" ht="18.75" hidden="1" outlineLevel="1" thickBot="1" x14ac:dyDescent="0.3">
      <c r="B716" s="1842" t="s">
        <v>2820</v>
      </c>
      <c r="C716" s="1176" t="s">
        <v>2814</v>
      </c>
      <c r="D716" s="1176" t="s">
        <v>2821</v>
      </c>
      <c r="E716" s="1843">
        <f>K_NH3_T</f>
        <v>3.9635061259550542E-10</v>
      </c>
      <c r="F716" s="1844" t="s">
        <v>5180</v>
      </c>
      <c r="G716" s="1844">
        <v>3</v>
      </c>
      <c r="H716" s="1845" t="s">
        <v>1150</v>
      </c>
      <c r="I716" s="1846"/>
    </row>
    <row r="717" spans="1:9" s="1730" customFormat="1" ht="18" customHeight="1" collapsed="1" thickBot="1" x14ac:dyDescent="0.3">
      <c r="A717" s="4"/>
      <c r="B717" s="4"/>
      <c r="C717" s="4"/>
      <c r="D717" s="4"/>
      <c r="E717" s="2253"/>
      <c r="F717" s="4"/>
      <c r="G717" s="4"/>
      <c r="H717" s="4"/>
      <c r="I717" s="4"/>
    </row>
    <row r="718" spans="1:9" s="1730" customFormat="1" ht="18" customHeight="1" thickBot="1" x14ac:dyDescent="0.3">
      <c r="A718" s="4"/>
      <c r="B718" s="112"/>
      <c r="C718" s="1847" t="s">
        <v>1315</v>
      </c>
      <c r="D718" s="14" t="s">
        <v>301</v>
      </c>
      <c r="E718" s="14"/>
      <c r="F718" s="112"/>
      <c r="G718" s="112"/>
      <c r="H718" s="112"/>
      <c r="I718" s="112"/>
    </row>
    <row r="719" spans="1:9" s="1730" customFormat="1" ht="18" customHeight="1" thickBot="1" x14ac:dyDescent="0.3">
      <c r="A719" s="4"/>
      <c r="B719" s="1874" t="s">
        <v>0</v>
      </c>
      <c r="C719" s="1875" t="s">
        <v>1</v>
      </c>
      <c r="D719" s="1876" t="s">
        <v>5</v>
      </c>
      <c r="E719" s="1876" t="s">
        <v>152</v>
      </c>
      <c r="F719" s="1876" t="s">
        <v>2</v>
      </c>
      <c r="G719" s="1876" t="s">
        <v>300</v>
      </c>
      <c r="H719" s="1876" t="s">
        <v>116</v>
      </c>
      <c r="I719" s="1877" t="s">
        <v>117</v>
      </c>
    </row>
    <row r="720" spans="1:9" s="112" customFormat="1" ht="18" hidden="1" outlineLevel="1" x14ac:dyDescent="0.25">
      <c r="B720" s="1848" t="s">
        <v>1325</v>
      </c>
      <c r="C720" s="1849" t="s">
        <v>2882</v>
      </c>
      <c r="D720" s="1849" t="s">
        <v>5188</v>
      </c>
      <c r="E720" s="1850">
        <f>K_sp_CaCO3_param/f_di</f>
        <v>7.4753798120141423E-7</v>
      </c>
      <c r="F720" s="1851" t="s">
        <v>5180</v>
      </c>
      <c r="G720" s="1851">
        <v>3</v>
      </c>
      <c r="H720" s="1851" t="s">
        <v>1150</v>
      </c>
      <c r="I720" s="1852"/>
    </row>
    <row r="721" spans="1:9" s="112" customFormat="1" ht="18.75" hidden="1" outlineLevel="1" x14ac:dyDescent="0.25">
      <c r="B721" s="1502" t="s">
        <v>1322</v>
      </c>
      <c r="C721" s="948" t="s">
        <v>2883</v>
      </c>
      <c r="D721" s="948" t="s">
        <v>5189</v>
      </c>
      <c r="E721" s="1503">
        <f>K_sp_STR_param/(f_di^(1/3)*f_mono^(1/3)*f_tri^(1/3))</f>
        <v>1.2614964468037164E-13</v>
      </c>
      <c r="F721" s="1504" t="s">
        <v>5180</v>
      </c>
      <c r="G721" s="1504">
        <v>3</v>
      </c>
      <c r="H721" s="1505" t="s">
        <v>1150</v>
      </c>
      <c r="I721" s="1506"/>
    </row>
    <row r="722" spans="1:9" s="112" customFormat="1" ht="18.75" hidden="1" outlineLevel="1" x14ac:dyDescent="0.25">
      <c r="B722" s="1502" t="s">
        <v>1323</v>
      </c>
      <c r="C722" s="948" t="s">
        <v>2884</v>
      </c>
      <c r="D722" s="948" t="s">
        <v>5190</v>
      </c>
      <c r="E722" s="1503">
        <f>K_sp_Vivi_param/(f_di^(3/5)*f_tri^(2/5))</f>
        <v>2.1649600914352904E-36</v>
      </c>
      <c r="F722" s="1504" t="s">
        <v>5180</v>
      </c>
      <c r="G722" s="1504">
        <v>3</v>
      </c>
      <c r="H722" s="1505" t="s">
        <v>1150</v>
      </c>
      <c r="I722" s="1506"/>
    </row>
    <row r="723" spans="1:9" s="112" customFormat="1" ht="18.75" hidden="1" outlineLevel="1" x14ac:dyDescent="0.25">
      <c r="B723" s="1502" t="s">
        <v>1324</v>
      </c>
      <c r="C723" s="948" t="s">
        <v>2885</v>
      </c>
      <c r="D723" s="948" t="s">
        <v>5191</v>
      </c>
      <c r="E723" s="1503">
        <f>K_sp_ACP_param/(f_di^(3/5)*f_tri^(2/5))</f>
        <v>7.5067144345969344E-26</v>
      </c>
      <c r="F723" s="1504" t="s">
        <v>5180</v>
      </c>
      <c r="G723" s="1504">
        <v>3</v>
      </c>
      <c r="H723" s="1505" t="s">
        <v>1150</v>
      </c>
      <c r="I723" s="1506"/>
    </row>
    <row r="724" spans="1:9" s="112" customFormat="1" ht="19.5" hidden="1" outlineLevel="1" thickBot="1" x14ac:dyDescent="0.3">
      <c r="B724" s="1842" t="s">
        <v>4392</v>
      </c>
      <c r="C724" s="1176" t="s">
        <v>4393</v>
      </c>
      <c r="D724" s="1176" t="s">
        <v>5192</v>
      </c>
      <c r="E724" s="1843">
        <f>K_sp_BSH_param/(f_di^(1/2)*f_di^(1/2))</f>
        <v>4.2037149897892104E-7</v>
      </c>
      <c r="F724" s="1844" t="s">
        <v>5180</v>
      </c>
      <c r="G724" s="1844">
        <v>3</v>
      </c>
      <c r="H724" s="1845" t="s">
        <v>1150</v>
      </c>
      <c r="I724" s="1846"/>
    </row>
    <row r="725" spans="1:9" s="1730" customFormat="1" ht="18" customHeight="1" collapsed="1" thickBot="1" x14ac:dyDescent="0.3">
      <c r="A725" s="4"/>
      <c r="B725" s="4"/>
      <c r="C725" s="4"/>
      <c r="D725" s="4"/>
      <c r="E725" s="2253"/>
      <c r="F725" s="4"/>
      <c r="G725" s="4"/>
      <c r="H725" s="4"/>
      <c r="I725" s="4"/>
    </row>
    <row r="726" spans="1:9" customFormat="1" ht="15.75" thickBot="1" x14ac:dyDescent="0.3">
      <c r="B726" s="102"/>
      <c r="C726" s="1853" t="s">
        <v>395</v>
      </c>
      <c r="D726" s="14" t="s">
        <v>301</v>
      </c>
      <c r="E726" s="102"/>
      <c r="F726" s="102"/>
      <c r="G726" s="135"/>
      <c r="H726" s="115"/>
    </row>
    <row r="727" spans="1:9" s="1730" customFormat="1" ht="18" customHeight="1" thickBot="1" x14ac:dyDescent="0.3">
      <c r="A727" s="4"/>
      <c r="B727" s="1874" t="s">
        <v>0</v>
      </c>
      <c r="C727" s="1875" t="s">
        <v>1</v>
      </c>
      <c r="D727" s="1876" t="s">
        <v>5</v>
      </c>
      <c r="E727" s="1876" t="s">
        <v>152</v>
      </c>
      <c r="F727" s="1876" t="s">
        <v>2</v>
      </c>
      <c r="G727" s="1876" t="s">
        <v>300</v>
      </c>
      <c r="H727" s="1876" t="s">
        <v>116</v>
      </c>
      <c r="I727" s="1877" t="s">
        <v>117</v>
      </c>
    </row>
    <row r="728" spans="1:9" s="112" customFormat="1" ht="18" hidden="1" outlineLevel="1" x14ac:dyDescent="0.25">
      <c r="B728" s="1848" t="s">
        <v>5193</v>
      </c>
      <c r="C728" s="1849" t="s">
        <v>397</v>
      </c>
      <c r="D728" s="1849" t="s">
        <v>5194</v>
      </c>
      <c r="E728" s="1850"/>
      <c r="F728" s="1851" t="s">
        <v>384</v>
      </c>
      <c r="G728" s="1851">
        <v>2</v>
      </c>
      <c r="H728" s="1851" t="s">
        <v>1150</v>
      </c>
      <c r="I728" s="1852" t="s">
        <v>5195</v>
      </c>
    </row>
    <row r="729" spans="1:9" s="112" customFormat="1" ht="18" hidden="1" outlineLevel="1" x14ac:dyDescent="0.25">
      <c r="B729" s="1502" t="s">
        <v>5196</v>
      </c>
      <c r="C729" s="948" t="s">
        <v>399</v>
      </c>
      <c r="D729" s="948" t="s">
        <v>5197</v>
      </c>
      <c r="E729" s="1503"/>
      <c r="F729" s="1504" t="s">
        <v>384</v>
      </c>
      <c r="G729" s="1504">
        <v>2</v>
      </c>
      <c r="H729" s="1505" t="s">
        <v>1150</v>
      </c>
      <c r="I729" s="1506" t="s">
        <v>5198</v>
      </c>
    </row>
    <row r="730" spans="1:9" s="112" customFormat="1" ht="18" hidden="1" outlineLevel="1" x14ac:dyDescent="0.25">
      <c r="B730" s="1502" t="s">
        <v>5199</v>
      </c>
      <c r="C730" s="948" t="s">
        <v>401</v>
      </c>
      <c r="D730" s="948" t="s">
        <v>5200</v>
      </c>
      <c r="E730" s="1503"/>
      <c r="F730" s="1504" t="s">
        <v>384</v>
      </c>
      <c r="G730" s="1504">
        <v>2</v>
      </c>
      <c r="H730" s="1505" t="s">
        <v>1150</v>
      </c>
      <c r="I730" s="1506" t="s">
        <v>5201</v>
      </c>
    </row>
    <row r="731" spans="1:9" s="112" customFormat="1" ht="18" hidden="1" outlineLevel="1" x14ac:dyDescent="0.25">
      <c r="B731" s="1502" t="s">
        <v>5202</v>
      </c>
      <c r="C731" s="948" t="s">
        <v>403</v>
      </c>
      <c r="D731" s="948" t="s">
        <v>5203</v>
      </c>
      <c r="E731" s="1503"/>
      <c r="F731" s="1504" t="s">
        <v>384</v>
      </c>
      <c r="G731" s="1504">
        <v>2</v>
      </c>
      <c r="H731" s="1505" t="s">
        <v>1150</v>
      </c>
      <c r="I731" s="1506" t="s">
        <v>5204</v>
      </c>
    </row>
    <row r="732" spans="1:9" s="112" customFormat="1" ht="18.75" hidden="1" outlineLevel="1" x14ac:dyDescent="0.25">
      <c r="B732" s="1502" t="s">
        <v>5205</v>
      </c>
      <c r="C732" s="948" t="s">
        <v>2192</v>
      </c>
      <c r="D732" s="948" t="s">
        <v>2418</v>
      </c>
      <c r="E732" s="1503"/>
      <c r="F732" s="1504" t="s">
        <v>384</v>
      </c>
      <c r="G732" s="1504">
        <v>2</v>
      </c>
      <c r="H732" s="1505" t="s">
        <v>1150</v>
      </c>
      <c r="I732" s="1506"/>
    </row>
    <row r="733" spans="1:9" s="112" customFormat="1" ht="18.75" hidden="1" outlineLevel="1" x14ac:dyDescent="0.25">
      <c r="B733" s="1502" t="s">
        <v>5206</v>
      </c>
      <c r="C733" s="948" t="s">
        <v>2194</v>
      </c>
      <c r="D733" s="948" t="s">
        <v>2419</v>
      </c>
      <c r="E733" s="1503"/>
      <c r="F733" s="1504" t="s">
        <v>384</v>
      </c>
      <c r="G733" s="1504">
        <v>2</v>
      </c>
      <c r="H733" s="1505" t="s">
        <v>1150</v>
      </c>
      <c r="I733" s="1506"/>
    </row>
    <row r="734" spans="1:9" s="112" customFormat="1" ht="18" hidden="1" outlineLevel="1" x14ac:dyDescent="0.25">
      <c r="B734" s="1502" t="s">
        <v>5207</v>
      </c>
      <c r="C734" s="948" t="s">
        <v>422</v>
      </c>
      <c r="D734" s="948" t="s">
        <v>5208</v>
      </c>
      <c r="E734" s="1503"/>
      <c r="F734" s="1504" t="s">
        <v>384</v>
      </c>
      <c r="G734" s="1504">
        <v>2</v>
      </c>
      <c r="H734" s="1505" t="s">
        <v>1150</v>
      </c>
      <c r="I734" s="1506" t="s">
        <v>5209</v>
      </c>
    </row>
    <row r="735" spans="1:9" s="112" customFormat="1" ht="18.75" hidden="1" outlineLevel="1" x14ac:dyDescent="0.25">
      <c r="B735" s="1502" t="s">
        <v>5210</v>
      </c>
      <c r="C735" s="948" t="s">
        <v>405</v>
      </c>
      <c r="D735" s="948" t="s">
        <v>2417</v>
      </c>
      <c r="E735" s="1503"/>
      <c r="F735" s="1504" t="s">
        <v>384</v>
      </c>
      <c r="G735" s="1504">
        <v>2</v>
      </c>
      <c r="H735" s="1505" t="s">
        <v>1150</v>
      </c>
      <c r="I735" s="1506" t="s">
        <v>5211</v>
      </c>
    </row>
    <row r="736" spans="1:9" s="112" customFormat="1" ht="18.75" hidden="1" outlineLevel="1" x14ac:dyDescent="0.25">
      <c r="B736" s="1502" t="s">
        <v>5212</v>
      </c>
      <c r="C736" s="948" t="s">
        <v>407</v>
      </c>
      <c r="D736" s="948" t="s">
        <v>2422</v>
      </c>
      <c r="E736" s="1503"/>
      <c r="F736" s="1504" t="s">
        <v>384</v>
      </c>
      <c r="G736" s="1504">
        <v>2</v>
      </c>
      <c r="H736" s="1505" t="s">
        <v>1150</v>
      </c>
      <c r="I736" s="1506" t="s">
        <v>5213</v>
      </c>
    </row>
    <row r="737" spans="2:9" s="112" customFormat="1" ht="18.75" hidden="1" outlineLevel="1" x14ac:dyDescent="0.25">
      <c r="B737" s="1502" t="s">
        <v>5214</v>
      </c>
      <c r="C737" s="948" t="s">
        <v>409</v>
      </c>
      <c r="D737" s="948" t="s">
        <v>2423</v>
      </c>
      <c r="E737" s="1503"/>
      <c r="F737" s="1504" t="s">
        <v>384</v>
      </c>
      <c r="G737" s="1504">
        <v>2</v>
      </c>
      <c r="H737" s="1505" t="s">
        <v>1150</v>
      </c>
      <c r="I737" s="1506" t="s">
        <v>5215</v>
      </c>
    </row>
    <row r="738" spans="2:9" s="112" customFormat="1" ht="18.75" hidden="1" outlineLevel="1" x14ac:dyDescent="0.25">
      <c r="B738" s="1502" t="s">
        <v>5216</v>
      </c>
      <c r="C738" s="948" t="s">
        <v>411</v>
      </c>
      <c r="D738" s="948" t="s">
        <v>428</v>
      </c>
      <c r="E738" s="1503"/>
      <c r="F738" s="1504" t="s">
        <v>384</v>
      </c>
      <c r="G738" s="1504">
        <v>2</v>
      </c>
      <c r="H738" s="1505" t="s">
        <v>1150</v>
      </c>
      <c r="I738" s="1506" t="s">
        <v>5217</v>
      </c>
    </row>
    <row r="739" spans="2:9" s="112" customFormat="1" ht="18.75" hidden="1" outlineLevel="1" x14ac:dyDescent="0.25">
      <c r="B739" s="1502" t="s">
        <v>5218</v>
      </c>
      <c r="C739" s="948" t="s">
        <v>413</v>
      </c>
      <c r="D739" s="948" t="s">
        <v>429</v>
      </c>
      <c r="E739" s="1503"/>
      <c r="F739" s="1504" t="s">
        <v>384</v>
      </c>
      <c r="G739" s="1504">
        <v>2</v>
      </c>
      <c r="H739" s="1505" t="s">
        <v>1150</v>
      </c>
      <c r="I739" s="1506" t="s">
        <v>5219</v>
      </c>
    </row>
    <row r="740" spans="2:9" s="112" customFormat="1" ht="18.75" hidden="1" outlineLevel="1" x14ac:dyDescent="0.25">
      <c r="B740" s="1502" t="s">
        <v>5220</v>
      </c>
      <c r="C740" s="948" t="s">
        <v>415</v>
      </c>
      <c r="D740" s="948" t="s">
        <v>430</v>
      </c>
      <c r="E740" s="1503"/>
      <c r="F740" s="1504" t="s">
        <v>384</v>
      </c>
      <c r="G740" s="1504">
        <v>2</v>
      </c>
      <c r="H740" s="1505" t="s">
        <v>1150</v>
      </c>
      <c r="I740" s="1506" t="s">
        <v>5221</v>
      </c>
    </row>
    <row r="741" spans="2:9" s="112" customFormat="1" ht="18.75" hidden="1" outlineLevel="1" x14ac:dyDescent="0.25">
      <c r="B741" s="1502" t="s">
        <v>5222</v>
      </c>
      <c r="C741" s="948" t="s">
        <v>417</v>
      </c>
      <c r="D741" s="948" t="s">
        <v>431</v>
      </c>
      <c r="E741" s="1503"/>
      <c r="F741" s="1504" t="s">
        <v>384</v>
      </c>
      <c r="G741" s="1504">
        <v>2</v>
      </c>
      <c r="H741" s="1505" t="s">
        <v>1150</v>
      </c>
      <c r="I741" s="1506" t="s">
        <v>5223</v>
      </c>
    </row>
    <row r="742" spans="2:9" s="112" customFormat="1" ht="18.75" hidden="1" outlineLevel="1" x14ac:dyDescent="0.25">
      <c r="B742" s="1502" t="s">
        <v>418</v>
      </c>
      <c r="C742" s="948" t="s">
        <v>419</v>
      </c>
      <c r="D742" s="948" t="s">
        <v>2834</v>
      </c>
      <c r="E742" s="1503"/>
      <c r="F742" s="1504" t="s">
        <v>384</v>
      </c>
      <c r="G742" s="1504">
        <v>2</v>
      </c>
      <c r="H742" s="1505" t="s">
        <v>1150</v>
      </c>
      <c r="I742" s="1506" t="s">
        <v>5224</v>
      </c>
    </row>
    <row r="743" spans="2:9" s="112" customFormat="1" ht="18.75" hidden="1" outlineLevel="1" x14ac:dyDescent="0.25">
      <c r="B743" s="1502" t="s">
        <v>5225</v>
      </c>
      <c r="C743" s="948" t="s">
        <v>421</v>
      </c>
      <c r="D743" s="948" t="s">
        <v>2835</v>
      </c>
      <c r="E743" s="1503"/>
      <c r="F743" s="1504" t="s">
        <v>384</v>
      </c>
      <c r="G743" s="1504">
        <v>2</v>
      </c>
      <c r="H743" s="1505" t="s">
        <v>1150</v>
      </c>
      <c r="I743" s="1506" t="s">
        <v>5226</v>
      </c>
    </row>
    <row r="744" spans="2:9" s="112" customFormat="1" ht="18" hidden="1" outlineLevel="1" x14ac:dyDescent="0.25">
      <c r="B744" s="1502" t="s">
        <v>5227</v>
      </c>
      <c r="C744" s="948" t="s">
        <v>995</v>
      </c>
      <c r="D744" s="948" t="s">
        <v>991</v>
      </c>
      <c r="E744" s="1503"/>
      <c r="F744" s="1504" t="s">
        <v>384</v>
      </c>
      <c r="G744" s="1504">
        <v>2</v>
      </c>
      <c r="H744" s="1505" t="s">
        <v>1150</v>
      </c>
      <c r="I744" s="1506" t="s">
        <v>5228</v>
      </c>
    </row>
    <row r="745" spans="2:9" s="112" customFormat="1" ht="18" hidden="1" outlineLevel="1" x14ac:dyDescent="0.25">
      <c r="B745" s="1502" t="s">
        <v>5229</v>
      </c>
      <c r="C745" s="948" t="s">
        <v>996</v>
      </c>
      <c r="D745" s="948" t="s">
        <v>992</v>
      </c>
      <c r="E745" s="1503"/>
      <c r="F745" s="1504" t="s">
        <v>384</v>
      </c>
      <c r="G745" s="1504">
        <v>2</v>
      </c>
      <c r="H745" s="1505" t="s">
        <v>1150</v>
      </c>
      <c r="I745" s="1506" t="s">
        <v>5230</v>
      </c>
    </row>
    <row r="746" spans="2:9" s="112" customFormat="1" ht="18" hidden="1" outlineLevel="1" x14ac:dyDescent="0.25">
      <c r="B746" s="1502" t="s">
        <v>5231</v>
      </c>
      <c r="C746" s="948" t="s">
        <v>1051</v>
      </c>
      <c r="D746" s="948" t="s">
        <v>1160</v>
      </c>
      <c r="E746" s="1503"/>
      <c r="F746" s="1504" t="s">
        <v>384</v>
      </c>
      <c r="G746" s="1504">
        <v>2</v>
      </c>
      <c r="H746" s="1505" t="s">
        <v>1150</v>
      </c>
      <c r="I746" s="1506" t="s">
        <v>5232</v>
      </c>
    </row>
    <row r="747" spans="2:9" s="112" customFormat="1" ht="18" hidden="1" outlineLevel="1" x14ac:dyDescent="0.25">
      <c r="B747" s="1502" t="s">
        <v>5233</v>
      </c>
      <c r="C747" s="948" t="s">
        <v>1044</v>
      </c>
      <c r="D747" s="948" t="s">
        <v>1101</v>
      </c>
      <c r="E747" s="1503"/>
      <c r="F747" s="1504" t="s">
        <v>384</v>
      </c>
      <c r="G747" s="1504">
        <v>2</v>
      </c>
      <c r="H747" s="1505" t="s">
        <v>1150</v>
      </c>
      <c r="I747" s="1506" t="s">
        <v>5234</v>
      </c>
    </row>
    <row r="748" spans="2:9" s="112" customFormat="1" ht="18" hidden="1" outlineLevel="1" x14ac:dyDescent="0.25">
      <c r="B748" s="1502" t="s">
        <v>5235</v>
      </c>
      <c r="C748" s="948" t="s">
        <v>1053</v>
      </c>
      <c r="D748" s="948" t="s">
        <v>1161</v>
      </c>
      <c r="E748" s="1503"/>
      <c r="F748" s="1504" t="s">
        <v>384</v>
      </c>
      <c r="G748" s="1504">
        <v>2</v>
      </c>
      <c r="H748" s="1505" t="s">
        <v>1150</v>
      </c>
      <c r="I748" s="1506" t="s">
        <v>5236</v>
      </c>
    </row>
    <row r="749" spans="2:9" s="112" customFormat="1" ht="18.75" hidden="1" outlineLevel="1" thickBot="1" x14ac:dyDescent="0.3">
      <c r="B749" s="1842" t="s">
        <v>5237</v>
      </c>
      <c r="C749" s="1176" t="s">
        <v>1049</v>
      </c>
      <c r="D749" s="1176" t="s">
        <v>1597</v>
      </c>
      <c r="E749" s="1843"/>
      <c r="F749" s="1844" t="s">
        <v>384</v>
      </c>
      <c r="G749" s="1844">
        <v>2</v>
      </c>
      <c r="H749" s="1845" t="s">
        <v>1150</v>
      </c>
      <c r="I749" s="1846" t="s">
        <v>5238</v>
      </c>
    </row>
    <row r="750" spans="2:9" ht="15.75" collapsed="1" thickBot="1" x14ac:dyDescent="0.3"/>
    <row r="751" spans="2:9" ht="15.75" thickBot="1" x14ac:dyDescent="0.3">
      <c r="C751" s="1882" t="s">
        <v>5531</v>
      </c>
      <c r="D751" s="1375" t="s">
        <v>301</v>
      </c>
      <c r="E751" s="1375"/>
    </row>
    <row r="752" spans="2:9" ht="15.75" thickBot="1" x14ac:dyDescent="0.3">
      <c r="B752" s="955" t="s">
        <v>0</v>
      </c>
      <c r="C752" s="1883" t="s">
        <v>1</v>
      </c>
      <c r="D752" s="1883" t="s">
        <v>5</v>
      </c>
      <c r="E752" s="1883" t="s">
        <v>152</v>
      </c>
      <c r="F752" s="1883" t="s">
        <v>2</v>
      </c>
      <c r="G752" s="1883" t="s">
        <v>300</v>
      </c>
      <c r="H752" s="1883" t="s">
        <v>116</v>
      </c>
      <c r="I752" s="1884" t="s">
        <v>117</v>
      </c>
    </row>
    <row r="753" spans="1:9" ht="18" hidden="1" customHeight="1" outlineLevel="1" x14ac:dyDescent="0.25">
      <c r="B753" s="1885" t="s">
        <v>5240</v>
      </c>
      <c r="C753" s="1849" t="s">
        <v>2192</v>
      </c>
      <c r="D753" s="1854" t="s">
        <v>5241</v>
      </c>
      <c r="E753" s="1886">
        <f>conc_HNO2_I*A_MN*1000</f>
        <v>1.2045925763173627E-5</v>
      </c>
      <c r="F753" s="1849" t="s">
        <v>884</v>
      </c>
      <c r="G753" s="1849">
        <v>1</v>
      </c>
      <c r="H753" s="1849" t="s">
        <v>5244</v>
      </c>
      <c r="I753" s="1887"/>
    </row>
    <row r="754" spans="1:9" s="112" customFormat="1" ht="18.75" hidden="1" outlineLevel="1" thickBot="1" x14ac:dyDescent="0.3">
      <c r="B754" s="1842" t="s">
        <v>5242</v>
      </c>
      <c r="C754" s="1176" t="s">
        <v>401</v>
      </c>
      <c r="D754" s="1176" t="s">
        <v>5243</v>
      </c>
      <c r="E754" s="1843">
        <f>conc_NH3_I*A_MN*1000</f>
        <v>6.2425200277659324E-3</v>
      </c>
      <c r="F754" s="1844" t="s">
        <v>884</v>
      </c>
      <c r="G754" s="1844">
        <v>1</v>
      </c>
      <c r="H754" s="1845" t="s">
        <v>5245</v>
      </c>
      <c r="I754" s="1846"/>
    </row>
    <row r="755" spans="1:9" s="1730" customFormat="1" ht="18" customHeight="1" collapsed="1" thickBot="1" x14ac:dyDescent="0.3">
      <c r="A755" s="4"/>
      <c r="B755" s="4"/>
      <c r="C755" s="4"/>
      <c r="D755" s="4"/>
      <c r="E755" s="2253"/>
      <c r="F755" s="4"/>
      <c r="G755" s="4"/>
      <c r="H755" s="4"/>
      <c r="I755" s="4"/>
    </row>
    <row r="756" spans="1:9" s="1730" customFormat="1" ht="18" customHeight="1" thickBot="1" x14ac:dyDescent="0.3">
      <c r="A756" s="4"/>
      <c r="B756" s="112"/>
      <c r="C756" s="1847" t="s">
        <v>394</v>
      </c>
      <c r="D756" s="14" t="s">
        <v>301</v>
      </c>
      <c r="E756" s="14"/>
      <c r="F756" s="112"/>
      <c r="G756" s="112"/>
      <c r="H756" s="112"/>
      <c r="I756" s="112"/>
    </row>
    <row r="757" spans="1:9" s="1730" customFormat="1" ht="18" customHeight="1" thickBot="1" x14ac:dyDescent="0.3">
      <c r="A757" s="4"/>
      <c r="B757" s="1874" t="s">
        <v>0</v>
      </c>
      <c r="C757" s="1875" t="s">
        <v>1</v>
      </c>
      <c r="D757" s="1876" t="s">
        <v>5</v>
      </c>
      <c r="E757" s="1876" t="s">
        <v>152</v>
      </c>
      <c r="F757" s="1876" t="s">
        <v>2</v>
      </c>
      <c r="G757" s="1876" t="s">
        <v>300</v>
      </c>
      <c r="H757" s="1876" t="s">
        <v>116</v>
      </c>
      <c r="I757" s="1877" t="s">
        <v>117</v>
      </c>
    </row>
    <row r="758" spans="1:9" s="112" customFormat="1" ht="18.75" hidden="1" outlineLevel="1" x14ac:dyDescent="0.25">
      <c r="B758" s="1848" t="s">
        <v>894</v>
      </c>
      <c r="C758" s="1849" t="s">
        <v>895</v>
      </c>
      <c r="D758" s="1849" t="s">
        <v>1871</v>
      </c>
      <c r="E758" s="1850"/>
      <c r="F758" s="1851" t="s">
        <v>384</v>
      </c>
      <c r="G758" s="1851">
        <v>3</v>
      </c>
      <c r="H758" s="1852" t="s">
        <v>1150</v>
      </c>
      <c r="I758" s="1880"/>
    </row>
    <row r="759" spans="1:9" s="112" customFormat="1" ht="18.75" hidden="1" outlineLevel="1" x14ac:dyDescent="0.25">
      <c r="B759" s="1502" t="s">
        <v>896</v>
      </c>
      <c r="C759" s="948" t="s">
        <v>897</v>
      </c>
      <c r="D759" s="948" t="s">
        <v>1872</v>
      </c>
      <c r="E759" s="1503"/>
      <c r="F759" s="1504" t="s">
        <v>384</v>
      </c>
      <c r="G759" s="1504">
        <v>3</v>
      </c>
      <c r="H759" s="1506" t="s">
        <v>1150</v>
      </c>
      <c r="I759" s="1881"/>
    </row>
    <row r="760" spans="1:9" s="112" customFormat="1" ht="18.75" hidden="1" outlineLevel="1" x14ac:dyDescent="0.25">
      <c r="B760" s="1502" t="s">
        <v>898</v>
      </c>
      <c r="C760" s="948" t="s">
        <v>899</v>
      </c>
      <c r="D760" s="948" t="s">
        <v>2832</v>
      </c>
      <c r="E760" s="1503"/>
      <c r="F760" s="1504" t="s">
        <v>384</v>
      </c>
      <c r="G760" s="1504">
        <v>3</v>
      </c>
      <c r="H760" s="1506" t="s">
        <v>1150</v>
      </c>
      <c r="I760" s="1881"/>
    </row>
    <row r="761" spans="1:9" s="112" customFormat="1" ht="18.75" hidden="1" outlineLevel="1" x14ac:dyDescent="0.25">
      <c r="B761" s="1502" t="s">
        <v>2351</v>
      </c>
      <c r="C761" s="948" t="s">
        <v>2352</v>
      </c>
      <c r="D761" s="948" t="s">
        <v>2833</v>
      </c>
      <c r="E761" s="1503"/>
      <c r="F761" s="1504" t="s">
        <v>384</v>
      </c>
      <c r="G761" s="1504">
        <v>3</v>
      </c>
      <c r="H761" s="1506" t="s">
        <v>1150</v>
      </c>
      <c r="I761" s="1881"/>
    </row>
    <row r="762" spans="1:9" s="112" customFormat="1" ht="38.25" hidden="1" outlineLevel="1" thickBot="1" x14ac:dyDescent="0.3">
      <c r="B762" s="1842" t="s">
        <v>1279</v>
      </c>
      <c r="C762" s="1176" t="s">
        <v>394</v>
      </c>
      <c r="D762" s="1176" t="s">
        <v>2353</v>
      </c>
      <c r="E762" s="1843"/>
      <c r="F762" s="1844" t="s">
        <v>1873</v>
      </c>
      <c r="G762" s="1844">
        <v>4</v>
      </c>
      <c r="H762" s="1846" t="s">
        <v>1150</v>
      </c>
      <c r="I762" s="1881"/>
    </row>
    <row r="763" spans="1:9" s="1730" customFormat="1" ht="18" customHeight="1" collapsed="1" thickBot="1" x14ac:dyDescent="0.3">
      <c r="A763" s="4"/>
      <c r="B763" s="4"/>
      <c r="C763" s="4"/>
      <c r="D763" s="4"/>
      <c r="E763" s="2253"/>
      <c r="F763" s="4"/>
      <c r="G763" s="4"/>
      <c r="H763" s="4"/>
      <c r="I763" s="4"/>
    </row>
    <row r="764" spans="1:9" s="1730" customFormat="1" ht="18" customHeight="1" thickBot="1" x14ac:dyDescent="0.3">
      <c r="A764" s="4"/>
      <c r="B764" s="112"/>
      <c r="C764" s="1847" t="s">
        <v>5239</v>
      </c>
      <c r="D764" s="14" t="s">
        <v>301</v>
      </c>
      <c r="E764" s="14"/>
      <c r="F764" s="112"/>
      <c r="G764" s="112"/>
      <c r="H764" s="112"/>
      <c r="I764" s="112"/>
    </row>
    <row r="765" spans="1:9" s="1730" customFormat="1" ht="18" customHeight="1" x14ac:dyDescent="0.25">
      <c r="A765" s="4"/>
      <c r="B765" s="2305" t="s">
        <v>0</v>
      </c>
      <c r="C765" s="2307" t="s">
        <v>1</v>
      </c>
      <c r="D765" s="2309" t="s">
        <v>5</v>
      </c>
      <c r="E765" s="2309" t="s">
        <v>152</v>
      </c>
      <c r="F765" s="2309" t="s">
        <v>2</v>
      </c>
      <c r="G765" s="2309" t="s">
        <v>300</v>
      </c>
      <c r="H765" s="2309" t="s">
        <v>116</v>
      </c>
      <c r="I765" s="2311" t="s">
        <v>117</v>
      </c>
    </row>
    <row r="766" spans="1:9" s="112" customFormat="1" ht="18" hidden="1" outlineLevel="1" x14ac:dyDescent="0.25">
      <c r="B766" s="1848" t="s">
        <v>3082</v>
      </c>
      <c r="C766" s="1849" t="s">
        <v>3107</v>
      </c>
      <c r="D766" s="1854" t="s">
        <v>3108</v>
      </c>
      <c r="E766" s="1855">
        <f>k_LaGCO2_bub*(S_GCO2_bub_sat-conc_H2CO3_I*M_MEQ_GCO2*c_L_m3)</f>
        <v>2861.6873452767227</v>
      </c>
      <c r="F766" s="1851" t="s">
        <v>1312</v>
      </c>
      <c r="G766" s="1851">
        <v>1</v>
      </c>
      <c r="H766" s="1851"/>
      <c r="I766" s="1852"/>
    </row>
    <row r="767" spans="1:9" s="112" customFormat="1" ht="18" hidden="1" outlineLevel="1" x14ac:dyDescent="0.25">
      <c r="B767" s="1856" t="s">
        <v>3086</v>
      </c>
      <c r="C767" s="949" t="s">
        <v>3109</v>
      </c>
      <c r="D767" s="1177" t="s">
        <v>3110</v>
      </c>
      <c r="E767" s="1857">
        <f>k_LaGNH3_bub*(S_GNH3_bub_sat-conc_NH3_I*M_MEQ_GNH3*c_L_m3)</f>
        <v>0</v>
      </c>
      <c r="F767" s="1505" t="s">
        <v>1312</v>
      </c>
      <c r="G767" s="1505">
        <v>1</v>
      </c>
      <c r="H767" s="1505"/>
      <c r="I767" s="1506"/>
    </row>
    <row r="768" spans="1:9" s="112" customFormat="1" ht="18" hidden="1" outlineLevel="1" x14ac:dyDescent="0.25">
      <c r="B768" s="1856" t="s">
        <v>3071</v>
      </c>
      <c r="C768" s="949" t="s">
        <v>3111</v>
      </c>
      <c r="D768" s="1177" t="s">
        <v>3112</v>
      </c>
      <c r="E768" s="1857">
        <f>k_LaGCO2_sur*(S_GCO2_sur_sat-conc_H2CO3_I*M_MEQ_GCO2*c_L_m3)</f>
        <v>85.864791591722664</v>
      </c>
      <c r="F768" s="1505" t="s">
        <v>1312</v>
      </c>
      <c r="G768" s="1505">
        <v>1</v>
      </c>
      <c r="H768" s="1505"/>
      <c r="I768" s="1506"/>
    </row>
    <row r="769" spans="1:9" s="112" customFormat="1" ht="18.75" hidden="1" outlineLevel="1" thickBot="1" x14ac:dyDescent="0.3">
      <c r="B769" s="1858" t="s">
        <v>3079</v>
      </c>
      <c r="C769" s="1859" t="s">
        <v>3113</v>
      </c>
      <c r="D769" s="1860" t="s">
        <v>3114</v>
      </c>
      <c r="E769" s="1861">
        <f>k_LaGNH3_sur*(S_GNH3_sur_sat-conc_NH3_I*M_MEQ_GNH3*c_L_m3)</f>
        <v>0</v>
      </c>
      <c r="F769" s="1845" t="s">
        <v>1312</v>
      </c>
      <c r="G769" s="1845">
        <v>1</v>
      </c>
      <c r="H769" s="1845"/>
      <c r="I769" s="1846"/>
    </row>
    <row r="770" spans="1:9" s="1730" customFormat="1" ht="18" customHeight="1" collapsed="1" thickBot="1" x14ac:dyDescent="0.3">
      <c r="A770" s="4"/>
      <c r="B770" s="4"/>
      <c r="C770" s="4"/>
      <c r="D770" s="4"/>
      <c r="E770" s="2253"/>
      <c r="F770" s="4"/>
      <c r="G770" s="4"/>
      <c r="H770" s="4"/>
      <c r="I770" s="4"/>
    </row>
    <row r="771" spans="1:9" s="1730" customFormat="1" ht="18" customHeight="1" thickBot="1" x14ac:dyDescent="0.3">
      <c r="A771" s="4"/>
      <c r="B771" s="112"/>
      <c r="C771" s="1847" t="s">
        <v>443</v>
      </c>
      <c r="D771" s="14" t="s">
        <v>301</v>
      </c>
      <c r="E771" s="14"/>
      <c r="F771" s="112"/>
      <c r="G771" s="112"/>
      <c r="H771" s="112"/>
      <c r="I771" s="112"/>
    </row>
    <row r="772" spans="1:9" s="1730" customFormat="1" ht="18" customHeight="1" thickBot="1" x14ac:dyDescent="0.3">
      <c r="A772" s="4"/>
      <c r="B772" s="1874" t="s">
        <v>0</v>
      </c>
      <c r="C772" s="1875" t="s">
        <v>1</v>
      </c>
      <c r="D772" s="1876" t="s">
        <v>5</v>
      </c>
      <c r="E772" s="1876" t="s">
        <v>152</v>
      </c>
      <c r="F772" s="1876" t="s">
        <v>2</v>
      </c>
      <c r="G772" s="1876" t="s">
        <v>300</v>
      </c>
      <c r="H772" s="1876" t="s">
        <v>116</v>
      </c>
      <c r="I772" s="1877" t="s">
        <v>117</v>
      </c>
    </row>
    <row r="773" spans="1:9" s="112" customFormat="1" ht="18" hidden="1" outlineLevel="1" x14ac:dyDescent="0.25">
      <c r="B773" s="1862" t="s">
        <v>3478</v>
      </c>
      <c r="C773" s="1863" t="s">
        <v>3483</v>
      </c>
      <c r="D773" s="1863" t="s">
        <v>3488</v>
      </c>
      <c r="E773" s="1864">
        <f>f_kL_GN2*(D_GN2_25/D_GO2_25)^0.5*k_L_GO2_bub</f>
        <v>11.827508281675817</v>
      </c>
      <c r="F773" s="1863" t="s">
        <v>3115</v>
      </c>
      <c r="G773" s="1863">
        <v>2</v>
      </c>
      <c r="H773" s="1865"/>
      <c r="I773" s="1866"/>
    </row>
    <row r="774" spans="1:9" s="112" customFormat="1" ht="18" hidden="1" outlineLevel="1" x14ac:dyDescent="0.25">
      <c r="B774" s="1867" t="s">
        <v>3479</v>
      </c>
      <c r="C774" s="1191" t="s">
        <v>3484</v>
      </c>
      <c r="D774" s="1191" t="s">
        <v>3489</v>
      </c>
      <c r="E774" s="1290">
        <f>f_kL_GCO2*(D_GCO2_25/D_GO2_25)^0.5*k_L_GO2_bub</f>
        <v>11.5508031163023</v>
      </c>
      <c r="F774" s="1191" t="s">
        <v>3115</v>
      </c>
      <c r="G774" s="1191">
        <v>2</v>
      </c>
      <c r="H774" s="1279"/>
      <c r="I774" s="1868"/>
    </row>
    <row r="775" spans="1:9" s="112" customFormat="1" ht="18" hidden="1" outlineLevel="1" x14ac:dyDescent="0.25">
      <c r="B775" s="1867" t="s">
        <v>3480</v>
      </c>
      <c r="C775" s="1191" t="s">
        <v>3485</v>
      </c>
      <c r="D775" s="1191" t="s">
        <v>3490</v>
      </c>
      <c r="E775" s="1290">
        <f>f_kL_GCH4*(D_GCH4_25/D_GO2_25)^0.5*k_L_GO2_bub</f>
        <v>10.976486395405258</v>
      </c>
      <c r="F775" s="1191" t="s">
        <v>3115</v>
      </c>
      <c r="G775" s="1191">
        <v>2</v>
      </c>
      <c r="H775" s="1279"/>
      <c r="I775" s="1868"/>
    </row>
    <row r="776" spans="1:9" s="112" customFormat="1" ht="18" hidden="1" outlineLevel="1" x14ac:dyDescent="0.25">
      <c r="B776" s="1867" t="s">
        <v>3481</v>
      </c>
      <c r="C776" s="1191" t="s">
        <v>3486</v>
      </c>
      <c r="D776" s="1191" t="s">
        <v>3491</v>
      </c>
      <c r="E776" s="1290">
        <f>f_kL_GH2*(D_GH2_25/D_GO2_25)^0.5*k_L_GO2_bub</f>
        <v>19.07552353373622</v>
      </c>
      <c r="F776" s="1191" t="s">
        <v>3115</v>
      </c>
      <c r="G776" s="1191">
        <v>2</v>
      </c>
      <c r="H776" s="1279"/>
      <c r="I776" s="1868"/>
    </row>
    <row r="777" spans="1:9" ht="18" hidden="1" customHeight="1" outlineLevel="1" x14ac:dyDescent="0.25">
      <c r="B777" s="1867" t="s">
        <v>5246</v>
      </c>
      <c r="C777" s="1191" t="s">
        <v>5247</v>
      </c>
      <c r="D777" s="1191" t="s">
        <v>5248</v>
      </c>
      <c r="E777" s="1888">
        <f>f_kL_GN2O*(D_GN2O_25/D_GO2_25)^0.5*k_L_GO2_bub</f>
        <v>14.075157116241719</v>
      </c>
      <c r="F777" s="1191" t="s">
        <v>3115</v>
      </c>
      <c r="G777" s="1191">
        <v>1</v>
      </c>
      <c r="H777" s="1191"/>
      <c r="I777" s="1889"/>
    </row>
    <row r="778" spans="1:9" ht="18" hidden="1" customHeight="1" outlineLevel="1" x14ac:dyDescent="0.25">
      <c r="B778" s="1867" t="s">
        <v>5249</v>
      </c>
      <c r="C778" s="1191" t="s">
        <v>5250</v>
      </c>
      <c r="D778" s="1191" t="s">
        <v>5251</v>
      </c>
      <c r="E778" s="1888">
        <f>f_kL_GNO*(D_GNO_25/D_GO2_25)^0.5*k_L_GO2_bub</f>
        <v>0</v>
      </c>
      <c r="F778" s="1191" t="s">
        <v>3115</v>
      </c>
      <c r="G778" s="1191">
        <v>1</v>
      </c>
      <c r="H778" s="1191"/>
      <c r="I778" s="1889"/>
    </row>
    <row r="779" spans="1:9" s="112" customFormat="1" ht="18" hidden="1" outlineLevel="1" x14ac:dyDescent="0.25">
      <c r="B779" s="1867" t="s">
        <v>3482</v>
      </c>
      <c r="C779" s="1191" t="s">
        <v>3487</v>
      </c>
      <c r="D779" s="1191" t="s">
        <v>3492</v>
      </c>
      <c r="E779" s="1290">
        <f>f_kL_GNH3*(D_GNH3_25/D_GO2_25)^0.5*k_L_GO2_bub</f>
        <v>1.1001798895970079</v>
      </c>
      <c r="F779" s="1191" t="s">
        <v>3115</v>
      </c>
      <c r="G779" s="1191">
        <v>2</v>
      </c>
      <c r="H779" s="1279"/>
      <c r="I779" s="1868"/>
    </row>
    <row r="780" spans="1:9" s="112" customFormat="1" ht="18" hidden="1" outlineLevel="1" x14ac:dyDescent="0.25">
      <c r="B780" s="1869" t="s">
        <v>3493</v>
      </c>
      <c r="C780" s="941" t="s">
        <v>3498</v>
      </c>
      <c r="D780" s="941" t="s">
        <v>3503</v>
      </c>
      <c r="E780" s="1762">
        <f>f_kL_GN2*(D_GN2_25/D_GO2_25)^0.5*k_L_GO2_sur</f>
        <v>6.9145433031335548</v>
      </c>
      <c r="F780" s="941" t="s">
        <v>3115</v>
      </c>
      <c r="G780" s="941">
        <v>2</v>
      </c>
      <c r="H780" s="316"/>
      <c r="I780" s="377"/>
    </row>
    <row r="781" spans="1:9" s="112" customFormat="1" ht="18" hidden="1" outlineLevel="1" x14ac:dyDescent="0.25">
      <c r="B781" s="1867" t="s">
        <v>3494</v>
      </c>
      <c r="C781" s="1191" t="s">
        <v>3499</v>
      </c>
      <c r="D781" s="1191" t="s">
        <v>3504</v>
      </c>
      <c r="E781" s="1290">
        <f>f_kL_GCO2*(D_GCO2_25/D_GO2_25)^0.5*k_L_GO2_sur</f>
        <v>6.7527772064536524</v>
      </c>
      <c r="F781" s="1191" t="s">
        <v>3115</v>
      </c>
      <c r="G781" s="1191">
        <v>2</v>
      </c>
      <c r="H781" s="1279"/>
      <c r="I781" s="1868"/>
    </row>
    <row r="782" spans="1:9" s="112" customFormat="1" ht="18" hidden="1" outlineLevel="1" x14ac:dyDescent="0.25">
      <c r="B782" s="1867" t="s">
        <v>3495</v>
      </c>
      <c r="C782" s="1191" t="s">
        <v>3500</v>
      </c>
      <c r="D782" s="1191" t="s">
        <v>3505</v>
      </c>
      <c r="E782" s="1290">
        <f>f_kL_GCH4*(D_GCH4_25/D_GO2_25)^0.5*k_L_GO2_sur</f>
        <v>6.4170228157753817</v>
      </c>
      <c r="F782" s="1191" t="s">
        <v>3115</v>
      </c>
      <c r="G782" s="1191">
        <v>2</v>
      </c>
      <c r="H782" s="1279"/>
      <c r="I782" s="1868"/>
    </row>
    <row r="783" spans="1:9" s="112" customFormat="1" ht="18" hidden="1" outlineLevel="1" x14ac:dyDescent="0.25">
      <c r="B783" s="1867" t="s">
        <v>3496</v>
      </c>
      <c r="C783" s="1191" t="s">
        <v>3501</v>
      </c>
      <c r="D783" s="1191" t="s">
        <v>3506</v>
      </c>
      <c r="E783" s="1290">
        <f>f_kL_GH2*(D_GH2_25/D_GO2_25)^0.5*k_L_GO2_sur</f>
        <v>11.151844527415021</v>
      </c>
      <c r="F783" s="1191" t="s">
        <v>3115</v>
      </c>
      <c r="G783" s="1191">
        <v>2</v>
      </c>
      <c r="H783" s="1279"/>
      <c r="I783" s="1868"/>
    </row>
    <row r="784" spans="1:9" ht="18" hidden="1" customHeight="1" outlineLevel="1" x14ac:dyDescent="0.25">
      <c r="B784" s="1867" t="s">
        <v>5252</v>
      </c>
      <c r="C784" s="1191" t="s">
        <v>5253</v>
      </c>
      <c r="D784" s="1191" t="s">
        <v>5254</v>
      </c>
      <c r="E784" s="1888">
        <f>f_kL_GN2O*(D_GN2O_25/D_GO2_25)^0.5*k_L_GO2_sur</f>
        <v>8.2285533910336195</v>
      </c>
      <c r="F784" s="1191" t="s">
        <v>3115</v>
      </c>
      <c r="G784" s="1191">
        <v>1</v>
      </c>
      <c r="H784" s="1191"/>
      <c r="I784" s="1889"/>
    </row>
    <row r="785" spans="1:9" ht="18" hidden="1" customHeight="1" outlineLevel="1" x14ac:dyDescent="0.25">
      <c r="B785" s="1867" t="s">
        <v>5255</v>
      </c>
      <c r="C785" s="1191" t="s">
        <v>5256</v>
      </c>
      <c r="D785" s="1191" t="s">
        <v>5257</v>
      </c>
      <c r="E785" s="1888">
        <f>f_kL_GNO*(D_GNO_25/D_GO2_25)^0.5*k_L_GO2_sur</f>
        <v>0</v>
      </c>
      <c r="F785" s="1191" t="s">
        <v>3115</v>
      </c>
      <c r="G785" s="1191">
        <v>1</v>
      </c>
      <c r="H785" s="1191"/>
      <c r="I785" s="1889"/>
    </row>
    <row r="786" spans="1:9" s="112" customFormat="1" ht="18.75" hidden="1" outlineLevel="1" thickBot="1" x14ac:dyDescent="0.3">
      <c r="B786" s="1870" t="s">
        <v>3497</v>
      </c>
      <c r="C786" s="1802" t="s">
        <v>3502</v>
      </c>
      <c r="D786" s="1172" t="s">
        <v>3507</v>
      </c>
      <c r="E786" s="1871">
        <f>f_kL_GNH3*(D_GNH3_25/D_GO2_25)^0.5*k_L_GO2_sur</f>
        <v>0.64318208930286602</v>
      </c>
      <c r="F786" s="1172" t="s">
        <v>3115</v>
      </c>
      <c r="G786" s="1172">
        <v>2</v>
      </c>
      <c r="H786" s="1872"/>
      <c r="I786" s="1873"/>
    </row>
    <row r="787" spans="1:9" s="1730" customFormat="1" ht="18" customHeight="1" collapsed="1" thickBot="1" x14ac:dyDescent="0.3">
      <c r="A787" s="4"/>
      <c r="B787" s="4"/>
      <c r="C787" s="4"/>
      <c r="D787" s="4"/>
      <c r="E787" s="2253"/>
      <c r="F787" s="4"/>
      <c r="G787" s="4"/>
      <c r="H787" s="4"/>
      <c r="I787" s="4"/>
    </row>
    <row r="788" spans="1:9" s="1730" customFormat="1" ht="18" customHeight="1" thickBot="1" x14ac:dyDescent="0.3">
      <c r="A788" s="4"/>
      <c r="B788" s="112"/>
      <c r="C788" s="1847" t="s">
        <v>4395</v>
      </c>
      <c r="D788" s="14" t="s">
        <v>301</v>
      </c>
      <c r="E788" s="14"/>
      <c r="F788" s="112"/>
      <c r="G788" s="112"/>
      <c r="H788" s="112"/>
      <c r="I788" s="112"/>
    </row>
    <row r="789" spans="1:9" s="1730" customFormat="1" ht="18" customHeight="1" thickBot="1" x14ac:dyDescent="0.3">
      <c r="A789" s="4"/>
      <c r="B789" s="1874" t="s">
        <v>0</v>
      </c>
      <c r="C789" s="1875" t="s">
        <v>1</v>
      </c>
      <c r="D789" s="1876" t="s">
        <v>5</v>
      </c>
      <c r="E789" s="1876" t="s">
        <v>152</v>
      </c>
      <c r="F789" s="1876" t="s">
        <v>2</v>
      </c>
      <c r="G789" s="1876" t="s">
        <v>300</v>
      </c>
      <c r="H789" s="1876" t="s">
        <v>116</v>
      </c>
      <c r="I789" s="1877" t="s">
        <v>117</v>
      </c>
    </row>
    <row r="790" spans="1:9" s="1730" customFormat="1" ht="18" hidden="1" outlineLevel="1" x14ac:dyDescent="0.25">
      <c r="A790" s="4"/>
      <c r="B790" s="633" t="s">
        <v>4835</v>
      </c>
      <c r="C790" s="1753" t="s">
        <v>4840</v>
      </c>
      <c r="D790" s="1763" t="s">
        <v>4841</v>
      </c>
      <c r="E790" s="1764">
        <f>q_ALPHA*((1-f_O2_max_ALPHA)*S_O2/(K_O2_ALPHA+S_O2)+f_O2_max_ALPHA)</f>
        <v>1.4512195121951217E-3</v>
      </c>
      <c r="F790" s="1751" t="s">
        <v>4037</v>
      </c>
      <c r="G790" s="1752">
        <v>4</v>
      </c>
      <c r="H790" s="1753"/>
      <c r="I790" s="1463"/>
    </row>
    <row r="791" spans="1:9" s="1730" customFormat="1" ht="18" hidden="1" outlineLevel="1" x14ac:dyDescent="0.25">
      <c r="A791" s="4"/>
      <c r="B791" s="633" t="s">
        <v>4396</v>
      </c>
      <c r="C791" s="1765" t="s">
        <v>4839</v>
      </c>
      <c r="D791" s="1763" t="s">
        <v>4397</v>
      </c>
      <c r="E791" s="1766">
        <f>1+c_oeffdamp_ALPHA*(S_ALPHA/S_ALPHA_sat)^p_owdamp_ALPHA</f>
        <v>1.0266520317554391</v>
      </c>
      <c r="F791" s="1751" t="s">
        <v>1981</v>
      </c>
      <c r="G791" s="1752">
        <v>2</v>
      </c>
      <c r="H791" s="1753"/>
      <c r="I791" s="1463"/>
    </row>
    <row r="792" spans="1:9" s="1730" customFormat="1" ht="18" hidden="1" outlineLevel="1" x14ac:dyDescent="0.25">
      <c r="A792" s="4"/>
      <c r="B792" s="633" t="s">
        <v>4830</v>
      </c>
      <c r="C792" s="1765" t="s">
        <v>4831</v>
      </c>
      <c r="D792" s="1763" t="s">
        <v>4832</v>
      </c>
      <c r="E792" s="1766">
        <f>(S_ALPHA-1)*EXP(s_lh_diff_α*h_diff)+1</f>
        <v>0.87571117407946009</v>
      </c>
      <c r="F792" s="1751" t="s">
        <v>1981</v>
      </c>
      <c r="G792" s="1752">
        <v>2</v>
      </c>
      <c r="H792" s="1753" t="s">
        <v>4844</v>
      </c>
      <c r="I792" s="1463"/>
    </row>
    <row r="793" spans="1:9" s="1730" customFormat="1" ht="18" hidden="1" outlineLevel="1" x14ac:dyDescent="0.25">
      <c r="A793" s="4"/>
      <c r="B793" s="633" t="s">
        <v>4398</v>
      </c>
      <c r="C793" s="1765" t="s">
        <v>4833</v>
      </c>
      <c r="D793" s="1763" t="s">
        <v>4399</v>
      </c>
      <c r="E793" s="1766">
        <f>EXP(s_lTSS_α_def*X_TSS/c_g_kg)</f>
        <v>0.83940376062496358</v>
      </c>
      <c r="F793" s="1751" t="s">
        <v>1981</v>
      </c>
      <c r="G793" s="1752">
        <v>2</v>
      </c>
      <c r="H793" s="1753" t="s">
        <v>4845</v>
      </c>
      <c r="I793" s="1463"/>
    </row>
    <row r="794" spans="1:9" s="1730" customFormat="1" ht="18" hidden="1" outlineLevel="1" x14ac:dyDescent="0.25">
      <c r="A794" s="4"/>
      <c r="B794" s="633" t="s">
        <v>4398</v>
      </c>
      <c r="C794" s="1765" t="s">
        <v>4833</v>
      </c>
      <c r="D794" s="1763" t="s">
        <v>4400</v>
      </c>
      <c r="E794" s="1766">
        <f>EXP(s_lTSS_α_coarse*X_TSS/c_g_kg)</f>
        <v>0.88984413099653981</v>
      </c>
      <c r="F794" s="1751" t="s">
        <v>1981</v>
      </c>
      <c r="G794" s="1752">
        <v>2</v>
      </c>
      <c r="H794" s="1753" t="s">
        <v>4401</v>
      </c>
      <c r="I794" s="1463"/>
    </row>
    <row r="795" spans="1:9" s="1730" customFormat="1" ht="18" hidden="1" outlineLevel="1" x14ac:dyDescent="0.25">
      <c r="A795" s="4"/>
      <c r="B795" s="633" t="s">
        <v>4398</v>
      </c>
      <c r="C795" s="1765" t="s">
        <v>4833</v>
      </c>
      <c r="D795" s="1763" t="s">
        <v>4400</v>
      </c>
      <c r="E795" s="1766">
        <f>EXP(s_lTSS_α_coarse*X_TSS/c_g_kg)</f>
        <v>0.88984413099653981</v>
      </c>
      <c r="F795" s="1751" t="s">
        <v>1981</v>
      </c>
      <c r="G795" s="1752">
        <v>2</v>
      </c>
      <c r="H795" s="1753" t="s">
        <v>4402</v>
      </c>
      <c r="I795" s="1463"/>
    </row>
    <row r="796" spans="1:9" s="1730" customFormat="1" ht="18" hidden="1" outlineLevel="1" x14ac:dyDescent="0.25">
      <c r="A796" s="4"/>
      <c r="B796" s="633" t="s">
        <v>4398</v>
      </c>
      <c r="C796" s="1765" t="s">
        <v>4833</v>
      </c>
      <c r="D796" s="1763" t="s">
        <v>4403</v>
      </c>
      <c r="E796" s="1766">
        <f>c_oefflead_TSS_α_mech*(X_TSS/c_g_kg)^2+c_oefflin_TSS_α_mech*X_TSS/c_g_kg+c_onstTSS_α_mech</f>
        <v>0.92935218789478835</v>
      </c>
      <c r="F796" s="1751" t="s">
        <v>1981</v>
      </c>
      <c r="G796" s="1752">
        <v>2</v>
      </c>
      <c r="H796" s="1753" t="s">
        <v>4404</v>
      </c>
      <c r="I796" s="1463"/>
    </row>
    <row r="797" spans="1:9" s="1730" customFormat="1" ht="18" hidden="1" outlineLevel="1" x14ac:dyDescent="0.25">
      <c r="A797" s="4"/>
      <c r="B797" s="1466" t="s">
        <v>4405</v>
      </c>
      <c r="C797" s="1767" t="s">
        <v>4406</v>
      </c>
      <c r="D797" s="1768" t="s">
        <v>4834</v>
      </c>
      <c r="E797" s="1769">
        <f>S_ALPHA/c_orrh_diff_α*c_orrTSS_α</f>
        <v>0.47926975552603718</v>
      </c>
      <c r="F797" s="1754" t="s">
        <v>1981</v>
      </c>
      <c r="G797" s="1755">
        <v>2</v>
      </c>
      <c r="H797" s="1756" t="s">
        <v>4844</v>
      </c>
      <c r="I797" s="1467"/>
    </row>
    <row r="798" spans="1:9" s="1730" customFormat="1" ht="18.75" hidden="1" outlineLevel="1" thickBot="1" x14ac:dyDescent="0.3">
      <c r="A798" s="4"/>
      <c r="B798" s="1464" t="s">
        <v>4405</v>
      </c>
      <c r="C798" s="1759" t="s">
        <v>4406</v>
      </c>
      <c r="D798" s="1770" t="s">
        <v>4843</v>
      </c>
      <c r="E798" s="1771">
        <f>S_ALPHA*c_orrTSS_α</f>
        <v>0.41970188031248179</v>
      </c>
      <c r="F798" s="1757" t="s">
        <v>1981</v>
      </c>
      <c r="G798" s="1758">
        <v>2</v>
      </c>
      <c r="H798" s="1759" t="s">
        <v>4404</v>
      </c>
      <c r="I798" s="1465"/>
    </row>
    <row r="799" spans="1:9" s="1730" customFormat="1" ht="15.75" collapsed="1" thickBot="1" x14ac:dyDescent="0.3">
      <c r="B799" s="2184"/>
      <c r="C799" s="125"/>
      <c r="D799" s="2225"/>
      <c r="E799" s="2258"/>
      <c r="F799" s="929"/>
      <c r="G799" s="130"/>
      <c r="H799" s="125"/>
      <c r="I799" s="2303"/>
    </row>
    <row r="800" spans="1:9" s="112" customFormat="1" ht="15.75" thickBot="1" x14ac:dyDescent="0.3">
      <c r="C800" s="1665" t="s">
        <v>280</v>
      </c>
      <c r="D800" s="14" t="s">
        <v>1211</v>
      </c>
      <c r="E800" s="14"/>
    </row>
    <row r="801" spans="2:9" s="112" customFormat="1" ht="15.75" thickBot="1" x14ac:dyDescent="0.3">
      <c r="B801" s="1874" t="s">
        <v>0</v>
      </c>
      <c r="C801" s="1875" t="s">
        <v>1</v>
      </c>
      <c r="D801" s="1876" t="s">
        <v>5</v>
      </c>
      <c r="E801" s="1876" t="s">
        <v>152</v>
      </c>
      <c r="F801" s="1876" t="s">
        <v>2</v>
      </c>
      <c r="G801" s="1876" t="s">
        <v>300</v>
      </c>
      <c r="H801" s="1876" t="s">
        <v>116</v>
      </c>
      <c r="I801" s="1877" t="s">
        <v>117</v>
      </c>
    </row>
    <row r="802" spans="2:9" s="112" customFormat="1" ht="18" hidden="1" outlineLevel="1" x14ac:dyDescent="0.25">
      <c r="B802" s="418" t="s">
        <v>1844</v>
      </c>
      <c r="C802" s="941" t="s">
        <v>1212</v>
      </c>
      <c r="D802" s="941" t="s">
        <v>3202</v>
      </c>
      <c r="E802" s="1878">
        <f>T__+T_STP_K</f>
        <v>293.14999999999998</v>
      </c>
      <c r="F802" s="316" t="s">
        <v>475</v>
      </c>
      <c r="G802" s="316">
        <v>1</v>
      </c>
      <c r="H802" s="316"/>
      <c r="I802" s="377"/>
    </row>
    <row r="803" spans="2:9" s="112" customFormat="1" ht="18.75" hidden="1" outlineLevel="1" thickBot="1" x14ac:dyDescent="0.3">
      <c r="B803" s="1269" t="s">
        <v>285</v>
      </c>
      <c r="C803" s="1802" t="s">
        <v>1213</v>
      </c>
      <c r="D803" s="1802" t="s">
        <v>5125</v>
      </c>
      <c r="E803" s="1879">
        <f>(S_H-H_STP)/c_p_water</f>
        <v>20</v>
      </c>
      <c r="F803" s="1270" t="s">
        <v>1214</v>
      </c>
      <c r="G803" s="1270">
        <v>1</v>
      </c>
      <c r="H803" s="1270"/>
      <c r="I803" s="1831"/>
    </row>
    <row r="804" spans="2:9" collapsed="1" x14ac:dyDescent="0.25"/>
  </sheetData>
  <phoneticPr fontId="30" type="noConversion"/>
  <conditionalFormatting sqref="B668:B669 E668:E669">
    <cfRule type="cellIs" dxfId="141" priority="60" stopIfTrue="1" operator="notEqual">
      <formula>INDIRECT("Dummy_for_Comparison5!"&amp;ADDRESS(ROW(),COLUMN()))</formula>
    </cfRule>
  </conditionalFormatting>
  <conditionalFormatting sqref="F668:H668">
    <cfRule type="cellIs" dxfId="140" priority="59" stopIfTrue="1" operator="notEqual">
      <formula>INDIRECT("Dummy_for_Comparison5!"&amp;ADDRESS(ROW(),COLUMN()))</formula>
    </cfRule>
  </conditionalFormatting>
  <conditionalFormatting sqref="D666">
    <cfRule type="cellIs" dxfId="139" priority="64" stopIfTrue="1" operator="notEqual">
      <formula>INDIRECT("Dummy_for_Comparison5!"&amp;ADDRESS(ROW(),COLUMN()))</formula>
    </cfRule>
  </conditionalFormatting>
  <conditionalFormatting sqref="L671">
    <cfRule type="cellIs" dxfId="138" priority="62" stopIfTrue="1" operator="notEqual">
      <formula>INDIRECT("Dummy_for_Comparison5!"&amp;ADDRESS(ROW(),COLUMN()))</formula>
    </cfRule>
  </conditionalFormatting>
  <conditionalFormatting sqref="B670 E670:H670">
    <cfRule type="cellIs" dxfId="137" priority="63" stopIfTrue="1" operator="notEqual">
      <formula>INDIRECT("Dummy_for_Comparison5!"&amp;ADDRESS(ROW(),COLUMN()))</formula>
    </cfRule>
  </conditionalFormatting>
  <conditionalFormatting sqref="H671">
    <cfRule type="cellIs" dxfId="136" priority="61" stopIfTrue="1" operator="notEqual">
      <formula>INDIRECT("Dummy_for_Comparison5!"&amp;ADDRESS(ROW(),COLUMN()))</formula>
    </cfRule>
  </conditionalFormatting>
  <conditionalFormatting sqref="H669">
    <cfRule type="cellIs" dxfId="135" priority="58" stopIfTrue="1" operator="notEqual">
      <formula>INDIRECT("Dummy_for_Comparison5!"&amp;ADDRESS(ROW(),COLUMN()))</formula>
    </cfRule>
  </conditionalFormatting>
  <conditionalFormatting sqref="D676">
    <cfRule type="cellIs" dxfId="134" priority="79" stopIfTrue="1" operator="notEqual">
      <formula>INDIRECT("Dummy_for_Comparison5!"&amp;ADDRESS(ROW(),COLUMN()))</formula>
    </cfRule>
  </conditionalFormatting>
  <conditionalFormatting sqref="H675:H676">
    <cfRule type="cellIs" dxfId="133" priority="78" stopIfTrue="1" operator="notEqual">
      <formula>INDIRECT("Dummy_for_Comparison5!"&amp;ADDRESS(ROW(),COLUMN()))</formula>
    </cfRule>
  </conditionalFormatting>
  <conditionalFormatting sqref="D677">
    <cfRule type="cellIs" dxfId="132" priority="77" stopIfTrue="1" operator="notEqual">
      <formula>INDIRECT("Dummy_for_Comparison5!"&amp;ADDRESS(ROW(),COLUMN()))</formula>
    </cfRule>
  </conditionalFormatting>
  <conditionalFormatting sqref="H677">
    <cfRule type="cellIs" dxfId="131" priority="76" stopIfTrue="1" operator="notEqual">
      <formula>INDIRECT("Dummy_for_Comparison5!"&amp;ADDRESS(ROW(),COLUMN()))</formula>
    </cfRule>
  </conditionalFormatting>
  <conditionalFormatting sqref="B663 E663:H663">
    <cfRule type="cellIs" dxfId="130" priority="50" stopIfTrue="1" operator="notEqual">
      <formula>INDIRECT("Dummy_for_Comparison5!"&amp;ADDRESS(ROW(),COLUMN()))</formula>
    </cfRule>
  </conditionalFormatting>
  <conditionalFormatting sqref="L664">
    <cfRule type="cellIs" dxfId="129" priority="49" stopIfTrue="1" operator="notEqual">
      <formula>INDIRECT("Dummy_for_Comparison5!"&amp;ADDRESS(ROW(),COLUMN()))</formula>
    </cfRule>
  </conditionalFormatting>
  <conditionalFormatting sqref="H664">
    <cfRule type="cellIs" dxfId="128" priority="48" stopIfTrue="1" operator="notEqual">
      <formula>INDIRECT("Dummy_for_Comparison5!"&amp;ADDRESS(ROW(),COLUMN()))</formula>
    </cfRule>
  </conditionalFormatting>
  <conditionalFormatting sqref="B661:B662 E661:E662">
    <cfRule type="cellIs" dxfId="127" priority="47" stopIfTrue="1" operator="notEqual">
      <formula>INDIRECT("Dummy_for_Comparison5!"&amp;ADDRESS(ROW(),COLUMN()))</formula>
    </cfRule>
  </conditionalFormatting>
  <conditionalFormatting sqref="F661:H661">
    <cfRule type="cellIs" dxfId="126" priority="46" stopIfTrue="1" operator="notEqual">
      <formula>INDIRECT("Dummy_for_Comparison5!"&amp;ADDRESS(ROW(),COLUMN()))</formula>
    </cfRule>
  </conditionalFormatting>
  <conditionalFormatting sqref="H662">
    <cfRule type="cellIs" dxfId="125" priority="45" stopIfTrue="1" operator="notEqual">
      <formula>INDIRECT("Dummy_for_Comparison5!"&amp;ADDRESS(ROW(),COLUMN()))</formula>
    </cfRule>
  </conditionalFormatting>
  <conditionalFormatting sqref="D675">
    <cfRule type="cellIs" dxfId="124" priority="44" stopIfTrue="1" operator="notEqual">
      <formula>INDIRECT("Dummy_for_Comparison5!"&amp;ADDRESS(ROW(),COLUMN()))</formula>
    </cfRule>
  </conditionalFormatting>
  <conditionalFormatting sqref="D659">
    <cfRule type="cellIs" dxfId="123" priority="57" stopIfTrue="1" operator="notEqual">
      <formula>INDIRECT("Dummy_for_Comparison5!"&amp;ADDRESS(ROW(),COLUMN()))</formula>
    </cfRule>
  </conditionalFormatting>
  <conditionalFormatting sqref="E656:H656 B656">
    <cfRule type="cellIs" dxfId="122" priority="19" stopIfTrue="1" operator="notEqual">
      <formula>INDIRECT("Dummy_for_Comparison5!"&amp;ADDRESS(ROW(),COLUMN()))</formula>
    </cfRule>
  </conditionalFormatting>
  <conditionalFormatting sqref="C654">
    <cfRule type="cellIs" dxfId="121" priority="20" stopIfTrue="1" operator="notEqual">
      <formula>INDIRECT("Dummy_for_Comparison5!"&amp;ADDRESS(ROW(),COLUMN()))</formula>
    </cfRule>
  </conditionalFormatting>
  <conditionalFormatting sqref="J656">
    <cfRule type="cellIs" dxfId="120" priority="18" stopIfTrue="1" operator="notEqual">
      <formula>INDIRECT("Dummy_for_Comparison5!"&amp;ADDRESS(ROW(),COLUMN()))</formula>
    </cfRule>
  </conditionalFormatting>
  <conditionalFormatting sqref="J651">
    <cfRule type="cellIs" dxfId="119" priority="17" stopIfTrue="1" operator="notEqual">
      <formula>INDIRECT("Dummy_for_Comparison5!"&amp;ADDRESS(ROW(),COLUMN()))</formula>
    </cfRule>
  </conditionalFormatting>
  <conditionalFormatting sqref="J652">
    <cfRule type="cellIs" dxfId="118" priority="16" stopIfTrue="1" operator="notEqual">
      <formula>INDIRECT("Dummy_for_Comparison5!"&amp;ADDRESS(ROW(),COLUMN()))</formula>
    </cfRule>
  </conditionalFormatting>
  <conditionalFormatting sqref="D634 B633:B634 I633:I634">
    <cfRule type="cellIs" dxfId="117" priority="35" stopIfTrue="1" operator="notEqual">
      <formula>INDIRECT("Dummy_for_Comparison5!"&amp;ADDRESS(ROW(),COLUMN()))</formula>
    </cfRule>
  </conditionalFormatting>
  <conditionalFormatting sqref="F633:G633">
    <cfRule type="cellIs" dxfId="116" priority="34" stopIfTrue="1" operator="notEqual">
      <formula>INDIRECT("Dummy_for_Comparison5!"&amp;ADDRESS(ROW(),COLUMN()))</formula>
    </cfRule>
  </conditionalFormatting>
  <conditionalFormatting sqref="C643">
    <cfRule type="cellIs" dxfId="115" priority="12" stopIfTrue="1" operator="notEqual">
      <formula>INDIRECT("Dummy_for_Comparison5!"&amp;ADDRESS(ROW(),COLUMN()))</formula>
    </cfRule>
  </conditionalFormatting>
  <conditionalFormatting sqref="D633 F634:G634">
    <cfRule type="cellIs" dxfId="114" priority="36" stopIfTrue="1" operator="notEqual">
      <formula>INDIRECT("Dummy_for_Comparison5!"&amp;ADDRESS(ROW(),COLUMN()))</formula>
    </cfRule>
  </conditionalFormatting>
  <conditionalFormatting sqref="F645:G645">
    <cfRule type="cellIs" dxfId="113" priority="11" stopIfTrue="1" operator="notEqual">
      <formula>INDIRECT("Dummy_for_Comparison5!"&amp;ADDRESS(ROW(),COLUMN()))</formula>
    </cfRule>
  </conditionalFormatting>
  <conditionalFormatting sqref="L652 E648:K648">
    <cfRule type="cellIs" dxfId="112" priority="33" stopIfTrue="1" operator="notEqual">
      <formula>INDIRECT("Dummy_for_Comparison5!"&amp;ADDRESS(ROW(),COLUMN()))</formula>
    </cfRule>
  </conditionalFormatting>
  <conditionalFormatting sqref="B649 E651:F651 D649:K649 B651 H651">
    <cfRule type="cellIs" dxfId="111" priority="32" stopIfTrue="1" operator="notEqual">
      <formula>INDIRECT("Dummy_for_Comparison5!"&amp;ADDRESS(ROW(),COLUMN()))</formula>
    </cfRule>
  </conditionalFormatting>
  <conditionalFormatting sqref="B648 C649">
    <cfRule type="cellIs" dxfId="110" priority="31" stopIfTrue="1" operator="notEqual">
      <formula>INDIRECT("Dummy_for_Comparison5!"&amp;ADDRESS(ROW(),COLUMN()))</formula>
    </cfRule>
  </conditionalFormatting>
  <conditionalFormatting sqref="D648">
    <cfRule type="cellIs" dxfId="109" priority="30" stopIfTrue="1" operator="notEqual">
      <formula>INDIRECT("Dummy_for_Comparison5!"&amp;ADDRESS(ROW(),COLUMN()))</formula>
    </cfRule>
  </conditionalFormatting>
  <conditionalFormatting sqref="H652">
    <cfRule type="cellIs" dxfId="108" priority="29" stopIfTrue="1" operator="notEqual">
      <formula>INDIRECT("Dummy_for_Comparison5!"&amp;ADDRESS(ROW(),COLUMN()))</formula>
    </cfRule>
  </conditionalFormatting>
  <conditionalFormatting sqref="C648">
    <cfRule type="cellIs" dxfId="107" priority="28" stopIfTrue="1" operator="notEqual">
      <formula>INDIRECT("Dummy_for_Comparison5!"&amp;ADDRESS(ROW(),COLUMN()))</formula>
    </cfRule>
  </conditionalFormatting>
  <conditionalFormatting sqref="E650:H650 B650">
    <cfRule type="cellIs" dxfId="106" priority="27" stopIfTrue="1" operator="notEqual">
      <formula>INDIRECT("Dummy_for_Comparison5!"&amp;ADDRESS(ROW(),COLUMN()))</formula>
    </cfRule>
  </conditionalFormatting>
  <conditionalFormatting sqref="J650">
    <cfRule type="cellIs" dxfId="105" priority="26" stopIfTrue="1" operator="notEqual">
      <formula>INDIRECT("Dummy_for_Comparison5!"&amp;ADDRESS(ROW(),COLUMN()))</formula>
    </cfRule>
  </conditionalFormatting>
  <conditionalFormatting sqref="E654:K654">
    <cfRule type="cellIs" dxfId="104" priority="25" stopIfTrue="1" operator="notEqual">
      <formula>INDIRECT("Dummy_for_Comparison5!"&amp;ADDRESS(ROW(),COLUMN()))</formula>
    </cfRule>
  </conditionalFormatting>
  <conditionalFormatting sqref="B655 E657:F657 D655:K655 B657 H657">
    <cfRule type="cellIs" dxfId="103" priority="24" stopIfTrue="1" operator="notEqual">
      <formula>INDIRECT("Dummy_for_Comparison5!"&amp;ADDRESS(ROW(),COLUMN()))</formula>
    </cfRule>
  </conditionalFormatting>
  <conditionalFormatting sqref="B654 C655">
    <cfRule type="cellIs" dxfId="102" priority="23" stopIfTrue="1" operator="notEqual">
      <formula>INDIRECT("Dummy_for_Comparison5!"&amp;ADDRESS(ROW(),COLUMN()))</formula>
    </cfRule>
  </conditionalFormatting>
  <conditionalFormatting sqref="D654">
    <cfRule type="cellIs" dxfId="101" priority="22" stopIfTrue="1" operator="notEqual">
      <formula>INDIRECT("Dummy_for_Comparison5!"&amp;ADDRESS(ROW(),COLUMN()))</formula>
    </cfRule>
  </conditionalFormatting>
  <conditionalFormatting sqref="D646 E643:K643 B643:B646 J645:K646">
    <cfRule type="cellIs" dxfId="100" priority="14" stopIfTrue="1" operator="notEqual">
      <formula>INDIRECT("Dummy_for_Comparison5!"&amp;ADDRESS(ROW(),COLUMN()))</formula>
    </cfRule>
  </conditionalFormatting>
  <conditionalFormatting sqref="D644:D645 F644:K644 H645 F646:H646">
    <cfRule type="cellIs" dxfId="99" priority="15" stopIfTrue="1" operator="notEqual">
      <formula>INDIRECT("Dummy_for_Comparison5!"&amp;ADDRESS(ROW(),COLUMN()))</formula>
    </cfRule>
  </conditionalFormatting>
  <conditionalFormatting sqref="D643">
    <cfRule type="cellIs" dxfId="98" priority="13" stopIfTrue="1" operator="notEqual">
      <formula>INDIRECT("Dummy_for_Comparison5!"&amp;ADDRESS(ROW(),COLUMN()))</formula>
    </cfRule>
  </conditionalFormatting>
  <conditionalFormatting sqref="H634">
    <cfRule type="cellIs" dxfId="97" priority="10" stopIfTrue="1" operator="notEqual">
      <formula>INDIRECT("Dummy_for_Comparison5!"&amp;ADDRESS(ROW(),COLUMN()))</formula>
    </cfRule>
  </conditionalFormatting>
  <conditionalFormatting sqref="D635 B635 I635">
    <cfRule type="cellIs" dxfId="96" priority="8" stopIfTrue="1" operator="notEqual">
      <formula>INDIRECT("Dummy_for_Comparison5!"&amp;ADDRESS(ROW(),COLUMN()))</formula>
    </cfRule>
  </conditionalFormatting>
  <conditionalFormatting sqref="F635:H635">
    <cfRule type="cellIs" dxfId="95" priority="9" stopIfTrue="1" operator="notEqual">
      <formula>INDIRECT("Dummy_for_Comparison5!"&amp;ADDRESS(ROW(),COLUMN()))</formula>
    </cfRule>
  </conditionalFormatting>
  <conditionalFormatting sqref="H633">
    <cfRule type="cellIs" dxfId="94" priority="7" stopIfTrue="1" operator="notEqual">
      <formula>INDIRECT("Dummy_for_Comparison5!"&amp;ADDRESS(ROW(),COLUMN()))</formula>
    </cfRule>
  </conditionalFormatting>
  <conditionalFormatting sqref="D640 B639:B640 I639:I640">
    <cfRule type="cellIs" dxfId="93" priority="5" stopIfTrue="1" operator="notEqual">
      <formula>INDIRECT("Dummy_for_Comparison5!"&amp;ADDRESS(ROW(),COLUMN()))</formula>
    </cfRule>
  </conditionalFormatting>
  <conditionalFormatting sqref="D639 H639 F640:H640">
    <cfRule type="cellIs" dxfId="92" priority="6" stopIfTrue="1" operator="notEqual">
      <formula>INDIRECT("Dummy_for_Comparison5!"&amp;ADDRESS(ROW(),COLUMN()))</formula>
    </cfRule>
  </conditionalFormatting>
  <conditionalFormatting sqref="F639:G639">
    <cfRule type="cellIs" dxfId="91" priority="4" stopIfTrue="1" operator="notEqual">
      <formula>INDIRECT("Dummy_for_Comparison5!"&amp;ADDRESS(ROW(),COLUMN()))</formula>
    </cfRule>
  </conditionalFormatting>
  <conditionalFormatting sqref="D641 B641 I641">
    <cfRule type="cellIs" dxfId="90" priority="2" stopIfTrue="1" operator="notEqual">
      <formula>INDIRECT("Dummy_for_Comparison5!"&amp;ADDRESS(ROW(),COLUMN()))</formula>
    </cfRule>
  </conditionalFormatting>
  <conditionalFormatting sqref="F641:H641">
    <cfRule type="cellIs" dxfId="89" priority="3" stopIfTrue="1" operator="notEqual">
      <formula>INDIRECT("Dummy_for_Comparison5!"&amp;ADDRESS(ROW(),COLUMN()))</formula>
    </cfRule>
  </conditionalFormatting>
  <conditionalFormatting sqref="J657">
    <cfRule type="cellIs" dxfId="88" priority="1" stopIfTrue="1" operator="notEqual">
      <formula>INDIRECT("Dummy_for_Comparison5!"&amp;ADDRESS(ROW(),COLUMN()))</formula>
    </cfRule>
  </conditionalFormatting>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2:L517"/>
  <sheetViews>
    <sheetView showGridLines="0" topLeftCell="A282" zoomScaleNormal="100" zoomScalePageLayoutView="85" workbookViewId="0">
      <selection activeCell="B3" sqref="B3:D517"/>
    </sheetView>
  </sheetViews>
  <sheetFormatPr baseColWidth="10" defaultColWidth="9.28515625" defaultRowHeight="15" outlineLevelRow="1" x14ac:dyDescent="0.25"/>
  <cols>
    <col min="1" max="1" width="9.28515625" style="1389"/>
    <col min="2" max="2" width="13.28515625" style="1389" customWidth="1"/>
    <col min="3" max="3" width="58.28515625" style="1389" bestFit="1" customWidth="1"/>
    <col min="4" max="4" width="12.28515625" style="1389" bestFit="1" customWidth="1"/>
    <col min="5" max="5" width="8.7109375" style="1389" bestFit="1" customWidth="1"/>
    <col min="6" max="6" width="10.28515625" style="1389" bestFit="1" customWidth="1"/>
    <col min="7" max="7" width="18" style="1389" bestFit="1" customWidth="1"/>
    <col min="8" max="8" width="8.28515625" style="1389" bestFit="1" customWidth="1"/>
    <col min="9" max="9" width="9.28515625" style="1389"/>
    <col min="10" max="10" width="76.7109375" style="1389" customWidth="1"/>
    <col min="11" max="11" width="9.28515625" style="1389"/>
    <col min="12" max="12" width="29.28515625" style="1389" bestFit="1" customWidth="1"/>
    <col min="13" max="16384" width="9.28515625" style="1389"/>
  </cols>
  <sheetData>
    <row r="2" spans="2:10" ht="15.75" thickBot="1" x14ac:dyDescent="0.3">
      <c r="C2" s="1426" t="s">
        <v>470</v>
      </c>
    </row>
    <row r="3" spans="2:10" ht="15.75" thickBot="1" x14ac:dyDescent="0.3">
      <c r="B3" s="1427" t="s">
        <v>0</v>
      </c>
      <c r="C3" s="1428" t="s">
        <v>1</v>
      </c>
      <c r="D3" s="1429" t="s">
        <v>152</v>
      </c>
      <c r="E3" s="1429" t="s">
        <v>471</v>
      </c>
      <c r="F3" s="1429" t="s">
        <v>472</v>
      </c>
      <c r="G3" s="1429" t="s">
        <v>2</v>
      </c>
      <c r="H3" s="1429" t="s">
        <v>300</v>
      </c>
      <c r="I3" s="1429" t="s">
        <v>116</v>
      </c>
      <c r="J3" s="1430" t="s">
        <v>117</v>
      </c>
    </row>
    <row r="4" spans="2:10" ht="18" x14ac:dyDescent="0.25">
      <c r="B4" s="1385" t="s">
        <v>1002</v>
      </c>
      <c r="C4" s="1386" t="s">
        <v>473</v>
      </c>
      <c r="D4" s="1386">
        <v>1.2059812053432154E-3</v>
      </c>
      <c r="E4" s="1388"/>
      <c r="F4" s="1388"/>
      <c r="G4" s="1386" t="s">
        <v>445</v>
      </c>
      <c r="H4" s="1390"/>
      <c r="I4" s="1390"/>
      <c r="J4" s="1386" t="s">
        <v>4411</v>
      </c>
    </row>
    <row r="5" spans="2:10" ht="18" x14ac:dyDescent="0.25">
      <c r="B5" s="1385" t="s">
        <v>1003</v>
      </c>
      <c r="C5" s="1386" t="s">
        <v>474</v>
      </c>
      <c r="D5" s="1386">
        <v>1842.5346589768687</v>
      </c>
      <c r="E5" s="1388"/>
      <c r="F5" s="1388"/>
      <c r="G5" s="1386" t="s">
        <v>475</v>
      </c>
      <c r="H5" s="1390"/>
      <c r="I5" s="1390"/>
      <c r="J5" s="1386" t="s">
        <v>4411</v>
      </c>
    </row>
    <row r="6" spans="2:10" ht="18" x14ac:dyDescent="0.25">
      <c r="B6" s="1385" t="s">
        <v>1004</v>
      </c>
      <c r="C6" s="1386" t="s">
        <v>476</v>
      </c>
      <c r="D6" s="1386">
        <v>3.5000000000000003E-2</v>
      </c>
      <c r="E6" s="1388"/>
      <c r="F6" s="1388"/>
      <c r="G6" s="1386" t="s">
        <v>445</v>
      </c>
      <c r="H6" s="1390"/>
      <c r="I6" s="1390"/>
      <c r="J6" s="1386" t="s">
        <v>909</v>
      </c>
    </row>
    <row r="7" spans="2:10" ht="18" x14ac:dyDescent="0.25">
      <c r="B7" s="1385" t="s">
        <v>1005</v>
      </c>
      <c r="C7" s="1386" t="s">
        <v>4412</v>
      </c>
      <c r="D7" s="1386">
        <v>2400</v>
      </c>
      <c r="E7" s="1388"/>
      <c r="F7" s="1388"/>
      <c r="G7" s="1386" t="s">
        <v>475</v>
      </c>
      <c r="H7" s="1390"/>
      <c r="I7" s="1390"/>
      <c r="J7" s="1386" t="s">
        <v>909</v>
      </c>
    </row>
    <row r="8" spans="2:10" ht="18" x14ac:dyDescent="0.25">
      <c r="B8" s="1385" t="s">
        <v>1006</v>
      </c>
      <c r="C8" s="1386" t="s">
        <v>478</v>
      </c>
      <c r="D8" s="1386">
        <v>1.9E-3</v>
      </c>
      <c r="E8" s="1388"/>
      <c r="F8" s="1388"/>
      <c r="G8" s="1386" t="s">
        <v>445</v>
      </c>
      <c r="H8" s="1390"/>
      <c r="I8" s="1390"/>
      <c r="J8" s="1386" t="s">
        <v>910</v>
      </c>
    </row>
    <row r="9" spans="2:10" ht="18" x14ac:dyDescent="0.25">
      <c r="B9" s="1385" t="s">
        <v>1007</v>
      </c>
      <c r="C9" s="1386" t="s">
        <v>479</v>
      </c>
      <c r="D9" s="1386">
        <v>1400</v>
      </c>
      <c r="E9" s="1388"/>
      <c r="F9" s="1388"/>
      <c r="G9" s="1386" t="s">
        <v>475</v>
      </c>
      <c r="H9" s="1390"/>
      <c r="I9" s="1390"/>
      <c r="J9" s="1386" t="s">
        <v>910</v>
      </c>
    </row>
    <row r="10" spans="2:10" ht="18" x14ac:dyDescent="0.25">
      <c r="B10" s="1385" t="s">
        <v>1008</v>
      </c>
      <c r="C10" s="1386" t="s">
        <v>480</v>
      </c>
      <c r="D10" s="1386">
        <v>2.5000000000000001E-2</v>
      </c>
      <c r="E10" s="1388"/>
      <c r="F10" s="1388"/>
      <c r="G10" s="1386" t="s">
        <v>445</v>
      </c>
      <c r="H10" s="1390"/>
      <c r="I10" s="1390"/>
      <c r="J10" s="1386" t="s">
        <v>911</v>
      </c>
    </row>
    <row r="11" spans="2:10" ht="18" x14ac:dyDescent="0.25">
      <c r="B11" s="1385" t="s">
        <v>1009</v>
      </c>
      <c r="C11" s="1386" t="s">
        <v>477</v>
      </c>
      <c r="D11" s="1386">
        <v>2600</v>
      </c>
      <c r="E11" s="1388"/>
      <c r="F11" s="1388"/>
      <c r="G11" s="1386" t="s">
        <v>475</v>
      </c>
      <c r="H11" s="1390"/>
      <c r="I11" s="1390"/>
      <c r="J11" s="1386" t="s">
        <v>911</v>
      </c>
    </row>
    <row r="12" spans="2:10" ht="18" x14ac:dyDescent="0.25">
      <c r="B12" s="1385" t="s">
        <v>1010</v>
      </c>
      <c r="C12" s="1386" t="s">
        <v>481</v>
      </c>
      <c r="D12" s="1386">
        <v>6.4999999999999997E-4</v>
      </c>
      <c r="E12" s="1388"/>
      <c r="F12" s="1388"/>
      <c r="G12" s="1386" t="s">
        <v>445</v>
      </c>
      <c r="H12" s="1390"/>
      <c r="I12" s="1390"/>
      <c r="J12" s="1386" t="s">
        <v>912</v>
      </c>
    </row>
    <row r="13" spans="2:10" ht="18" x14ac:dyDescent="0.25">
      <c r="B13" s="1385" t="s">
        <v>1011</v>
      </c>
      <c r="C13" s="1386" t="s">
        <v>482</v>
      </c>
      <c r="D13" s="1386">
        <v>1300</v>
      </c>
      <c r="E13" s="1388"/>
      <c r="F13" s="1388"/>
      <c r="G13" s="1386" t="s">
        <v>475</v>
      </c>
      <c r="H13" s="1390"/>
      <c r="I13" s="1390"/>
      <c r="J13" s="1386" t="s">
        <v>912</v>
      </c>
    </row>
    <row r="14" spans="2:10" ht="18" x14ac:dyDescent="0.25">
      <c r="B14" s="1385" t="s">
        <v>1012</v>
      </c>
      <c r="C14" s="1386" t="s">
        <v>483</v>
      </c>
      <c r="D14" s="1386">
        <v>7.7999999999999999E-4</v>
      </c>
      <c r="E14" s="1388"/>
      <c r="F14" s="1388"/>
      <c r="G14" s="1386" t="s">
        <v>445</v>
      </c>
      <c r="H14" s="1390"/>
      <c r="I14" s="1390"/>
      <c r="J14" s="1386" t="s">
        <v>1193</v>
      </c>
    </row>
    <row r="15" spans="2:10" ht="18" x14ac:dyDescent="0.25">
      <c r="B15" s="1385" t="s">
        <v>1013</v>
      </c>
      <c r="C15" s="1386" t="s">
        <v>484</v>
      </c>
      <c r="D15" s="1386">
        <v>500</v>
      </c>
      <c r="E15" s="1388"/>
      <c r="F15" s="1388"/>
      <c r="G15" s="1386" t="s">
        <v>475</v>
      </c>
      <c r="H15" s="1390"/>
      <c r="I15" s="1390"/>
      <c r="J15" s="1386" t="s">
        <v>1193</v>
      </c>
    </row>
    <row r="16" spans="2:10" ht="18" x14ac:dyDescent="0.25">
      <c r="B16" s="1385" t="s">
        <v>1014</v>
      </c>
      <c r="C16" s="1386" t="s">
        <v>446</v>
      </c>
      <c r="D16" s="1386">
        <v>1.4E-3</v>
      </c>
      <c r="E16" s="1388"/>
      <c r="F16" s="1388"/>
      <c r="G16" s="1386" t="s">
        <v>445</v>
      </c>
      <c r="H16" s="1390"/>
      <c r="I16" s="1390"/>
      <c r="J16" s="1386" t="s">
        <v>1194</v>
      </c>
    </row>
    <row r="17" spans="2:12" ht="18" x14ac:dyDescent="0.25">
      <c r="B17" s="1385" t="s">
        <v>1015</v>
      </c>
      <c r="C17" s="1386" t="s">
        <v>485</v>
      </c>
      <c r="D17" s="1386">
        <v>1600</v>
      </c>
      <c r="E17" s="1388"/>
      <c r="F17" s="1388"/>
      <c r="G17" s="1386" t="s">
        <v>475</v>
      </c>
      <c r="H17" s="1390"/>
      <c r="I17" s="1390"/>
      <c r="J17" s="1386" t="s">
        <v>1194</v>
      </c>
    </row>
    <row r="18" spans="2:12" ht="18" x14ac:dyDescent="0.25">
      <c r="B18" s="1385" t="s">
        <v>1195</v>
      </c>
      <c r="C18" s="1386" t="s">
        <v>1196</v>
      </c>
      <c r="D18" s="1386">
        <v>61</v>
      </c>
      <c r="E18" s="1388"/>
      <c r="F18" s="1388"/>
      <c r="G18" s="1386" t="s">
        <v>445</v>
      </c>
      <c r="H18" s="1390"/>
      <c r="I18" s="1390"/>
      <c r="J18" s="1386" t="s">
        <v>1197</v>
      </c>
    </row>
    <row r="19" spans="2:12" ht="18" x14ac:dyDescent="0.25">
      <c r="B19" s="1385" t="s">
        <v>1198</v>
      </c>
      <c r="C19" s="1386" t="s">
        <v>1199</v>
      </c>
      <c r="D19" s="1386">
        <v>4100</v>
      </c>
      <c r="E19" s="1388"/>
      <c r="F19" s="1388"/>
      <c r="G19" s="1386" t="s">
        <v>475</v>
      </c>
      <c r="H19" s="1390"/>
      <c r="I19" s="1390"/>
      <c r="J19" s="1386" t="s">
        <v>1197</v>
      </c>
    </row>
    <row r="20" spans="2:12" ht="18" x14ac:dyDescent="0.25">
      <c r="B20" s="1385" t="s">
        <v>1151</v>
      </c>
      <c r="C20" s="1386" t="s">
        <v>1200</v>
      </c>
      <c r="D20" s="1386">
        <v>0.1</v>
      </c>
      <c r="E20" s="1388"/>
      <c r="F20" s="1388"/>
      <c r="G20" s="1386" t="s">
        <v>445</v>
      </c>
      <c r="H20" s="1390"/>
      <c r="I20" s="1390"/>
      <c r="J20" s="1386" t="s">
        <v>1201</v>
      </c>
    </row>
    <row r="21" spans="2:12" ht="18" x14ac:dyDescent="0.25">
      <c r="B21" s="1385" t="s">
        <v>1152</v>
      </c>
      <c r="C21" s="1386" t="s">
        <v>1153</v>
      </c>
      <c r="D21" s="1386">
        <v>2200</v>
      </c>
      <c r="E21" s="1388"/>
      <c r="F21" s="1388"/>
      <c r="G21" s="1386" t="s">
        <v>475</v>
      </c>
      <c r="H21" s="1390"/>
      <c r="I21" s="1390"/>
      <c r="J21" s="1386" t="s">
        <v>1201</v>
      </c>
    </row>
    <row r="23" spans="2:12" ht="15.75" thickBot="1" x14ac:dyDescent="0.3">
      <c r="C23" s="1426" t="s">
        <v>3358</v>
      </c>
    </row>
    <row r="24" spans="2:12" ht="15.75" thickBot="1" x14ac:dyDescent="0.3">
      <c r="B24" s="1427" t="s">
        <v>0</v>
      </c>
      <c r="C24" s="1428" t="s">
        <v>1</v>
      </c>
      <c r="D24" s="1429" t="s">
        <v>152</v>
      </c>
      <c r="E24" s="1429" t="s">
        <v>471</v>
      </c>
      <c r="F24" s="1429" t="s">
        <v>472</v>
      </c>
      <c r="G24" s="1429" t="s">
        <v>2</v>
      </c>
      <c r="H24" s="1429" t="s">
        <v>300</v>
      </c>
      <c r="I24" s="1429" t="s">
        <v>116</v>
      </c>
      <c r="J24" s="1430" t="s">
        <v>117</v>
      </c>
    </row>
    <row r="25" spans="2:12" ht="18" x14ac:dyDescent="0.25">
      <c r="B25" s="1385" t="s">
        <v>3116</v>
      </c>
      <c r="C25" s="1386" t="s">
        <v>455</v>
      </c>
      <c r="D25" s="1386">
        <v>2.0900000000000001E-4</v>
      </c>
      <c r="E25" s="1388"/>
      <c r="F25" s="1388"/>
      <c r="G25" s="1386" t="s">
        <v>486</v>
      </c>
      <c r="H25" s="1390">
        <v>2</v>
      </c>
      <c r="I25" s="1390"/>
      <c r="J25" s="1386"/>
    </row>
    <row r="26" spans="2:12" ht="18" x14ac:dyDescent="0.25">
      <c r="B26" s="1385" t="s">
        <v>3117</v>
      </c>
      <c r="C26" s="1386" t="s">
        <v>456</v>
      </c>
      <c r="D26" s="1386">
        <v>1.73E-4</v>
      </c>
      <c r="E26" s="1388"/>
      <c r="F26" s="1388"/>
      <c r="G26" s="1386" t="s">
        <v>486</v>
      </c>
      <c r="H26" s="1390">
        <v>2</v>
      </c>
      <c r="I26" s="1390"/>
      <c r="J26" s="1386"/>
    </row>
    <row r="27" spans="2:12" ht="18" x14ac:dyDescent="0.25">
      <c r="B27" s="1385" t="s">
        <v>3118</v>
      </c>
      <c r="C27" s="1386" t="s">
        <v>1063</v>
      </c>
      <c r="D27" s="1386">
        <f>0.0000693*216/25</f>
        <v>5.9875200000000003E-4</v>
      </c>
      <c r="E27" s="1388"/>
      <c r="F27" s="1388"/>
      <c r="G27" s="1386" t="s">
        <v>486</v>
      </c>
      <c r="H27" s="1390">
        <v>2</v>
      </c>
      <c r="I27" s="1390"/>
      <c r="J27" s="1386"/>
    </row>
    <row r="28" spans="2:12" ht="18" x14ac:dyDescent="0.25">
      <c r="B28" s="1385" t="s">
        <v>3119</v>
      </c>
      <c r="C28" s="1386" t="s">
        <v>457</v>
      </c>
      <c r="D28" s="1386">
        <v>1.65E-4</v>
      </c>
      <c r="E28" s="1388"/>
      <c r="F28" s="1388"/>
      <c r="G28" s="1386" t="s">
        <v>486</v>
      </c>
      <c r="H28" s="1390">
        <v>2</v>
      </c>
      <c r="I28" s="1390"/>
      <c r="J28" s="1386"/>
    </row>
    <row r="29" spans="2:12" ht="18" x14ac:dyDescent="0.25">
      <c r="B29" s="1385" t="s">
        <v>3120</v>
      </c>
      <c r="C29" s="1386" t="s">
        <v>458</v>
      </c>
      <c r="D29" s="1386">
        <v>4.4999999999999999E-4</v>
      </c>
      <c r="E29" s="1388"/>
      <c r="F29" s="1388"/>
      <c r="G29" s="1386" t="s">
        <v>487</v>
      </c>
      <c r="H29" s="1390">
        <v>2</v>
      </c>
      <c r="I29" s="1390"/>
      <c r="J29" s="1386"/>
    </row>
    <row r="30" spans="2:12" ht="18" x14ac:dyDescent="0.25">
      <c r="B30" s="1385" t="s">
        <v>3121</v>
      </c>
      <c r="C30" s="1386" t="s">
        <v>459</v>
      </c>
      <c r="D30" s="1386">
        <v>1.4899999999999999E-4</v>
      </c>
      <c r="E30" s="1388"/>
      <c r="F30" s="1388"/>
      <c r="G30" s="1386" t="s">
        <v>487</v>
      </c>
      <c r="H30" s="1390">
        <v>2</v>
      </c>
      <c r="I30" s="1390"/>
      <c r="J30" s="1386"/>
      <c r="L30" s="1389" t="s">
        <v>4413</v>
      </c>
    </row>
    <row r="31" spans="2:12" ht="18" x14ac:dyDescent="0.25">
      <c r="B31" s="1385" t="s">
        <v>3122</v>
      </c>
      <c r="C31" s="1386" t="s">
        <v>783</v>
      </c>
      <c r="D31" s="1386">
        <f>0.000211</f>
        <v>2.1100000000000001E-4</v>
      </c>
      <c r="E31" s="1388"/>
      <c r="F31" s="1388"/>
      <c r="G31" s="1386" t="s">
        <v>487</v>
      </c>
      <c r="H31" s="1390">
        <v>2</v>
      </c>
      <c r="I31" s="1390"/>
      <c r="J31" s="1386" t="s">
        <v>4414</v>
      </c>
      <c r="K31" s="1386">
        <f>0.0001909*1.024^(25-20)</f>
        <v>2.1493429221625696E-4</v>
      </c>
      <c r="L31" s="1386">
        <v>2.9499999999999999E-5</v>
      </c>
    </row>
    <row r="32" spans="2:12" ht="18" x14ac:dyDescent="0.25">
      <c r="B32" s="1385" t="s">
        <v>3123</v>
      </c>
      <c r="C32" s="1386" t="s">
        <v>1254</v>
      </c>
      <c r="D32" s="1386">
        <f>0.000245</f>
        <v>2.4499999999999999E-4</v>
      </c>
      <c r="E32" s="1388"/>
      <c r="F32" s="1388"/>
      <c r="G32" s="1386" t="s">
        <v>487</v>
      </c>
      <c r="H32" s="1390">
        <v>2</v>
      </c>
      <c r="I32" s="1390"/>
      <c r="J32" s="1386" t="s">
        <v>4414</v>
      </c>
      <c r="K32" s="1386">
        <f>0.00015293*1.024^(25-20)</f>
        <v>1.7218387275344247E-4</v>
      </c>
      <c r="L32" s="1386">
        <v>1.8E-5</v>
      </c>
    </row>
    <row r="33" spans="2:10" ht="18" x14ac:dyDescent="0.25">
      <c r="B33" s="1385" t="s">
        <v>3124</v>
      </c>
      <c r="C33" s="1386" t="s">
        <v>1202</v>
      </c>
      <c r="D33" s="1386">
        <v>1.22E-4</v>
      </c>
      <c r="E33" s="1388"/>
      <c r="F33" s="1388"/>
      <c r="G33" s="1386" t="s">
        <v>486</v>
      </c>
      <c r="H33" s="1390">
        <v>2</v>
      </c>
      <c r="I33" s="1390"/>
      <c r="J33" s="1386"/>
    </row>
    <row r="35" spans="2:10" ht="15.75" thickBot="1" x14ac:dyDescent="0.3">
      <c r="C35" s="1426" t="s">
        <v>488</v>
      </c>
    </row>
    <row r="36" spans="2:10" ht="15.75" thickBot="1" x14ac:dyDescent="0.3">
      <c r="B36" s="1427" t="s">
        <v>0</v>
      </c>
      <c r="C36" s="1428" t="s">
        <v>1</v>
      </c>
      <c r="D36" s="1429" t="s">
        <v>152</v>
      </c>
      <c r="E36" s="1429" t="s">
        <v>471</v>
      </c>
      <c r="F36" s="1429" t="s">
        <v>472</v>
      </c>
      <c r="G36" s="1429" t="s">
        <v>2</v>
      </c>
      <c r="H36" s="1429" t="s">
        <v>300</v>
      </c>
      <c r="I36" s="1429" t="s">
        <v>116</v>
      </c>
      <c r="J36" s="1430" t="s">
        <v>117</v>
      </c>
    </row>
    <row r="37" spans="2:10" ht="18" x14ac:dyDescent="0.25">
      <c r="B37" s="1385" t="s">
        <v>489</v>
      </c>
      <c r="C37" s="1386" t="s">
        <v>490</v>
      </c>
      <c r="D37" s="1386">
        <v>8.0713100000000004</v>
      </c>
      <c r="E37" s="1388"/>
      <c r="F37" s="1388"/>
      <c r="G37" s="1386" t="s">
        <v>283</v>
      </c>
      <c r="H37" s="1390"/>
      <c r="I37" s="1390"/>
      <c r="J37" s="1386"/>
    </row>
    <row r="38" spans="2:10" ht="18" x14ac:dyDescent="0.25">
      <c r="B38" s="1385" t="s">
        <v>491</v>
      </c>
      <c r="C38" s="1386" t="s">
        <v>492</v>
      </c>
      <c r="D38" s="1386">
        <v>1730.63</v>
      </c>
      <c r="E38" s="1388"/>
      <c r="F38" s="1388"/>
      <c r="G38" s="1386" t="s">
        <v>283</v>
      </c>
      <c r="H38" s="1390"/>
      <c r="I38" s="1390"/>
      <c r="J38" s="1386"/>
    </row>
    <row r="39" spans="2:10" ht="18" x14ac:dyDescent="0.25">
      <c r="B39" s="1385" t="s">
        <v>493</v>
      </c>
      <c r="C39" s="1386" t="s">
        <v>494</v>
      </c>
      <c r="D39" s="1386">
        <v>233.42599999999999</v>
      </c>
      <c r="E39" s="1388"/>
      <c r="F39" s="1388"/>
      <c r="G39" s="1386" t="s">
        <v>283</v>
      </c>
      <c r="H39" s="1390"/>
      <c r="I39" s="1390"/>
      <c r="J39" s="1386"/>
    </row>
    <row r="40" spans="2:10" ht="18" x14ac:dyDescent="0.25">
      <c r="B40" s="1385" t="s">
        <v>3125</v>
      </c>
      <c r="C40" s="1386" t="s">
        <v>3126</v>
      </c>
      <c r="D40" s="1386">
        <v>7.2800000000000004E-2</v>
      </c>
      <c r="E40" s="1388"/>
      <c r="F40" s="1388"/>
      <c r="G40" s="1386" t="s">
        <v>3127</v>
      </c>
      <c r="H40" s="1390"/>
      <c r="I40" s="1390"/>
      <c r="J40" s="1386"/>
    </row>
    <row r="41" spans="2:10" ht="18" x14ac:dyDescent="0.25">
      <c r="B41" s="1385" t="s">
        <v>495</v>
      </c>
      <c r="C41" s="1386" t="s">
        <v>3128</v>
      </c>
      <c r="D41" s="1386">
        <v>1000000</v>
      </c>
      <c r="E41" s="1388"/>
      <c r="F41" s="1388"/>
      <c r="G41" s="1386" t="s">
        <v>784</v>
      </c>
      <c r="H41" s="1390"/>
      <c r="I41" s="1390"/>
      <c r="J41" s="1386"/>
    </row>
    <row r="42" spans="2:10" ht="18" x14ac:dyDescent="0.25">
      <c r="B42" s="1385" t="s">
        <v>1577</v>
      </c>
      <c r="C42" s="1386" t="s">
        <v>3129</v>
      </c>
      <c r="D42" s="1386">
        <f>10^-3</f>
        <v>1E-3</v>
      </c>
      <c r="E42" s="1388"/>
      <c r="F42" s="1388"/>
      <c r="G42" s="1386" t="s">
        <v>1578</v>
      </c>
      <c r="H42" s="1390"/>
      <c r="I42" s="1390"/>
      <c r="J42" s="1386"/>
    </row>
    <row r="44" spans="2:10" ht="15.75" thickBot="1" x14ac:dyDescent="0.3">
      <c r="C44" s="1426" t="s">
        <v>496</v>
      </c>
    </row>
    <row r="45" spans="2:10" ht="15.75" thickBot="1" x14ac:dyDescent="0.3">
      <c r="B45" s="1427" t="s">
        <v>0</v>
      </c>
      <c r="C45" s="1428" t="s">
        <v>1</v>
      </c>
      <c r="D45" s="1429" t="s">
        <v>152</v>
      </c>
      <c r="E45" s="1429" t="s">
        <v>471</v>
      </c>
      <c r="F45" s="1429" t="s">
        <v>472</v>
      </c>
      <c r="G45" s="1429" t="s">
        <v>2</v>
      </c>
      <c r="H45" s="1429" t="s">
        <v>300</v>
      </c>
      <c r="I45" s="1429" t="s">
        <v>116</v>
      </c>
      <c r="J45" s="1430" t="s">
        <v>117</v>
      </c>
    </row>
    <row r="46" spans="2:10" ht="18" x14ac:dyDescent="0.25">
      <c r="B46" s="1385" t="s">
        <v>497</v>
      </c>
      <c r="C46" s="1386" t="s">
        <v>498</v>
      </c>
      <c r="D46" s="1386">
        <v>0.20949999999999999</v>
      </c>
      <c r="E46" s="1388">
        <v>0</v>
      </c>
      <c r="F46" s="1388">
        <v>1</v>
      </c>
      <c r="G46" s="1386" t="s">
        <v>499</v>
      </c>
      <c r="H46" s="1390"/>
      <c r="I46" s="1390"/>
      <c r="J46" s="1386"/>
    </row>
    <row r="47" spans="2:10" ht="18" x14ac:dyDescent="0.25">
      <c r="B47" s="1385" t="s">
        <v>500</v>
      </c>
      <c r="C47" s="1386" t="s">
        <v>501</v>
      </c>
      <c r="D47" s="1386">
        <v>0.78080000000000005</v>
      </c>
      <c r="E47" s="1388">
        <v>0</v>
      </c>
      <c r="F47" s="1388">
        <v>1</v>
      </c>
      <c r="G47" s="1386" t="s">
        <v>499</v>
      </c>
      <c r="H47" s="1390"/>
      <c r="I47" s="1390"/>
      <c r="J47" s="1386"/>
    </row>
    <row r="48" spans="2:10" ht="18" x14ac:dyDescent="0.25">
      <c r="B48" s="1385" t="s">
        <v>502</v>
      </c>
      <c r="C48" s="1386" t="s">
        <v>503</v>
      </c>
      <c r="D48" s="1386">
        <v>9.2999999999999992E-3</v>
      </c>
      <c r="E48" s="1388">
        <v>0</v>
      </c>
      <c r="F48" s="1388">
        <v>1</v>
      </c>
      <c r="G48" s="1386" t="s">
        <v>499</v>
      </c>
      <c r="H48" s="1390"/>
      <c r="I48" s="1390"/>
      <c r="J48" s="1386"/>
    </row>
    <row r="49" spans="2:12" ht="18" x14ac:dyDescent="0.25">
      <c r="B49" s="1385" t="s">
        <v>504</v>
      </c>
      <c r="C49" s="1386" t="s">
        <v>505</v>
      </c>
      <c r="D49" s="1386">
        <v>4.0000000000000002E-4</v>
      </c>
      <c r="E49" s="1388">
        <v>0</v>
      </c>
      <c r="F49" s="1388">
        <v>1</v>
      </c>
      <c r="G49" s="1386" t="s">
        <v>499</v>
      </c>
      <c r="H49" s="1390"/>
      <c r="I49" s="1390"/>
      <c r="J49" s="1386"/>
    </row>
    <row r="50" spans="2:12" ht="18" x14ac:dyDescent="0.25">
      <c r="B50" s="1385" t="s">
        <v>3130</v>
      </c>
      <c r="C50" s="1386" t="s">
        <v>3131</v>
      </c>
      <c r="D50" s="1386">
        <v>1200</v>
      </c>
      <c r="E50" s="1388"/>
      <c r="F50" s="1388"/>
      <c r="G50" s="1386" t="s">
        <v>784</v>
      </c>
      <c r="H50" s="1390"/>
      <c r="I50" s="1390"/>
      <c r="J50" s="1386"/>
    </row>
    <row r="51" spans="2:12" ht="18" x14ac:dyDescent="0.25">
      <c r="B51" s="1385" t="s">
        <v>3132</v>
      </c>
      <c r="C51" s="1386" t="s">
        <v>3133</v>
      </c>
      <c r="D51" s="1386">
        <v>101325</v>
      </c>
      <c r="E51" s="1388">
        <v>0</v>
      </c>
      <c r="F51" s="1388"/>
      <c r="G51" s="1386" t="s">
        <v>785</v>
      </c>
      <c r="H51" s="1390"/>
      <c r="I51" s="1390"/>
      <c r="J51" s="1386"/>
    </row>
    <row r="52" spans="2:12" ht="18" x14ac:dyDescent="0.25">
      <c r="B52" s="1385" t="s">
        <v>4415</v>
      </c>
      <c r="C52" s="1386" t="s">
        <v>3134</v>
      </c>
      <c r="D52" s="1386">
        <v>101325</v>
      </c>
      <c r="E52" s="1388">
        <v>0</v>
      </c>
      <c r="F52" s="1388"/>
      <c r="G52" s="1386" t="s">
        <v>785</v>
      </c>
      <c r="H52" s="1390"/>
      <c r="I52" s="1390"/>
      <c r="J52" s="1386"/>
    </row>
    <row r="54" spans="2:12" ht="15.75" thickBot="1" x14ac:dyDescent="0.3">
      <c r="C54" s="1426" t="s">
        <v>4797</v>
      </c>
    </row>
    <row r="55" spans="2:12" ht="15.75" thickBot="1" x14ac:dyDescent="0.3">
      <c r="B55" s="1427" t="s">
        <v>0</v>
      </c>
      <c r="C55" s="1428" t="s">
        <v>1</v>
      </c>
      <c r="D55" s="1429" t="s">
        <v>152</v>
      </c>
      <c r="E55" s="1429" t="s">
        <v>471</v>
      </c>
      <c r="F55" s="1429" t="s">
        <v>472</v>
      </c>
      <c r="G55" s="1429" t="s">
        <v>2</v>
      </c>
      <c r="H55" s="1429" t="s">
        <v>300</v>
      </c>
      <c r="I55" s="1429" t="s">
        <v>116</v>
      </c>
      <c r="J55" s="1430" t="s">
        <v>117</v>
      </c>
    </row>
    <row r="56" spans="2:12" ht="18" x14ac:dyDescent="0.25">
      <c r="B56" s="1385" t="s">
        <v>3135</v>
      </c>
      <c r="C56" s="1386" t="s">
        <v>3136</v>
      </c>
      <c r="D56" s="1386">
        <v>1</v>
      </c>
      <c r="E56" s="1388">
        <v>0</v>
      </c>
      <c r="F56" s="1388">
        <v>1</v>
      </c>
      <c r="G56" s="1386" t="s">
        <v>3137</v>
      </c>
      <c r="H56" s="1390"/>
      <c r="I56" s="1390"/>
      <c r="J56" s="1386" t="s">
        <v>3138</v>
      </c>
    </row>
    <row r="58" spans="2:12" ht="15.75" thickBot="1" x14ac:dyDescent="0.3">
      <c r="C58" s="1426" t="s">
        <v>506</v>
      </c>
    </row>
    <row r="59" spans="2:12" ht="15.75" thickBot="1" x14ac:dyDescent="0.3">
      <c r="B59" s="1427" t="s">
        <v>0</v>
      </c>
      <c r="C59" s="1428" t="s">
        <v>1</v>
      </c>
      <c r="D59" s="1429" t="s">
        <v>152</v>
      </c>
      <c r="E59" s="1429" t="s">
        <v>471</v>
      </c>
      <c r="F59" s="1429" t="s">
        <v>472</v>
      </c>
      <c r="G59" s="1429" t="s">
        <v>2</v>
      </c>
      <c r="H59" s="1429" t="s">
        <v>300</v>
      </c>
      <c r="I59" s="1429" t="s">
        <v>116</v>
      </c>
      <c r="J59" s="1430" t="s">
        <v>117</v>
      </c>
    </row>
    <row r="60" spans="2:12" ht="17.25" x14ac:dyDescent="0.25">
      <c r="B60" s="1385" t="s">
        <v>507</v>
      </c>
      <c r="C60" s="1386" t="s">
        <v>508</v>
      </c>
      <c r="D60" s="1386">
        <v>8.3144721500000003</v>
      </c>
      <c r="E60" s="1388"/>
      <c r="F60" s="1388"/>
      <c r="G60" s="1386" t="s">
        <v>509</v>
      </c>
      <c r="H60" s="1390"/>
      <c r="I60" s="1390"/>
      <c r="J60" s="1386"/>
    </row>
    <row r="61" spans="2:12" ht="18" x14ac:dyDescent="0.25">
      <c r="B61" s="1385" t="s">
        <v>1579</v>
      </c>
      <c r="C61" s="1386" t="s">
        <v>1580</v>
      </c>
      <c r="D61" s="1386">
        <v>287.10199999999998</v>
      </c>
      <c r="E61" s="1388"/>
      <c r="F61" s="1388"/>
      <c r="G61" s="1386" t="s">
        <v>1581</v>
      </c>
      <c r="H61" s="1390"/>
      <c r="I61" s="1390"/>
      <c r="J61" s="1386"/>
    </row>
    <row r="62" spans="2:12" ht="18" x14ac:dyDescent="0.25">
      <c r="B62" s="1385" t="s">
        <v>2354</v>
      </c>
      <c r="C62" s="1386" t="s">
        <v>2355</v>
      </c>
      <c r="D62" s="1386" t="e">
        <f>(T_STP_K*R__)/p_N</f>
        <v>#NAME?</v>
      </c>
      <c r="E62" s="1388"/>
      <c r="F62" s="1388"/>
      <c r="G62" s="1386" t="s">
        <v>2356</v>
      </c>
      <c r="H62" s="1390"/>
      <c r="I62" s="1390"/>
      <c r="J62" s="1386"/>
    </row>
    <row r="63" spans="2:12" x14ac:dyDescent="0.25">
      <c r="B63" s="1385" t="s">
        <v>1582</v>
      </c>
      <c r="C63" s="1386" t="s">
        <v>3359</v>
      </c>
      <c r="D63" s="1386">
        <v>1.4</v>
      </c>
      <c r="E63" s="1388"/>
      <c r="F63" s="1388"/>
      <c r="G63" s="1386" t="s">
        <v>283</v>
      </c>
      <c r="H63" s="1390"/>
      <c r="I63" s="1390"/>
      <c r="J63" s="1386"/>
      <c r="L63" s="1389">
        <v>2.24139952407846E-2</v>
      </c>
    </row>
    <row r="64" spans="2:12" ht="17.25" x14ac:dyDescent="0.25">
      <c r="B64" s="1385" t="s">
        <v>510</v>
      </c>
      <c r="C64" s="1386" t="s">
        <v>511</v>
      </c>
      <c r="D64" s="1386">
        <v>96485.339924</v>
      </c>
      <c r="E64" s="1388"/>
      <c r="F64" s="1388"/>
      <c r="G64" s="1386" t="s">
        <v>512</v>
      </c>
      <c r="H64" s="1390"/>
      <c r="I64" s="1390"/>
      <c r="J64" s="1386"/>
    </row>
    <row r="65" spans="2:10" ht="18" x14ac:dyDescent="0.25">
      <c r="B65" s="1385" t="s">
        <v>513</v>
      </c>
      <c r="C65" s="1386" t="s">
        <v>514</v>
      </c>
      <c r="D65" s="1386">
        <v>9.8066499999999994</v>
      </c>
      <c r="E65" s="1388"/>
      <c r="F65" s="1388"/>
      <c r="G65" s="1386" t="s">
        <v>515</v>
      </c>
      <c r="H65" s="1390"/>
      <c r="I65" s="1390"/>
      <c r="J65" s="1386"/>
    </row>
    <row r="66" spans="2:10" ht="18" x14ac:dyDescent="0.25">
      <c r="B66" s="1385" t="s">
        <v>913</v>
      </c>
      <c r="C66" s="1386" t="s">
        <v>914</v>
      </c>
      <c r="D66" s="1386">
        <v>4.1813000000000002</v>
      </c>
      <c r="E66" s="1388"/>
      <c r="F66" s="1388"/>
      <c r="G66" s="1386" t="s">
        <v>3297</v>
      </c>
      <c r="H66" s="1390"/>
      <c r="I66" s="1390"/>
      <c r="J66" s="1386"/>
    </row>
    <row r="67" spans="2:10" ht="18" x14ac:dyDescent="0.25">
      <c r="B67" s="1385" t="s">
        <v>3139</v>
      </c>
      <c r="C67" s="1386" t="s">
        <v>3140</v>
      </c>
      <c r="D67" s="1386">
        <v>298.14999999999998</v>
      </c>
      <c r="E67" s="1388"/>
      <c r="F67" s="1388"/>
      <c r="G67" s="1386" t="s">
        <v>475</v>
      </c>
      <c r="H67" s="1390"/>
      <c r="I67" s="1390"/>
      <c r="J67" s="1386" t="s">
        <v>3141</v>
      </c>
    </row>
    <row r="68" spans="2:10" ht="18" x14ac:dyDescent="0.25">
      <c r="B68" s="1385" t="s">
        <v>3142</v>
      </c>
      <c r="C68" s="1386" t="s">
        <v>3143</v>
      </c>
      <c r="D68" s="1386">
        <v>293.14999999999998</v>
      </c>
      <c r="E68" s="1388"/>
      <c r="F68" s="1388"/>
      <c r="G68" s="1386" t="s">
        <v>475</v>
      </c>
      <c r="H68" s="1390"/>
      <c r="I68" s="1390"/>
      <c r="J68" s="1386" t="s">
        <v>3144</v>
      </c>
    </row>
    <row r="69" spans="2:10" ht="18" x14ac:dyDescent="0.25">
      <c r="B69" s="1385" t="s">
        <v>3145</v>
      </c>
      <c r="C69" s="1386" t="s">
        <v>3146</v>
      </c>
      <c r="D69" s="1386">
        <v>273.14999999999998</v>
      </c>
      <c r="E69" s="1388"/>
      <c r="F69" s="1388"/>
      <c r="G69" s="1386" t="s">
        <v>475</v>
      </c>
      <c r="H69" s="1390"/>
      <c r="I69" s="1390"/>
      <c r="J69" s="1386" t="s">
        <v>3147</v>
      </c>
    </row>
    <row r="70" spans="2:10" ht="18" x14ac:dyDescent="0.25">
      <c r="B70" s="1385" t="s">
        <v>3148</v>
      </c>
      <c r="C70" s="1386" t="s">
        <v>1203</v>
      </c>
      <c r="D70" s="1386">
        <v>0</v>
      </c>
      <c r="E70" s="1388"/>
      <c r="F70" s="1388"/>
      <c r="G70" s="1386" t="s">
        <v>2960</v>
      </c>
      <c r="H70" s="1390"/>
      <c r="I70" s="1390"/>
      <c r="J70" s="1386" t="s">
        <v>1583</v>
      </c>
    </row>
    <row r="72" spans="2:10" ht="15.75" thickBot="1" x14ac:dyDescent="0.3">
      <c r="C72" s="1426" t="s">
        <v>516</v>
      </c>
    </row>
    <row r="73" spans="2:10" ht="15.75" thickBot="1" x14ac:dyDescent="0.3">
      <c r="B73" s="1427" t="s">
        <v>0</v>
      </c>
      <c r="C73" s="1428" t="s">
        <v>1</v>
      </c>
      <c r="D73" s="1429" t="s">
        <v>152</v>
      </c>
      <c r="E73" s="1429" t="s">
        <v>471</v>
      </c>
      <c r="F73" s="1429" t="s">
        <v>472</v>
      </c>
      <c r="G73" s="1429" t="s">
        <v>2</v>
      </c>
      <c r="H73" s="1429" t="s">
        <v>300</v>
      </c>
      <c r="I73" s="1429" t="s">
        <v>116</v>
      </c>
      <c r="J73" s="1430" t="s">
        <v>117</v>
      </c>
    </row>
    <row r="74" spans="2:10" x14ac:dyDescent="0.25">
      <c r="B74" s="1385" t="s">
        <v>517</v>
      </c>
      <c r="C74" s="1386" t="s">
        <v>518</v>
      </c>
      <c r="D74" s="1386">
        <v>3.1415926500000002</v>
      </c>
      <c r="E74" s="1388"/>
      <c r="F74" s="1388"/>
      <c r="G74" s="1386" t="s">
        <v>283</v>
      </c>
      <c r="H74" s="1390"/>
      <c r="I74" s="1390"/>
      <c r="J74" s="1386"/>
    </row>
    <row r="76" spans="2:10" ht="15.75" thickBot="1" x14ac:dyDescent="0.3">
      <c r="C76" s="1426" t="s">
        <v>519</v>
      </c>
    </row>
    <row r="77" spans="2:10" ht="15.75" thickBot="1" x14ac:dyDescent="0.3">
      <c r="B77" s="1427" t="s">
        <v>0</v>
      </c>
      <c r="C77" s="1428" t="s">
        <v>1</v>
      </c>
      <c r="D77" s="1429" t="s">
        <v>152</v>
      </c>
      <c r="E77" s="1429" t="s">
        <v>471</v>
      </c>
      <c r="F77" s="1429" t="s">
        <v>472</v>
      </c>
      <c r="G77" s="1429" t="s">
        <v>2</v>
      </c>
      <c r="H77" s="1429" t="s">
        <v>300</v>
      </c>
      <c r="I77" s="1429" t="s">
        <v>116</v>
      </c>
      <c r="J77" s="1430" t="s">
        <v>117</v>
      </c>
    </row>
    <row r="78" spans="2:10" ht="18" hidden="1" outlineLevel="1" x14ac:dyDescent="0.25">
      <c r="B78" s="1385" t="s">
        <v>369</v>
      </c>
      <c r="C78" s="1386" t="s">
        <v>272</v>
      </c>
      <c r="D78" s="1386">
        <v>1.0079400000000001</v>
      </c>
      <c r="E78" s="1388"/>
      <c r="F78" s="1388"/>
      <c r="G78" s="1386" t="s">
        <v>361</v>
      </c>
      <c r="H78" s="1390"/>
      <c r="I78" s="1390"/>
      <c r="J78" s="1386"/>
    </row>
    <row r="79" spans="2:10" ht="18" hidden="1" outlineLevel="1" x14ac:dyDescent="0.25">
      <c r="B79" s="1385" t="s">
        <v>520</v>
      </c>
      <c r="C79" s="1386" t="s">
        <v>521</v>
      </c>
      <c r="D79" s="1386">
        <v>4.0026020000000004</v>
      </c>
      <c r="E79" s="1388"/>
      <c r="F79" s="1388"/>
      <c r="G79" s="1386" t="s">
        <v>361</v>
      </c>
      <c r="H79" s="1390"/>
      <c r="I79" s="1390"/>
      <c r="J79" s="1386"/>
    </row>
    <row r="80" spans="2:10" ht="18" hidden="1" outlineLevel="1" x14ac:dyDescent="0.25">
      <c r="B80" s="1385" t="s">
        <v>522</v>
      </c>
      <c r="C80" s="1386" t="s">
        <v>523</v>
      </c>
      <c r="D80" s="1386">
        <v>6.9409999999999998</v>
      </c>
      <c r="E80" s="1388"/>
      <c r="F80" s="1388"/>
      <c r="G80" s="1386" t="s">
        <v>361</v>
      </c>
      <c r="H80" s="1390"/>
      <c r="I80" s="1390"/>
      <c r="J80" s="1386"/>
    </row>
    <row r="81" spans="2:10" ht="18" hidden="1" outlineLevel="1" x14ac:dyDescent="0.25">
      <c r="B81" s="1385" t="s">
        <v>524</v>
      </c>
      <c r="C81" s="1386" t="s">
        <v>525</v>
      </c>
      <c r="D81" s="1386">
        <v>9.0121819999999992</v>
      </c>
      <c r="E81" s="1388"/>
      <c r="F81" s="1388"/>
      <c r="G81" s="1386" t="s">
        <v>361</v>
      </c>
      <c r="H81" s="1390"/>
      <c r="I81" s="1390"/>
      <c r="J81" s="1386"/>
    </row>
    <row r="82" spans="2:10" ht="18" hidden="1" outlineLevel="1" x14ac:dyDescent="0.25">
      <c r="B82" s="1385" t="s">
        <v>526</v>
      </c>
      <c r="C82" s="1386" t="s">
        <v>527</v>
      </c>
      <c r="D82" s="1386">
        <v>10.811</v>
      </c>
      <c r="E82" s="1388"/>
      <c r="F82" s="1388"/>
      <c r="G82" s="1386" t="s">
        <v>361</v>
      </c>
      <c r="H82" s="1390"/>
      <c r="I82" s="1390"/>
      <c r="J82" s="1386"/>
    </row>
    <row r="83" spans="2:10" ht="18" hidden="1" outlineLevel="1" x14ac:dyDescent="0.25">
      <c r="B83" s="1385" t="s">
        <v>360</v>
      </c>
      <c r="C83" s="1386" t="s">
        <v>279</v>
      </c>
      <c r="D83" s="1386">
        <v>12.0107</v>
      </c>
      <c r="E83" s="1388"/>
      <c r="F83" s="1388"/>
      <c r="G83" s="1386" t="s">
        <v>361</v>
      </c>
      <c r="H83" s="1390"/>
      <c r="I83" s="1390"/>
      <c r="J83" s="1386"/>
    </row>
    <row r="84" spans="2:10" ht="18" hidden="1" outlineLevel="1" x14ac:dyDescent="0.25">
      <c r="B84" s="1385" t="s">
        <v>363</v>
      </c>
      <c r="C84" s="1386" t="s">
        <v>263</v>
      </c>
      <c r="D84" s="1386">
        <v>14.0067</v>
      </c>
      <c r="E84" s="1388"/>
      <c r="F84" s="1388"/>
      <c r="G84" s="1386" t="s">
        <v>361</v>
      </c>
      <c r="H84" s="1390"/>
      <c r="I84" s="1390"/>
      <c r="J84" s="1386"/>
    </row>
    <row r="85" spans="2:10" ht="18" hidden="1" outlineLevel="1" x14ac:dyDescent="0.25">
      <c r="B85" s="1385" t="s">
        <v>364</v>
      </c>
      <c r="C85" s="1386" t="s">
        <v>262</v>
      </c>
      <c r="D85" s="1386">
        <v>15.9994</v>
      </c>
      <c r="E85" s="1388"/>
      <c r="F85" s="1388"/>
      <c r="G85" s="1386" t="s">
        <v>361</v>
      </c>
      <c r="H85" s="1390"/>
      <c r="I85" s="1390"/>
      <c r="J85" s="1386"/>
    </row>
    <row r="86" spans="2:10" ht="18" hidden="1" outlineLevel="1" x14ac:dyDescent="0.25">
      <c r="B86" s="1385" t="s">
        <v>528</v>
      </c>
      <c r="C86" s="1386" t="s">
        <v>529</v>
      </c>
      <c r="D86" s="1386">
        <v>18.998403</v>
      </c>
      <c r="E86" s="1388"/>
      <c r="F86" s="1388"/>
      <c r="G86" s="1386" t="s">
        <v>361</v>
      </c>
      <c r="H86" s="1390"/>
      <c r="I86" s="1390"/>
      <c r="J86" s="1386"/>
    </row>
    <row r="87" spans="2:10" ht="18" hidden="1" outlineLevel="1" x14ac:dyDescent="0.25">
      <c r="B87" s="1385" t="s">
        <v>530</v>
      </c>
      <c r="C87" s="1386" t="s">
        <v>531</v>
      </c>
      <c r="D87" s="1386">
        <v>20.1797</v>
      </c>
      <c r="E87" s="1388"/>
      <c r="F87" s="1388"/>
      <c r="G87" s="1386" t="s">
        <v>361</v>
      </c>
      <c r="H87" s="1390"/>
      <c r="I87" s="1390"/>
      <c r="J87" s="1386"/>
    </row>
    <row r="88" spans="2:10" ht="18" hidden="1" outlineLevel="1" x14ac:dyDescent="0.25">
      <c r="B88" s="1385" t="s">
        <v>370</v>
      </c>
      <c r="C88" s="1386" t="s">
        <v>293</v>
      </c>
      <c r="D88" s="1386">
        <v>22.989768999999999</v>
      </c>
      <c r="E88" s="1388"/>
      <c r="F88" s="1388"/>
      <c r="G88" s="1386" t="s">
        <v>361</v>
      </c>
      <c r="H88" s="1390"/>
      <c r="I88" s="1390"/>
      <c r="J88" s="1386"/>
    </row>
    <row r="89" spans="2:10" ht="18" hidden="1" outlineLevel="1" x14ac:dyDescent="0.25">
      <c r="B89" s="1385" t="s">
        <v>532</v>
      </c>
      <c r="C89" s="1386" t="s">
        <v>533</v>
      </c>
      <c r="D89" s="1386">
        <v>24.305</v>
      </c>
      <c r="E89" s="1388"/>
      <c r="F89" s="1388"/>
      <c r="G89" s="1386" t="s">
        <v>361</v>
      </c>
      <c r="H89" s="1390"/>
      <c r="I89" s="1390"/>
      <c r="J89" s="1386"/>
    </row>
    <row r="90" spans="2:10" ht="18" hidden="1" outlineLevel="1" x14ac:dyDescent="0.25">
      <c r="B90" s="1385" t="s">
        <v>368</v>
      </c>
      <c r="C90" s="1386" t="s">
        <v>266</v>
      </c>
      <c r="D90" s="1386">
        <v>26.9815</v>
      </c>
      <c r="E90" s="1388"/>
      <c r="F90" s="1388"/>
      <c r="G90" s="1386" t="s">
        <v>361</v>
      </c>
      <c r="H90" s="1390"/>
      <c r="I90" s="1390"/>
      <c r="J90" s="1386"/>
    </row>
    <row r="91" spans="2:10" ht="18" hidden="1" outlineLevel="1" x14ac:dyDescent="0.25">
      <c r="B91" s="1385" t="s">
        <v>534</v>
      </c>
      <c r="C91" s="1386" t="s">
        <v>535</v>
      </c>
      <c r="D91" s="1386">
        <v>28.0855</v>
      </c>
      <c r="E91" s="1388"/>
      <c r="F91" s="1388"/>
      <c r="G91" s="1386" t="s">
        <v>361</v>
      </c>
      <c r="H91" s="1390"/>
      <c r="I91" s="1390"/>
      <c r="J91" s="1386"/>
    </row>
    <row r="92" spans="2:10" ht="18" hidden="1" outlineLevel="1" x14ac:dyDescent="0.25">
      <c r="B92" s="1385" t="s">
        <v>362</v>
      </c>
      <c r="C92" s="1386" t="s">
        <v>267</v>
      </c>
      <c r="D92" s="1386">
        <v>30.973762199999999</v>
      </c>
      <c r="E92" s="1388"/>
      <c r="F92" s="1388"/>
      <c r="G92" s="1386" t="s">
        <v>361</v>
      </c>
      <c r="H92" s="1390"/>
      <c r="I92" s="1390"/>
      <c r="J92" s="1386"/>
    </row>
    <row r="93" spans="2:10" ht="18" hidden="1" outlineLevel="1" x14ac:dyDescent="0.25">
      <c r="B93" s="1385" t="s">
        <v>536</v>
      </c>
      <c r="C93" s="1386" t="s">
        <v>537</v>
      </c>
      <c r="D93" s="1386">
        <v>32.064999999999998</v>
      </c>
      <c r="E93" s="1388"/>
      <c r="F93" s="1388"/>
      <c r="G93" s="1386" t="s">
        <v>361</v>
      </c>
      <c r="H93" s="1390"/>
      <c r="I93" s="1390"/>
      <c r="J93" s="1386"/>
    </row>
    <row r="94" spans="2:10" ht="18" hidden="1" outlineLevel="1" x14ac:dyDescent="0.25">
      <c r="B94" s="1385" t="s">
        <v>371</v>
      </c>
      <c r="C94" s="1386" t="s">
        <v>372</v>
      </c>
      <c r="D94" s="1386">
        <v>35.453000000000003</v>
      </c>
      <c r="E94" s="1388"/>
      <c r="F94" s="1388"/>
      <c r="G94" s="1386" t="s">
        <v>361</v>
      </c>
      <c r="H94" s="1390"/>
      <c r="I94" s="1390"/>
      <c r="J94" s="1386"/>
    </row>
    <row r="95" spans="2:10" ht="18" hidden="1" outlineLevel="1" x14ac:dyDescent="0.25">
      <c r="B95" s="1385" t="s">
        <v>538</v>
      </c>
      <c r="C95" s="1386" t="s">
        <v>539</v>
      </c>
      <c r="D95" s="1386">
        <v>39.948</v>
      </c>
      <c r="E95" s="1388"/>
      <c r="F95" s="1388"/>
      <c r="G95" s="1386" t="s">
        <v>361</v>
      </c>
      <c r="H95" s="1390"/>
      <c r="I95" s="1390"/>
      <c r="J95" s="1386"/>
    </row>
    <row r="96" spans="2:10" ht="18" hidden="1" outlineLevel="1" x14ac:dyDescent="0.25">
      <c r="B96" s="1385" t="s">
        <v>540</v>
      </c>
      <c r="C96" s="1386" t="s">
        <v>541</v>
      </c>
      <c r="D96" s="1386">
        <v>39.098300000000002</v>
      </c>
      <c r="E96" s="1388"/>
      <c r="F96" s="1388"/>
      <c r="G96" s="1386" t="s">
        <v>361</v>
      </c>
      <c r="H96" s="1390"/>
      <c r="I96" s="1390"/>
      <c r="J96" s="1386"/>
    </row>
    <row r="97" spans="2:10" ht="18" hidden="1" outlineLevel="1" x14ac:dyDescent="0.25">
      <c r="B97" s="1385" t="s">
        <v>365</v>
      </c>
      <c r="C97" s="1386" t="s">
        <v>366</v>
      </c>
      <c r="D97" s="1386">
        <v>40.078000000000003</v>
      </c>
      <c r="E97" s="1388"/>
      <c r="F97" s="1388"/>
      <c r="G97" s="1386" t="s">
        <v>361</v>
      </c>
      <c r="H97" s="1390"/>
      <c r="I97" s="1390"/>
      <c r="J97" s="1386"/>
    </row>
    <row r="98" spans="2:10" ht="18" hidden="1" outlineLevel="1" x14ac:dyDescent="0.25">
      <c r="B98" s="1385" t="s">
        <v>542</v>
      </c>
      <c r="C98" s="1386" t="s">
        <v>543</v>
      </c>
      <c r="D98" s="1386">
        <v>44.955911999999998</v>
      </c>
      <c r="E98" s="1388"/>
      <c r="F98" s="1388"/>
      <c r="G98" s="1386" t="s">
        <v>361</v>
      </c>
      <c r="H98" s="1390"/>
      <c r="I98" s="1390"/>
      <c r="J98" s="1386"/>
    </row>
    <row r="99" spans="2:10" ht="18" hidden="1" outlineLevel="1" x14ac:dyDescent="0.25">
      <c r="B99" s="1385" t="s">
        <v>544</v>
      </c>
      <c r="C99" s="1386" t="s">
        <v>545</v>
      </c>
      <c r="D99" s="1386">
        <v>47.866999999999997</v>
      </c>
      <c r="E99" s="1388"/>
      <c r="F99" s="1388"/>
      <c r="G99" s="1386" t="s">
        <v>361</v>
      </c>
      <c r="H99" s="1390"/>
      <c r="I99" s="1390"/>
      <c r="J99" s="1386"/>
    </row>
    <row r="100" spans="2:10" ht="18" hidden="1" outlineLevel="1" x14ac:dyDescent="0.25">
      <c r="B100" s="1385" t="s">
        <v>546</v>
      </c>
      <c r="C100" s="1386" t="s">
        <v>547</v>
      </c>
      <c r="D100" s="1386">
        <v>50.941499999999998</v>
      </c>
      <c r="E100" s="1388"/>
      <c r="F100" s="1388"/>
      <c r="G100" s="1386" t="s">
        <v>361</v>
      </c>
      <c r="H100" s="1390"/>
      <c r="I100" s="1390"/>
      <c r="J100" s="1386"/>
    </row>
    <row r="101" spans="2:10" ht="18" hidden="1" outlineLevel="1" x14ac:dyDescent="0.25">
      <c r="B101" s="1385" t="s">
        <v>548</v>
      </c>
      <c r="C101" s="1386" t="s">
        <v>549</v>
      </c>
      <c r="D101" s="1386">
        <v>51.996099999999998</v>
      </c>
      <c r="E101" s="1388"/>
      <c r="F101" s="1388"/>
      <c r="G101" s="1386" t="s">
        <v>361</v>
      </c>
      <c r="H101" s="1390"/>
      <c r="I101" s="1390"/>
      <c r="J101" s="1386"/>
    </row>
    <row r="102" spans="2:10" ht="18" hidden="1" outlineLevel="1" x14ac:dyDescent="0.25">
      <c r="B102" s="1385" t="s">
        <v>550</v>
      </c>
      <c r="C102" s="1386" t="s">
        <v>551</v>
      </c>
      <c r="D102" s="1386">
        <v>54.938045000000002</v>
      </c>
      <c r="E102" s="1388"/>
      <c r="F102" s="1388"/>
      <c r="G102" s="1386" t="s">
        <v>361</v>
      </c>
      <c r="H102" s="1390"/>
      <c r="I102" s="1390"/>
      <c r="J102" s="1386"/>
    </row>
    <row r="103" spans="2:10" ht="18" hidden="1" outlineLevel="1" x14ac:dyDescent="0.25">
      <c r="B103" s="1385" t="s">
        <v>367</v>
      </c>
      <c r="C103" s="1386" t="s">
        <v>265</v>
      </c>
      <c r="D103" s="1386">
        <v>55.844999999999999</v>
      </c>
      <c r="E103" s="1388"/>
      <c r="F103" s="1388"/>
      <c r="G103" s="1386" t="s">
        <v>361</v>
      </c>
      <c r="H103" s="1390"/>
      <c r="I103" s="1390"/>
      <c r="J103" s="1386"/>
    </row>
    <row r="104" spans="2:10" ht="18" hidden="1" outlineLevel="1" x14ac:dyDescent="0.25">
      <c r="B104" s="1385" t="s">
        <v>552</v>
      </c>
      <c r="C104" s="1386" t="s">
        <v>553</v>
      </c>
      <c r="D104" s="1386">
        <v>58.933194999999998</v>
      </c>
      <c r="E104" s="1388"/>
      <c r="F104" s="1388"/>
      <c r="G104" s="1386" t="s">
        <v>361</v>
      </c>
      <c r="H104" s="1390"/>
      <c r="I104" s="1390"/>
      <c r="J104" s="1386"/>
    </row>
    <row r="105" spans="2:10" ht="18" hidden="1" outlineLevel="1" x14ac:dyDescent="0.25">
      <c r="B105" s="1385" t="s">
        <v>554</v>
      </c>
      <c r="C105" s="1386" t="s">
        <v>555</v>
      </c>
      <c r="D105" s="1386">
        <v>58.693399999999997</v>
      </c>
      <c r="E105" s="1388"/>
      <c r="F105" s="1388"/>
      <c r="G105" s="1386" t="s">
        <v>361</v>
      </c>
      <c r="H105" s="1390"/>
      <c r="I105" s="1390"/>
      <c r="J105" s="1386"/>
    </row>
    <row r="106" spans="2:10" ht="18" hidden="1" outlineLevel="1" x14ac:dyDescent="0.25">
      <c r="B106" s="1385" t="s">
        <v>556</v>
      </c>
      <c r="C106" s="1386" t="s">
        <v>557</v>
      </c>
      <c r="D106" s="1386">
        <v>63.545999999999999</v>
      </c>
      <c r="E106" s="1388"/>
      <c r="F106" s="1388"/>
      <c r="G106" s="1386" t="s">
        <v>361</v>
      </c>
      <c r="H106" s="1390"/>
      <c r="I106" s="1390"/>
      <c r="J106" s="1386"/>
    </row>
    <row r="107" spans="2:10" ht="18" hidden="1" outlineLevel="1" x14ac:dyDescent="0.25">
      <c r="B107" s="1385" t="s">
        <v>558</v>
      </c>
      <c r="C107" s="1386" t="s">
        <v>559</v>
      </c>
      <c r="D107" s="1386">
        <v>65.38</v>
      </c>
      <c r="E107" s="1388"/>
      <c r="F107" s="1388"/>
      <c r="G107" s="1386" t="s">
        <v>361</v>
      </c>
      <c r="H107" s="1390"/>
      <c r="I107" s="1390"/>
      <c r="J107" s="1386"/>
    </row>
    <row r="108" spans="2:10" ht="18" hidden="1" outlineLevel="1" x14ac:dyDescent="0.25">
      <c r="B108" s="1385" t="s">
        <v>560</v>
      </c>
      <c r="C108" s="1386" t="s">
        <v>561</v>
      </c>
      <c r="D108" s="1386">
        <v>69.722999999999999</v>
      </c>
      <c r="E108" s="1388"/>
      <c r="F108" s="1388"/>
      <c r="G108" s="1386" t="s">
        <v>361</v>
      </c>
      <c r="H108" s="1390"/>
      <c r="I108" s="1390"/>
      <c r="J108" s="1386"/>
    </row>
    <row r="109" spans="2:10" ht="18" hidden="1" outlineLevel="1" x14ac:dyDescent="0.25">
      <c r="B109" s="1385" t="s">
        <v>562</v>
      </c>
      <c r="C109" s="1386" t="s">
        <v>563</v>
      </c>
      <c r="D109" s="1386">
        <v>72.64</v>
      </c>
      <c r="E109" s="1388"/>
      <c r="F109" s="1388"/>
      <c r="G109" s="1386" t="s">
        <v>361</v>
      </c>
      <c r="H109" s="1390"/>
      <c r="I109" s="1390"/>
      <c r="J109" s="1386"/>
    </row>
    <row r="110" spans="2:10" ht="18" hidden="1" outlineLevel="1" x14ac:dyDescent="0.25">
      <c r="B110" s="1385" t="s">
        <v>564</v>
      </c>
      <c r="C110" s="1386" t="s">
        <v>565</v>
      </c>
      <c r="D110" s="1386">
        <v>74.921599999999998</v>
      </c>
      <c r="E110" s="1388"/>
      <c r="F110" s="1388"/>
      <c r="G110" s="1386" t="s">
        <v>361</v>
      </c>
      <c r="H110" s="1390"/>
      <c r="I110" s="1390"/>
      <c r="J110" s="1386"/>
    </row>
    <row r="111" spans="2:10" ht="18" hidden="1" outlineLevel="1" x14ac:dyDescent="0.25">
      <c r="B111" s="1385" t="s">
        <v>566</v>
      </c>
      <c r="C111" s="1386" t="s">
        <v>567</v>
      </c>
      <c r="D111" s="1386">
        <v>78.959999999999994</v>
      </c>
      <c r="E111" s="1388"/>
      <c r="F111" s="1388"/>
      <c r="G111" s="1386" t="s">
        <v>361</v>
      </c>
      <c r="H111" s="1390"/>
      <c r="I111" s="1390"/>
      <c r="J111" s="1386"/>
    </row>
    <row r="112" spans="2:10" ht="18" hidden="1" outlineLevel="1" x14ac:dyDescent="0.25">
      <c r="B112" s="1385" t="s">
        <v>568</v>
      </c>
      <c r="C112" s="1386" t="s">
        <v>569</v>
      </c>
      <c r="D112" s="1386">
        <v>79.903999999999996</v>
      </c>
      <c r="E112" s="1388"/>
      <c r="F112" s="1388"/>
      <c r="G112" s="1386" t="s">
        <v>361</v>
      </c>
      <c r="H112" s="1390"/>
      <c r="I112" s="1390"/>
      <c r="J112" s="1386"/>
    </row>
    <row r="113" spans="2:10" ht="18" hidden="1" outlineLevel="1" x14ac:dyDescent="0.25">
      <c r="B113" s="1385" t="s">
        <v>570</v>
      </c>
      <c r="C113" s="1386" t="s">
        <v>571</v>
      </c>
      <c r="D113" s="1386">
        <v>83.798000000000002</v>
      </c>
      <c r="E113" s="1388"/>
      <c r="F113" s="1388"/>
      <c r="G113" s="1386" t="s">
        <v>361</v>
      </c>
      <c r="H113" s="1390"/>
      <c r="I113" s="1390"/>
      <c r="J113" s="1386"/>
    </row>
    <row r="114" spans="2:10" ht="18" hidden="1" outlineLevel="1" x14ac:dyDescent="0.25">
      <c r="B114" s="1385" t="s">
        <v>572</v>
      </c>
      <c r="C114" s="1386" t="s">
        <v>573</v>
      </c>
      <c r="D114" s="1386">
        <v>85.467799999999997</v>
      </c>
      <c r="E114" s="1388"/>
      <c r="F114" s="1388"/>
      <c r="G114" s="1386" t="s">
        <v>361</v>
      </c>
      <c r="H114" s="1390"/>
      <c r="I114" s="1390"/>
      <c r="J114" s="1386"/>
    </row>
    <row r="115" spans="2:10" ht="18" hidden="1" outlineLevel="1" x14ac:dyDescent="0.25">
      <c r="B115" s="1385" t="s">
        <v>574</v>
      </c>
      <c r="C115" s="1386" t="s">
        <v>575</v>
      </c>
      <c r="D115" s="1386">
        <v>87.62</v>
      </c>
      <c r="E115" s="1388"/>
      <c r="F115" s="1388"/>
      <c r="G115" s="1386" t="s">
        <v>361</v>
      </c>
      <c r="H115" s="1390"/>
      <c r="I115" s="1390"/>
      <c r="J115" s="1386"/>
    </row>
    <row r="116" spans="2:10" ht="18" hidden="1" outlineLevel="1" x14ac:dyDescent="0.25">
      <c r="B116" s="1385" t="s">
        <v>576</v>
      </c>
      <c r="C116" s="1386" t="s">
        <v>577</v>
      </c>
      <c r="D116" s="1386">
        <v>88.905850000000001</v>
      </c>
      <c r="E116" s="1388"/>
      <c r="F116" s="1388"/>
      <c r="G116" s="1386" t="s">
        <v>361</v>
      </c>
      <c r="H116" s="1390"/>
      <c r="I116" s="1390"/>
      <c r="J116" s="1386"/>
    </row>
    <row r="117" spans="2:10" ht="18" hidden="1" outlineLevel="1" x14ac:dyDescent="0.25">
      <c r="B117" s="1385" t="s">
        <v>578</v>
      </c>
      <c r="C117" s="1386" t="s">
        <v>579</v>
      </c>
      <c r="D117" s="1386">
        <v>91.224000000000004</v>
      </c>
      <c r="E117" s="1388"/>
      <c r="F117" s="1388"/>
      <c r="G117" s="1386" t="s">
        <v>361</v>
      </c>
      <c r="H117" s="1390"/>
      <c r="I117" s="1390"/>
      <c r="J117" s="1386"/>
    </row>
    <row r="118" spans="2:10" ht="18" hidden="1" outlineLevel="1" x14ac:dyDescent="0.25">
      <c r="B118" s="1385" t="s">
        <v>580</v>
      </c>
      <c r="C118" s="1386" t="s">
        <v>581</v>
      </c>
      <c r="D118" s="1386">
        <v>92.906379999999999</v>
      </c>
      <c r="E118" s="1388"/>
      <c r="F118" s="1388"/>
      <c r="G118" s="1386" t="s">
        <v>361</v>
      </c>
      <c r="H118" s="1390"/>
      <c r="I118" s="1390"/>
      <c r="J118" s="1386"/>
    </row>
    <row r="119" spans="2:10" ht="18" hidden="1" outlineLevel="1" x14ac:dyDescent="0.25">
      <c r="B119" s="1385" t="s">
        <v>582</v>
      </c>
      <c r="C119" s="1386" t="s">
        <v>583</v>
      </c>
      <c r="D119" s="1386">
        <v>95.94</v>
      </c>
      <c r="E119" s="1388"/>
      <c r="F119" s="1388"/>
      <c r="G119" s="1386" t="s">
        <v>361</v>
      </c>
      <c r="H119" s="1390"/>
      <c r="I119" s="1390"/>
      <c r="J119" s="1386"/>
    </row>
    <row r="120" spans="2:10" ht="18" hidden="1" outlineLevel="1" x14ac:dyDescent="0.25">
      <c r="B120" s="1385" t="s">
        <v>584</v>
      </c>
      <c r="C120" s="1386" t="s">
        <v>585</v>
      </c>
      <c r="D120" s="1386">
        <v>98</v>
      </c>
      <c r="E120" s="1388"/>
      <c r="F120" s="1388"/>
      <c r="G120" s="1386" t="s">
        <v>361</v>
      </c>
      <c r="H120" s="1390"/>
      <c r="I120" s="1390"/>
      <c r="J120" s="1386"/>
    </row>
    <row r="121" spans="2:10" ht="18" hidden="1" outlineLevel="1" x14ac:dyDescent="0.25">
      <c r="B121" s="1385" t="s">
        <v>586</v>
      </c>
      <c r="C121" s="1386" t="s">
        <v>587</v>
      </c>
      <c r="D121" s="1386">
        <v>101.07</v>
      </c>
      <c r="E121" s="1388"/>
      <c r="F121" s="1388"/>
      <c r="G121" s="1386" t="s">
        <v>361</v>
      </c>
      <c r="H121" s="1390"/>
      <c r="I121" s="1390"/>
      <c r="J121" s="1386"/>
    </row>
    <row r="122" spans="2:10" ht="18" hidden="1" outlineLevel="1" x14ac:dyDescent="0.25">
      <c r="B122" s="1385" t="s">
        <v>588</v>
      </c>
      <c r="C122" s="1386" t="s">
        <v>589</v>
      </c>
      <c r="D122" s="1386">
        <v>102.9055</v>
      </c>
      <c r="E122" s="1388"/>
      <c r="F122" s="1388"/>
      <c r="G122" s="1386" t="s">
        <v>361</v>
      </c>
      <c r="H122" s="1390"/>
      <c r="I122" s="1390"/>
      <c r="J122" s="1386"/>
    </row>
    <row r="123" spans="2:10" ht="18" hidden="1" outlineLevel="1" x14ac:dyDescent="0.25">
      <c r="B123" s="1385" t="s">
        <v>590</v>
      </c>
      <c r="C123" s="1386" t="s">
        <v>591</v>
      </c>
      <c r="D123" s="1386">
        <v>106.42</v>
      </c>
      <c r="E123" s="1388"/>
      <c r="F123" s="1388"/>
      <c r="G123" s="1386" t="s">
        <v>361</v>
      </c>
      <c r="H123" s="1390"/>
      <c r="I123" s="1390"/>
      <c r="J123" s="1386"/>
    </row>
    <row r="124" spans="2:10" ht="18" hidden="1" outlineLevel="1" x14ac:dyDescent="0.25">
      <c r="B124" s="1385" t="s">
        <v>592</v>
      </c>
      <c r="C124" s="1386" t="s">
        <v>593</v>
      </c>
      <c r="D124" s="1386">
        <v>107.8682</v>
      </c>
      <c r="E124" s="1388"/>
      <c r="F124" s="1388"/>
      <c r="G124" s="1386" t="s">
        <v>361</v>
      </c>
      <c r="H124" s="1390"/>
      <c r="I124" s="1390"/>
      <c r="J124" s="1386"/>
    </row>
    <row r="125" spans="2:10" ht="18" hidden="1" outlineLevel="1" x14ac:dyDescent="0.25">
      <c r="B125" s="1385" t="s">
        <v>594</v>
      </c>
      <c r="C125" s="1386" t="s">
        <v>595</v>
      </c>
      <c r="D125" s="1386">
        <v>112.411</v>
      </c>
      <c r="E125" s="1388"/>
      <c r="F125" s="1388"/>
      <c r="G125" s="1386" t="s">
        <v>361</v>
      </c>
      <c r="H125" s="1390"/>
      <c r="I125" s="1390"/>
      <c r="J125" s="1386"/>
    </row>
    <row r="126" spans="2:10" ht="18" hidden="1" outlineLevel="1" x14ac:dyDescent="0.25">
      <c r="B126" s="1385" t="s">
        <v>596</v>
      </c>
      <c r="C126" s="1386" t="s">
        <v>597</v>
      </c>
      <c r="D126" s="1386">
        <v>114.818</v>
      </c>
      <c r="E126" s="1388"/>
      <c r="F126" s="1388"/>
      <c r="G126" s="1386" t="s">
        <v>361</v>
      </c>
      <c r="H126" s="1390"/>
      <c r="I126" s="1390"/>
      <c r="J126" s="1386"/>
    </row>
    <row r="127" spans="2:10" ht="18" hidden="1" outlineLevel="1" x14ac:dyDescent="0.25">
      <c r="B127" s="1385" t="s">
        <v>598</v>
      </c>
      <c r="C127" s="1386" t="s">
        <v>599</v>
      </c>
      <c r="D127" s="1386">
        <v>118.71</v>
      </c>
      <c r="E127" s="1388"/>
      <c r="F127" s="1388"/>
      <c r="G127" s="1386" t="s">
        <v>361</v>
      </c>
      <c r="H127" s="1390"/>
      <c r="I127" s="1390"/>
      <c r="J127" s="1386"/>
    </row>
    <row r="128" spans="2:10" ht="18" hidden="1" outlineLevel="1" x14ac:dyDescent="0.25">
      <c r="B128" s="1385" t="s">
        <v>600</v>
      </c>
      <c r="C128" s="1386" t="s">
        <v>601</v>
      </c>
      <c r="D128" s="1386">
        <v>121.76</v>
      </c>
      <c r="E128" s="1388"/>
      <c r="F128" s="1388"/>
      <c r="G128" s="1386" t="s">
        <v>361</v>
      </c>
      <c r="H128" s="1390"/>
      <c r="I128" s="1390"/>
      <c r="J128" s="1386"/>
    </row>
    <row r="129" spans="2:10" ht="18" hidden="1" outlineLevel="1" x14ac:dyDescent="0.25">
      <c r="B129" s="1385" t="s">
        <v>602</v>
      </c>
      <c r="C129" s="1386" t="s">
        <v>603</v>
      </c>
      <c r="D129" s="1386">
        <v>127.6</v>
      </c>
      <c r="E129" s="1388"/>
      <c r="F129" s="1388"/>
      <c r="G129" s="1386" t="s">
        <v>361</v>
      </c>
      <c r="H129" s="1390"/>
      <c r="I129" s="1390"/>
      <c r="J129" s="1386"/>
    </row>
    <row r="130" spans="2:10" ht="18" hidden="1" outlineLevel="1" x14ac:dyDescent="0.25">
      <c r="B130" s="1385" t="s">
        <v>604</v>
      </c>
      <c r="C130" s="1386" t="s">
        <v>605</v>
      </c>
      <c r="D130" s="1386">
        <v>126.90447</v>
      </c>
      <c r="E130" s="1388"/>
      <c r="F130" s="1388"/>
      <c r="G130" s="1386" t="s">
        <v>361</v>
      </c>
      <c r="H130" s="1390"/>
      <c r="I130" s="1390"/>
      <c r="J130" s="1386"/>
    </row>
    <row r="131" spans="2:10" ht="18" hidden="1" outlineLevel="1" x14ac:dyDescent="0.25">
      <c r="B131" s="1385" t="s">
        <v>606</v>
      </c>
      <c r="C131" s="1386" t="s">
        <v>607</v>
      </c>
      <c r="D131" s="1386">
        <v>131.29300000000001</v>
      </c>
      <c r="E131" s="1388"/>
      <c r="F131" s="1388"/>
      <c r="G131" s="1386" t="s">
        <v>361</v>
      </c>
      <c r="H131" s="1390"/>
      <c r="I131" s="1390"/>
      <c r="J131" s="1386"/>
    </row>
    <row r="132" spans="2:10" ht="18" hidden="1" outlineLevel="1" x14ac:dyDescent="0.25">
      <c r="B132" s="1385" t="s">
        <v>608</v>
      </c>
      <c r="C132" s="1386" t="s">
        <v>609</v>
      </c>
      <c r="D132" s="1386">
        <v>132.90545</v>
      </c>
      <c r="E132" s="1388"/>
      <c r="F132" s="1388"/>
      <c r="G132" s="1386" t="s">
        <v>361</v>
      </c>
      <c r="H132" s="1390"/>
      <c r="I132" s="1390"/>
      <c r="J132" s="1386"/>
    </row>
    <row r="133" spans="2:10" ht="18" hidden="1" outlineLevel="1" x14ac:dyDescent="0.25">
      <c r="B133" s="1385" t="s">
        <v>610</v>
      </c>
      <c r="C133" s="1386" t="s">
        <v>611</v>
      </c>
      <c r="D133" s="1386">
        <v>137.327</v>
      </c>
      <c r="E133" s="1388"/>
      <c r="F133" s="1388"/>
      <c r="G133" s="1386" t="s">
        <v>361</v>
      </c>
      <c r="H133" s="1390"/>
      <c r="I133" s="1390"/>
      <c r="J133" s="1386"/>
    </row>
    <row r="134" spans="2:10" ht="18" hidden="1" outlineLevel="1" x14ac:dyDescent="0.25">
      <c r="B134" s="1385" t="s">
        <v>612</v>
      </c>
      <c r="C134" s="1386" t="s">
        <v>613</v>
      </c>
      <c r="D134" s="1386">
        <v>138.90547000000001</v>
      </c>
      <c r="E134" s="1388"/>
      <c r="F134" s="1388"/>
      <c r="G134" s="1386" t="s">
        <v>361</v>
      </c>
      <c r="H134" s="1390"/>
      <c r="I134" s="1390"/>
      <c r="J134" s="1386"/>
    </row>
    <row r="135" spans="2:10" ht="18" hidden="1" outlineLevel="1" x14ac:dyDescent="0.25">
      <c r="B135" s="1385" t="s">
        <v>614</v>
      </c>
      <c r="C135" s="1386" t="s">
        <v>615</v>
      </c>
      <c r="D135" s="1386">
        <v>140.11600000000001</v>
      </c>
      <c r="E135" s="1388"/>
      <c r="F135" s="1388"/>
      <c r="G135" s="1386" t="s">
        <v>361</v>
      </c>
      <c r="H135" s="1390"/>
      <c r="I135" s="1390"/>
      <c r="J135" s="1386"/>
    </row>
    <row r="136" spans="2:10" ht="18" hidden="1" outlineLevel="1" x14ac:dyDescent="0.25">
      <c r="B136" s="1385" t="s">
        <v>616</v>
      </c>
      <c r="C136" s="1386" t="s">
        <v>617</v>
      </c>
      <c r="D136" s="1386">
        <v>140.90764999999999</v>
      </c>
      <c r="E136" s="1388"/>
      <c r="F136" s="1388"/>
      <c r="G136" s="1386" t="s">
        <v>361</v>
      </c>
      <c r="H136" s="1390"/>
      <c r="I136" s="1390"/>
      <c r="J136" s="1386"/>
    </row>
    <row r="137" spans="2:10" ht="18" hidden="1" outlineLevel="1" x14ac:dyDescent="0.25">
      <c r="B137" s="1385" t="s">
        <v>618</v>
      </c>
      <c r="C137" s="1386" t="s">
        <v>619</v>
      </c>
      <c r="D137" s="1386">
        <v>144.24199999999999</v>
      </c>
      <c r="E137" s="1388"/>
      <c r="F137" s="1388"/>
      <c r="G137" s="1386" t="s">
        <v>361</v>
      </c>
      <c r="H137" s="1390"/>
      <c r="I137" s="1390"/>
      <c r="J137" s="1386"/>
    </row>
    <row r="138" spans="2:10" ht="18" hidden="1" outlineLevel="1" x14ac:dyDescent="0.25">
      <c r="B138" s="1385" t="s">
        <v>620</v>
      </c>
      <c r="C138" s="1386" t="s">
        <v>621</v>
      </c>
      <c r="D138" s="1386">
        <v>145</v>
      </c>
      <c r="E138" s="1388"/>
      <c r="F138" s="1388"/>
      <c r="G138" s="1386" t="s">
        <v>361</v>
      </c>
      <c r="H138" s="1390"/>
      <c r="I138" s="1390"/>
      <c r="J138" s="1386"/>
    </row>
    <row r="139" spans="2:10" ht="18" hidden="1" outlineLevel="1" x14ac:dyDescent="0.25">
      <c r="B139" s="1385" t="s">
        <v>622</v>
      </c>
      <c r="C139" s="1386" t="s">
        <v>623</v>
      </c>
      <c r="D139" s="1386">
        <v>150.36000000000001</v>
      </c>
      <c r="E139" s="1388"/>
      <c r="F139" s="1388"/>
      <c r="G139" s="1386" t="s">
        <v>361</v>
      </c>
      <c r="H139" s="1390"/>
      <c r="I139" s="1390"/>
      <c r="J139" s="1386"/>
    </row>
    <row r="140" spans="2:10" ht="18" hidden="1" outlineLevel="1" x14ac:dyDescent="0.25">
      <c r="B140" s="1385" t="s">
        <v>624</v>
      </c>
      <c r="C140" s="1386" t="s">
        <v>625</v>
      </c>
      <c r="D140" s="1386">
        <v>151.964</v>
      </c>
      <c r="E140" s="1388"/>
      <c r="F140" s="1388"/>
      <c r="G140" s="1386" t="s">
        <v>361</v>
      </c>
      <c r="H140" s="1390"/>
      <c r="I140" s="1390"/>
      <c r="J140" s="1386"/>
    </row>
    <row r="141" spans="2:10" ht="18" hidden="1" outlineLevel="1" x14ac:dyDescent="0.25">
      <c r="B141" s="1385" t="s">
        <v>626</v>
      </c>
      <c r="C141" s="1386" t="s">
        <v>627</v>
      </c>
      <c r="D141" s="1386">
        <v>157.25</v>
      </c>
      <c r="E141" s="1388"/>
      <c r="F141" s="1388"/>
      <c r="G141" s="1386" t="s">
        <v>361</v>
      </c>
      <c r="H141" s="1390"/>
      <c r="I141" s="1390"/>
      <c r="J141" s="1386"/>
    </row>
    <row r="142" spans="2:10" ht="18" hidden="1" outlineLevel="1" x14ac:dyDescent="0.25">
      <c r="B142" s="1385" t="s">
        <v>628</v>
      </c>
      <c r="C142" s="1386" t="s">
        <v>629</v>
      </c>
      <c r="D142" s="1386">
        <v>158.92535000000001</v>
      </c>
      <c r="E142" s="1388"/>
      <c r="F142" s="1388"/>
      <c r="G142" s="1386" t="s">
        <v>361</v>
      </c>
      <c r="H142" s="1390"/>
      <c r="I142" s="1390"/>
      <c r="J142" s="1386"/>
    </row>
    <row r="143" spans="2:10" ht="18" hidden="1" outlineLevel="1" x14ac:dyDescent="0.25">
      <c r="B143" s="1385" t="s">
        <v>630</v>
      </c>
      <c r="C143" s="1386" t="s">
        <v>631</v>
      </c>
      <c r="D143" s="1386">
        <v>162.5</v>
      </c>
      <c r="E143" s="1388"/>
      <c r="F143" s="1388"/>
      <c r="G143" s="1386" t="s">
        <v>361</v>
      </c>
      <c r="H143" s="1390"/>
      <c r="I143" s="1390"/>
      <c r="J143" s="1386"/>
    </row>
    <row r="144" spans="2:10" ht="18" hidden="1" outlineLevel="1" x14ac:dyDescent="0.25">
      <c r="B144" s="1385" t="s">
        <v>632</v>
      </c>
      <c r="C144" s="1386" t="s">
        <v>633</v>
      </c>
      <c r="D144" s="1386">
        <v>164.93031999999999</v>
      </c>
      <c r="E144" s="1388"/>
      <c r="F144" s="1388"/>
      <c r="G144" s="1386" t="s">
        <v>361</v>
      </c>
      <c r="H144" s="1390"/>
      <c r="I144" s="1390"/>
      <c r="J144" s="1386"/>
    </row>
    <row r="145" spans="2:10" ht="18" hidden="1" outlineLevel="1" x14ac:dyDescent="0.25">
      <c r="B145" s="1385" t="s">
        <v>634</v>
      </c>
      <c r="C145" s="1386" t="s">
        <v>635</v>
      </c>
      <c r="D145" s="1386">
        <v>167.25899999999999</v>
      </c>
      <c r="E145" s="1388"/>
      <c r="F145" s="1388"/>
      <c r="G145" s="1386" t="s">
        <v>361</v>
      </c>
      <c r="H145" s="1390"/>
      <c r="I145" s="1390"/>
      <c r="J145" s="1386"/>
    </row>
    <row r="146" spans="2:10" ht="18" hidden="1" outlineLevel="1" x14ac:dyDescent="0.25">
      <c r="B146" s="1385" t="s">
        <v>636</v>
      </c>
      <c r="C146" s="1386" t="s">
        <v>637</v>
      </c>
      <c r="D146" s="1386">
        <v>168.93421000000001</v>
      </c>
      <c r="E146" s="1388"/>
      <c r="F146" s="1388"/>
      <c r="G146" s="1386" t="s">
        <v>361</v>
      </c>
      <c r="H146" s="1390"/>
      <c r="I146" s="1390"/>
      <c r="J146" s="1386"/>
    </row>
    <row r="147" spans="2:10" ht="18" hidden="1" outlineLevel="1" x14ac:dyDescent="0.25">
      <c r="B147" s="1385" t="s">
        <v>638</v>
      </c>
      <c r="C147" s="1386" t="s">
        <v>639</v>
      </c>
      <c r="D147" s="1386">
        <v>173.04</v>
      </c>
      <c r="E147" s="1388"/>
      <c r="F147" s="1388"/>
      <c r="G147" s="1386" t="s">
        <v>361</v>
      </c>
      <c r="H147" s="1390"/>
      <c r="I147" s="1390"/>
      <c r="J147" s="1386"/>
    </row>
    <row r="148" spans="2:10" ht="18" hidden="1" outlineLevel="1" x14ac:dyDescent="0.25">
      <c r="B148" s="1385" t="s">
        <v>640</v>
      </c>
      <c r="C148" s="1386" t="s">
        <v>641</v>
      </c>
      <c r="D148" s="1386">
        <v>174.96700000000001</v>
      </c>
      <c r="E148" s="1388"/>
      <c r="F148" s="1388"/>
      <c r="G148" s="1386" t="s">
        <v>361</v>
      </c>
      <c r="H148" s="1390"/>
      <c r="I148" s="1390"/>
      <c r="J148" s="1386"/>
    </row>
    <row r="149" spans="2:10" ht="18" hidden="1" outlineLevel="1" x14ac:dyDescent="0.25">
      <c r="B149" s="1385" t="s">
        <v>642</v>
      </c>
      <c r="C149" s="1386" t="s">
        <v>643</v>
      </c>
      <c r="D149" s="1386">
        <v>178.49</v>
      </c>
      <c r="E149" s="1388"/>
      <c r="F149" s="1388"/>
      <c r="G149" s="1386" t="s">
        <v>361</v>
      </c>
      <c r="H149" s="1390"/>
      <c r="I149" s="1390"/>
      <c r="J149" s="1386"/>
    </row>
    <row r="150" spans="2:10" ht="18" hidden="1" outlineLevel="1" x14ac:dyDescent="0.25">
      <c r="B150" s="1385" t="s">
        <v>644</v>
      </c>
      <c r="C150" s="1386" t="s">
        <v>645</v>
      </c>
      <c r="D150" s="1386">
        <v>180.94788</v>
      </c>
      <c r="E150" s="1388"/>
      <c r="F150" s="1388"/>
      <c r="G150" s="1386" t="s">
        <v>361</v>
      </c>
      <c r="H150" s="1390"/>
      <c r="I150" s="1390"/>
      <c r="J150" s="1386"/>
    </row>
    <row r="151" spans="2:10" ht="18" hidden="1" outlineLevel="1" x14ac:dyDescent="0.25">
      <c r="B151" s="1385" t="s">
        <v>646</v>
      </c>
      <c r="C151" s="1386" t="s">
        <v>647</v>
      </c>
      <c r="D151" s="1386">
        <v>183.84</v>
      </c>
      <c r="E151" s="1388"/>
      <c r="F151" s="1388"/>
      <c r="G151" s="1386" t="s">
        <v>361</v>
      </c>
      <c r="H151" s="1390"/>
      <c r="I151" s="1390"/>
      <c r="J151" s="1386"/>
    </row>
    <row r="152" spans="2:10" ht="18" hidden="1" outlineLevel="1" x14ac:dyDescent="0.25">
      <c r="B152" s="1385" t="s">
        <v>648</v>
      </c>
      <c r="C152" s="1386" t="s">
        <v>649</v>
      </c>
      <c r="D152" s="1386">
        <v>186.20699999999999</v>
      </c>
      <c r="E152" s="1388"/>
      <c r="F152" s="1388"/>
      <c r="G152" s="1386" t="s">
        <v>361</v>
      </c>
      <c r="H152" s="1390"/>
      <c r="I152" s="1390"/>
      <c r="J152" s="1386"/>
    </row>
    <row r="153" spans="2:10" ht="18" hidden="1" outlineLevel="1" x14ac:dyDescent="0.25">
      <c r="B153" s="1385" t="s">
        <v>650</v>
      </c>
      <c r="C153" s="1386" t="s">
        <v>651</v>
      </c>
      <c r="D153" s="1386">
        <v>190.23</v>
      </c>
      <c r="E153" s="1388"/>
      <c r="F153" s="1388"/>
      <c r="G153" s="1386" t="s">
        <v>361</v>
      </c>
      <c r="H153" s="1390"/>
      <c r="I153" s="1390"/>
      <c r="J153" s="1386"/>
    </row>
    <row r="154" spans="2:10" ht="18" hidden="1" outlineLevel="1" x14ac:dyDescent="0.25">
      <c r="B154" s="1385" t="s">
        <v>652</v>
      </c>
      <c r="C154" s="1386" t="s">
        <v>653</v>
      </c>
      <c r="D154" s="1386">
        <v>192.21700000000001</v>
      </c>
      <c r="E154" s="1388"/>
      <c r="F154" s="1388"/>
      <c r="G154" s="1386" t="s">
        <v>361</v>
      </c>
      <c r="H154" s="1390"/>
      <c r="I154" s="1390"/>
      <c r="J154" s="1386"/>
    </row>
    <row r="155" spans="2:10" ht="18" hidden="1" outlineLevel="1" x14ac:dyDescent="0.25">
      <c r="B155" s="1385" t="s">
        <v>654</v>
      </c>
      <c r="C155" s="1386" t="s">
        <v>655</v>
      </c>
      <c r="D155" s="1386">
        <v>195.084</v>
      </c>
      <c r="E155" s="1388"/>
      <c r="F155" s="1388"/>
      <c r="G155" s="1386" t="s">
        <v>361</v>
      </c>
      <c r="H155" s="1390"/>
      <c r="I155" s="1390"/>
      <c r="J155" s="1386"/>
    </row>
    <row r="156" spans="2:10" ht="18" hidden="1" outlineLevel="1" x14ac:dyDescent="0.25">
      <c r="B156" s="1385" t="s">
        <v>656</v>
      </c>
      <c r="C156" s="1386" t="s">
        <v>657</v>
      </c>
      <c r="D156" s="1386">
        <v>196.96656999999999</v>
      </c>
      <c r="E156" s="1388"/>
      <c r="F156" s="1388"/>
      <c r="G156" s="1386" t="s">
        <v>361</v>
      </c>
      <c r="H156" s="1390"/>
      <c r="I156" s="1390"/>
      <c r="J156" s="1386"/>
    </row>
    <row r="157" spans="2:10" ht="18" hidden="1" outlineLevel="1" x14ac:dyDescent="0.25">
      <c r="B157" s="1385" t="s">
        <v>658</v>
      </c>
      <c r="C157" s="1386" t="s">
        <v>659</v>
      </c>
      <c r="D157" s="1386">
        <v>200.59</v>
      </c>
      <c r="E157" s="1388"/>
      <c r="F157" s="1388"/>
      <c r="G157" s="1386" t="s">
        <v>361</v>
      </c>
      <c r="H157" s="1390"/>
      <c r="I157" s="1390"/>
      <c r="J157" s="1386"/>
    </row>
    <row r="158" spans="2:10" ht="18" hidden="1" outlineLevel="1" x14ac:dyDescent="0.25">
      <c r="B158" s="1385" t="s">
        <v>660</v>
      </c>
      <c r="C158" s="1386" t="s">
        <v>661</v>
      </c>
      <c r="D158" s="1386">
        <v>204.38329999999999</v>
      </c>
      <c r="E158" s="1388"/>
      <c r="F158" s="1388"/>
      <c r="G158" s="1386" t="s">
        <v>361</v>
      </c>
      <c r="H158" s="1390"/>
      <c r="I158" s="1390"/>
      <c r="J158" s="1386"/>
    </row>
    <row r="159" spans="2:10" ht="18" hidden="1" outlineLevel="1" x14ac:dyDescent="0.25">
      <c r="B159" s="1385" t="s">
        <v>662</v>
      </c>
      <c r="C159" s="1386" t="s">
        <v>663</v>
      </c>
      <c r="D159" s="1386">
        <v>207.2</v>
      </c>
      <c r="E159" s="1388"/>
      <c r="F159" s="1388"/>
      <c r="G159" s="1386" t="s">
        <v>361</v>
      </c>
      <c r="H159" s="1390"/>
      <c r="I159" s="1390"/>
      <c r="J159" s="1386"/>
    </row>
    <row r="160" spans="2:10" ht="18" hidden="1" outlineLevel="1" x14ac:dyDescent="0.25">
      <c r="B160" s="1385" t="s">
        <v>664</v>
      </c>
      <c r="C160" s="1386" t="s">
        <v>665</v>
      </c>
      <c r="D160" s="1386">
        <v>208.9804</v>
      </c>
      <c r="E160" s="1388"/>
      <c r="F160" s="1388"/>
      <c r="G160" s="1386" t="s">
        <v>361</v>
      </c>
      <c r="H160" s="1390"/>
      <c r="I160" s="1390"/>
      <c r="J160" s="1386"/>
    </row>
    <row r="161" spans="2:10" ht="18" hidden="1" outlineLevel="1" x14ac:dyDescent="0.25">
      <c r="B161" s="1385" t="s">
        <v>666</v>
      </c>
      <c r="C161" s="1386" t="s">
        <v>667</v>
      </c>
      <c r="D161" s="1386">
        <v>209</v>
      </c>
      <c r="E161" s="1388"/>
      <c r="F161" s="1388"/>
      <c r="G161" s="1386" t="s">
        <v>361</v>
      </c>
      <c r="H161" s="1390"/>
      <c r="I161" s="1390"/>
      <c r="J161" s="1386"/>
    </row>
    <row r="162" spans="2:10" ht="18" hidden="1" outlineLevel="1" x14ac:dyDescent="0.25">
      <c r="B162" s="1385" t="s">
        <v>668</v>
      </c>
      <c r="C162" s="1386" t="s">
        <v>669</v>
      </c>
      <c r="D162" s="1386">
        <v>210</v>
      </c>
      <c r="E162" s="1388"/>
      <c r="F162" s="1388"/>
      <c r="G162" s="1386" t="s">
        <v>361</v>
      </c>
      <c r="H162" s="1390"/>
      <c r="I162" s="1390"/>
      <c r="J162" s="1386"/>
    </row>
    <row r="163" spans="2:10" ht="18" hidden="1" outlineLevel="1" x14ac:dyDescent="0.25">
      <c r="B163" s="1385" t="s">
        <v>670</v>
      </c>
      <c r="C163" s="1386" t="s">
        <v>671</v>
      </c>
      <c r="D163" s="1386">
        <v>222</v>
      </c>
      <c r="E163" s="1388"/>
      <c r="F163" s="1388"/>
      <c r="G163" s="1386" t="s">
        <v>361</v>
      </c>
      <c r="H163" s="1390"/>
      <c r="I163" s="1390"/>
      <c r="J163" s="1386"/>
    </row>
    <row r="164" spans="2:10" ht="18" hidden="1" outlineLevel="1" x14ac:dyDescent="0.25">
      <c r="B164" s="1385" t="s">
        <v>672</v>
      </c>
      <c r="C164" s="1386" t="s">
        <v>673</v>
      </c>
      <c r="D164" s="1386">
        <v>223</v>
      </c>
      <c r="E164" s="1388"/>
      <c r="F164" s="1388"/>
      <c r="G164" s="1386" t="s">
        <v>361</v>
      </c>
      <c r="H164" s="1390"/>
      <c r="I164" s="1390"/>
      <c r="J164" s="1386"/>
    </row>
    <row r="165" spans="2:10" ht="18" hidden="1" outlineLevel="1" x14ac:dyDescent="0.25">
      <c r="B165" s="1385" t="s">
        <v>674</v>
      </c>
      <c r="C165" s="1386" t="s">
        <v>675</v>
      </c>
      <c r="D165" s="1386">
        <v>226</v>
      </c>
      <c r="E165" s="1388"/>
      <c r="F165" s="1388"/>
      <c r="G165" s="1386" t="s">
        <v>361</v>
      </c>
      <c r="H165" s="1390"/>
      <c r="I165" s="1390"/>
      <c r="J165" s="1386"/>
    </row>
    <row r="166" spans="2:10" ht="18" hidden="1" outlineLevel="1" x14ac:dyDescent="0.25">
      <c r="B166" s="1385" t="s">
        <v>676</v>
      </c>
      <c r="C166" s="1386" t="s">
        <v>677</v>
      </c>
      <c r="D166" s="1386">
        <v>227</v>
      </c>
      <c r="E166" s="1388"/>
      <c r="F166" s="1388"/>
      <c r="G166" s="1386" t="s">
        <v>361</v>
      </c>
      <c r="H166" s="1390"/>
      <c r="I166" s="1390"/>
      <c r="J166" s="1386"/>
    </row>
    <row r="167" spans="2:10" ht="18" hidden="1" outlineLevel="1" x14ac:dyDescent="0.25">
      <c r="B167" s="1385" t="s">
        <v>678</v>
      </c>
      <c r="C167" s="1386" t="s">
        <v>679</v>
      </c>
      <c r="D167" s="1386">
        <v>232.03806</v>
      </c>
      <c r="E167" s="1388"/>
      <c r="F167" s="1388"/>
      <c r="G167" s="1386" t="s">
        <v>361</v>
      </c>
      <c r="H167" s="1390"/>
      <c r="I167" s="1390"/>
      <c r="J167" s="1386"/>
    </row>
    <row r="168" spans="2:10" ht="18" hidden="1" outlineLevel="1" x14ac:dyDescent="0.25">
      <c r="B168" s="1385" t="s">
        <v>680</v>
      </c>
      <c r="C168" s="1386" t="s">
        <v>681</v>
      </c>
      <c r="D168" s="1386">
        <v>231.03587999999999</v>
      </c>
      <c r="E168" s="1388"/>
      <c r="F168" s="1388"/>
      <c r="G168" s="1386" t="s">
        <v>361</v>
      </c>
      <c r="H168" s="1390"/>
      <c r="I168" s="1390"/>
      <c r="J168" s="1386"/>
    </row>
    <row r="169" spans="2:10" ht="18" hidden="1" outlineLevel="1" x14ac:dyDescent="0.25">
      <c r="B169" s="1385" t="s">
        <v>682</v>
      </c>
      <c r="C169" s="1386" t="s">
        <v>683</v>
      </c>
      <c r="D169" s="1386">
        <v>238.02891</v>
      </c>
      <c r="E169" s="1388"/>
      <c r="F169" s="1388"/>
      <c r="G169" s="1386" t="s">
        <v>361</v>
      </c>
      <c r="H169" s="1390"/>
      <c r="I169" s="1390"/>
      <c r="J169" s="1386"/>
    </row>
    <row r="170" spans="2:10" ht="18" hidden="1" outlineLevel="1" x14ac:dyDescent="0.25">
      <c r="B170" s="1385" t="s">
        <v>684</v>
      </c>
      <c r="C170" s="1386" t="s">
        <v>685</v>
      </c>
      <c r="D170" s="1386">
        <v>237</v>
      </c>
      <c r="E170" s="1388"/>
      <c r="F170" s="1388"/>
      <c r="G170" s="1386" t="s">
        <v>361</v>
      </c>
      <c r="H170" s="1390"/>
      <c r="I170" s="1390"/>
      <c r="J170" s="1386"/>
    </row>
    <row r="171" spans="2:10" ht="18" hidden="1" outlineLevel="1" x14ac:dyDescent="0.25">
      <c r="B171" s="1385" t="s">
        <v>686</v>
      </c>
      <c r="C171" s="1386" t="s">
        <v>687</v>
      </c>
      <c r="D171" s="1386">
        <v>244</v>
      </c>
      <c r="E171" s="1388"/>
      <c r="F171" s="1388"/>
      <c r="G171" s="1386" t="s">
        <v>361</v>
      </c>
      <c r="H171" s="1390"/>
      <c r="I171" s="1390"/>
      <c r="J171" s="1386"/>
    </row>
    <row r="172" spans="2:10" ht="18" hidden="1" outlineLevel="1" x14ac:dyDescent="0.25">
      <c r="B172" s="1385" t="s">
        <v>688</v>
      </c>
      <c r="C172" s="1386" t="s">
        <v>689</v>
      </c>
      <c r="D172" s="1386">
        <v>243</v>
      </c>
      <c r="E172" s="1388"/>
      <c r="F172" s="1388"/>
      <c r="G172" s="1386" t="s">
        <v>361</v>
      </c>
      <c r="H172" s="1390"/>
      <c r="I172" s="1390"/>
      <c r="J172" s="1386"/>
    </row>
    <row r="173" spans="2:10" ht="18" hidden="1" outlineLevel="1" x14ac:dyDescent="0.25">
      <c r="B173" s="1385" t="s">
        <v>690</v>
      </c>
      <c r="C173" s="1386" t="s">
        <v>691</v>
      </c>
      <c r="D173" s="1386">
        <v>247</v>
      </c>
      <c r="E173" s="1388"/>
      <c r="F173" s="1388"/>
      <c r="G173" s="1386" t="s">
        <v>361</v>
      </c>
      <c r="H173" s="1390"/>
      <c r="I173" s="1390"/>
      <c r="J173" s="1386"/>
    </row>
    <row r="174" spans="2:10" ht="18" hidden="1" outlineLevel="1" x14ac:dyDescent="0.25">
      <c r="B174" s="1385" t="s">
        <v>692</v>
      </c>
      <c r="C174" s="1386" t="s">
        <v>693</v>
      </c>
      <c r="D174" s="1386">
        <v>247</v>
      </c>
      <c r="E174" s="1388"/>
      <c r="F174" s="1388"/>
      <c r="G174" s="1386" t="s">
        <v>361</v>
      </c>
      <c r="H174" s="1390"/>
      <c r="I174" s="1390"/>
      <c r="J174" s="1386"/>
    </row>
    <row r="175" spans="2:10" ht="18" hidden="1" outlineLevel="1" x14ac:dyDescent="0.25">
      <c r="B175" s="1385" t="s">
        <v>694</v>
      </c>
      <c r="C175" s="1386" t="s">
        <v>695</v>
      </c>
      <c r="D175" s="1386">
        <v>251</v>
      </c>
      <c r="E175" s="1388"/>
      <c r="F175" s="1388"/>
      <c r="G175" s="1386" t="s">
        <v>361</v>
      </c>
      <c r="H175" s="1390"/>
      <c r="I175" s="1390"/>
      <c r="J175" s="1386"/>
    </row>
    <row r="176" spans="2:10" ht="18" hidden="1" outlineLevel="1" x14ac:dyDescent="0.25">
      <c r="B176" s="1385" t="s">
        <v>696</v>
      </c>
      <c r="C176" s="1386" t="s">
        <v>697</v>
      </c>
      <c r="D176" s="1386">
        <v>252</v>
      </c>
      <c r="E176" s="1388"/>
      <c r="F176" s="1388"/>
      <c r="G176" s="1386" t="s">
        <v>361</v>
      </c>
      <c r="H176" s="1390"/>
      <c r="I176" s="1390"/>
      <c r="J176" s="1386"/>
    </row>
    <row r="177" spans="2:10" ht="18" hidden="1" outlineLevel="1" x14ac:dyDescent="0.25">
      <c r="B177" s="1385" t="s">
        <v>698</v>
      </c>
      <c r="C177" s="1386" t="s">
        <v>699</v>
      </c>
      <c r="D177" s="1386">
        <v>257</v>
      </c>
      <c r="E177" s="1388"/>
      <c r="F177" s="1388"/>
      <c r="G177" s="1386" t="s">
        <v>361</v>
      </c>
      <c r="H177" s="1390"/>
      <c r="I177" s="1390"/>
      <c r="J177" s="1386"/>
    </row>
    <row r="178" spans="2:10" ht="18" hidden="1" outlineLevel="1" x14ac:dyDescent="0.25">
      <c r="B178" s="1385" t="s">
        <v>700</v>
      </c>
      <c r="C178" s="1386" t="s">
        <v>701</v>
      </c>
      <c r="D178" s="1386">
        <v>258</v>
      </c>
      <c r="E178" s="1388"/>
      <c r="F178" s="1388"/>
      <c r="G178" s="1386" t="s">
        <v>361</v>
      </c>
      <c r="H178" s="1390"/>
      <c r="I178" s="1390"/>
      <c r="J178" s="1386"/>
    </row>
    <row r="179" spans="2:10" ht="18" hidden="1" outlineLevel="1" x14ac:dyDescent="0.25">
      <c r="B179" s="1385" t="s">
        <v>702</v>
      </c>
      <c r="C179" s="1386" t="s">
        <v>703</v>
      </c>
      <c r="D179" s="1386">
        <v>259</v>
      </c>
      <c r="E179" s="1388"/>
      <c r="F179" s="1388"/>
      <c r="G179" s="1386" t="s">
        <v>361</v>
      </c>
      <c r="H179" s="1390"/>
      <c r="I179" s="1390"/>
      <c r="J179" s="1386"/>
    </row>
    <row r="180" spans="2:10" ht="18" hidden="1" outlineLevel="1" x14ac:dyDescent="0.25">
      <c r="B180" s="1385" t="s">
        <v>704</v>
      </c>
      <c r="C180" s="1386" t="s">
        <v>705</v>
      </c>
      <c r="D180" s="1386">
        <v>262</v>
      </c>
      <c r="E180" s="1388"/>
      <c r="F180" s="1388"/>
      <c r="G180" s="1386" t="s">
        <v>361</v>
      </c>
      <c r="H180" s="1390"/>
      <c r="I180" s="1390"/>
      <c r="J180" s="1386"/>
    </row>
    <row r="181" spans="2:10" ht="18" hidden="1" outlineLevel="1" x14ac:dyDescent="0.25">
      <c r="B181" s="1385" t="s">
        <v>706</v>
      </c>
      <c r="C181" s="1386" t="s">
        <v>707</v>
      </c>
      <c r="D181" s="1386">
        <v>261</v>
      </c>
      <c r="E181" s="1388"/>
      <c r="F181" s="1388"/>
      <c r="G181" s="1386" t="s">
        <v>361</v>
      </c>
      <c r="H181" s="1390"/>
      <c r="I181" s="1390"/>
      <c r="J181" s="1386"/>
    </row>
    <row r="182" spans="2:10" ht="18" hidden="1" outlineLevel="1" x14ac:dyDescent="0.25">
      <c r="B182" s="1385" t="s">
        <v>708</v>
      </c>
      <c r="C182" s="1386" t="s">
        <v>709</v>
      </c>
      <c r="D182" s="1386">
        <v>262</v>
      </c>
      <c r="E182" s="1388"/>
      <c r="F182" s="1388"/>
      <c r="G182" s="1386" t="s">
        <v>361</v>
      </c>
      <c r="H182" s="1390"/>
      <c r="I182" s="1390"/>
      <c r="J182" s="1386"/>
    </row>
    <row r="183" spans="2:10" ht="18" hidden="1" outlineLevel="1" x14ac:dyDescent="0.25">
      <c r="B183" s="1385" t="s">
        <v>710</v>
      </c>
      <c r="C183" s="1386" t="s">
        <v>711</v>
      </c>
      <c r="D183" s="1386">
        <v>266</v>
      </c>
      <c r="E183" s="1388"/>
      <c r="F183" s="1388"/>
      <c r="G183" s="1386" t="s">
        <v>361</v>
      </c>
      <c r="H183" s="1390"/>
      <c r="I183" s="1390"/>
      <c r="J183" s="1386"/>
    </row>
    <row r="184" spans="2:10" ht="18" hidden="1" outlineLevel="1" x14ac:dyDescent="0.25">
      <c r="B184" s="1385" t="s">
        <v>712</v>
      </c>
      <c r="C184" s="1386" t="s">
        <v>713</v>
      </c>
      <c r="D184" s="1386">
        <v>264</v>
      </c>
      <c r="E184" s="1388"/>
      <c r="F184" s="1388"/>
      <c r="G184" s="1386" t="s">
        <v>361</v>
      </c>
      <c r="H184" s="1390"/>
      <c r="I184" s="1390"/>
      <c r="J184" s="1386"/>
    </row>
    <row r="185" spans="2:10" ht="18" hidden="1" outlineLevel="1" x14ac:dyDescent="0.25">
      <c r="B185" s="1385" t="s">
        <v>714</v>
      </c>
      <c r="C185" s="1386" t="s">
        <v>715</v>
      </c>
      <c r="D185" s="1386">
        <v>277</v>
      </c>
      <c r="E185" s="1388"/>
      <c r="F185" s="1388"/>
      <c r="G185" s="1386" t="s">
        <v>361</v>
      </c>
      <c r="H185" s="1390"/>
      <c r="I185" s="1390"/>
      <c r="J185" s="1386"/>
    </row>
    <row r="186" spans="2:10" ht="18" hidden="1" outlineLevel="1" x14ac:dyDescent="0.25">
      <c r="B186" s="1385" t="s">
        <v>716</v>
      </c>
      <c r="C186" s="1386" t="s">
        <v>717</v>
      </c>
      <c r="D186" s="1386">
        <v>268</v>
      </c>
      <c r="E186" s="1388"/>
      <c r="F186" s="1388"/>
      <c r="G186" s="1386" t="s">
        <v>361</v>
      </c>
      <c r="H186" s="1390"/>
      <c r="I186" s="1390"/>
      <c r="J186" s="1386"/>
    </row>
    <row r="187" spans="2:10" ht="18" hidden="1" outlineLevel="1" x14ac:dyDescent="0.25">
      <c r="B187" s="1385" t="s">
        <v>718</v>
      </c>
      <c r="C187" s="1386" t="s">
        <v>719</v>
      </c>
      <c r="D187" s="1386">
        <v>281</v>
      </c>
      <c r="E187" s="1388"/>
      <c r="F187" s="1388"/>
      <c r="G187" s="1386" t="s">
        <v>361</v>
      </c>
      <c r="H187" s="1390"/>
      <c r="I187" s="1390"/>
      <c r="J187" s="1386"/>
    </row>
    <row r="188" spans="2:10" ht="18" hidden="1" outlineLevel="1" x14ac:dyDescent="0.25">
      <c r="B188" s="1385" t="s">
        <v>720</v>
      </c>
      <c r="C188" s="1386" t="s">
        <v>721</v>
      </c>
      <c r="D188" s="1386">
        <v>272</v>
      </c>
      <c r="E188" s="1388"/>
      <c r="F188" s="1388"/>
      <c r="G188" s="1386" t="s">
        <v>361</v>
      </c>
      <c r="H188" s="1390"/>
      <c r="I188" s="1390"/>
      <c r="J188" s="1386"/>
    </row>
    <row r="189" spans="2:10" ht="18" hidden="1" outlineLevel="1" x14ac:dyDescent="0.25">
      <c r="B189" s="1385" t="s">
        <v>722</v>
      </c>
      <c r="C189" s="1386" t="s">
        <v>723</v>
      </c>
      <c r="D189" s="1386">
        <v>285</v>
      </c>
      <c r="E189" s="1388"/>
      <c r="F189" s="1388"/>
      <c r="G189" s="1386" t="s">
        <v>361</v>
      </c>
      <c r="H189" s="1390"/>
      <c r="I189" s="1390"/>
      <c r="J189" s="1386"/>
    </row>
    <row r="190" spans="2:10" ht="18" hidden="1" outlineLevel="1" x14ac:dyDescent="0.25">
      <c r="B190" s="1385" t="s">
        <v>724</v>
      </c>
      <c r="C190" s="1386" t="s">
        <v>725</v>
      </c>
      <c r="D190" s="1386">
        <v>284</v>
      </c>
      <c r="E190" s="1388"/>
      <c r="F190" s="1388"/>
      <c r="G190" s="1386" t="s">
        <v>361</v>
      </c>
      <c r="H190" s="1390"/>
      <c r="I190" s="1390"/>
      <c r="J190" s="1386"/>
    </row>
    <row r="191" spans="2:10" ht="18" hidden="1" outlineLevel="1" x14ac:dyDescent="0.25">
      <c r="B191" s="1385" t="s">
        <v>726</v>
      </c>
      <c r="C191" s="1386" t="s">
        <v>727</v>
      </c>
      <c r="D191" s="1386">
        <v>289</v>
      </c>
      <c r="E191" s="1388"/>
      <c r="F191" s="1388"/>
      <c r="G191" s="1386" t="s">
        <v>361</v>
      </c>
      <c r="H191" s="1390"/>
      <c r="I191" s="1390"/>
      <c r="J191" s="1386"/>
    </row>
    <row r="192" spans="2:10" ht="18" hidden="1" outlineLevel="1" x14ac:dyDescent="0.25">
      <c r="B192" s="1385" t="s">
        <v>728</v>
      </c>
      <c r="C192" s="1386" t="s">
        <v>729</v>
      </c>
      <c r="D192" s="1386">
        <v>288</v>
      </c>
      <c r="E192" s="1388"/>
      <c r="F192" s="1388"/>
      <c r="G192" s="1386" t="s">
        <v>361</v>
      </c>
      <c r="H192" s="1390"/>
      <c r="I192" s="1390"/>
      <c r="J192" s="1386"/>
    </row>
    <row r="193" spans="2:10" ht="18" hidden="1" outlineLevel="1" x14ac:dyDescent="0.25">
      <c r="B193" s="1385" t="s">
        <v>730</v>
      </c>
      <c r="C193" s="1386" t="s">
        <v>731</v>
      </c>
      <c r="D193" s="1386">
        <v>292</v>
      </c>
      <c r="E193" s="1388"/>
      <c r="F193" s="1388"/>
      <c r="G193" s="1386" t="s">
        <v>361</v>
      </c>
      <c r="H193" s="1390"/>
      <c r="I193" s="1390"/>
      <c r="J193" s="1386"/>
    </row>
    <row r="194" spans="2:10" ht="18" hidden="1" outlineLevel="1" x14ac:dyDescent="0.25">
      <c r="B194" s="1385" t="s">
        <v>732</v>
      </c>
      <c r="C194" s="1386" t="s">
        <v>733</v>
      </c>
      <c r="D194" s="1386">
        <v>292</v>
      </c>
      <c r="E194" s="1388"/>
      <c r="F194" s="1388"/>
      <c r="G194" s="1386" t="s">
        <v>361</v>
      </c>
      <c r="H194" s="1390"/>
      <c r="I194" s="1390"/>
      <c r="J194" s="1386"/>
    </row>
    <row r="195" spans="2:10" ht="18" hidden="1" outlineLevel="1" x14ac:dyDescent="0.25">
      <c r="B195" s="1385" t="s">
        <v>734</v>
      </c>
      <c r="C195" s="1386" t="s">
        <v>735</v>
      </c>
      <c r="D195" s="1386">
        <v>294</v>
      </c>
      <c r="E195" s="1388"/>
      <c r="F195" s="1388"/>
      <c r="G195" s="1386" t="s">
        <v>361</v>
      </c>
      <c r="H195" s="1390"/>
      <c r="I195" s="1390"/>
      <c r="J195" s="1386"/>
    </row>
    <row r="196" spans="2:10" collapsed="1" x14ac:dyDescent="0.25"/>
    <row r="197" spans="2:10" ht="15.75" thickBot="1" x14ac:dyDescent="0.3">
      <c r="C197" s="1426" t="s">
        <v>736</v>
      </c>
    </row>
    <row r="198" spans="2:10" ht="15.75" thickBot="1" x14ac:dyDescent="0.3">
      <c r="B198" s="1427" t="s">
        <v>0</v>
      </c>
      <c r="C198" s="1428" t="s">
        <v>1</v>
      </c>
      <c r="D198" s="1429" t="s">
        <v>152</v>
      </c>
      <c r="E198" s="1429" t="s">
        <v>471</v>
      </c>
      <c r="F198" s="1429" t="s">
        <v>472</v>
      </c>
      <c r="G198" s="1429" t="s">
        <v>2</v>
      </c>
      <c r="H198" s="1429" t="s">
        <v>300</v>
      </c>
      <c r="I198" s="1429" t="s">
        <v>116</v>
      </c>
      <c r="J198" s="1430" t="s">
        <v>117</v>
      </c>
    </row>
    <row r="199" spans="2:10" ht="18" hidden="1" outlineLevel="1" x14ac:dyDescent="0.25">
      <c r="B199" s="1385" t="s">
        <v>2000</v>
      </c>
      <c r="C199" s="1386" t="s">
        <v>2001</v>
      </c>
      <c r="D199" s="1386">
        <v>28.97</v>
      </c>
      <c r="E199" s="1388"/>
      <c r="F199" s="1388"/>
      <c r="G199" s="1386" t="s">
        <v>361</v>
      </c>
      <c r="H199" s="1390"/>
      <c r="I199" s="1390"/>
      <c r="J199" s="1386"/>
    </row>
    <row r="200" spans="2:10" ht="18" hidden="1" outlineLevel="1" x14ac:dyDescent="0.25">
      <c r="B200" s="1385" t="s">
        <v>460</v>
      </c>
      <c r="C200" s="1386" t="s">
        <v>453</v>
      </c>
      <c r="D200" s="1386">
        <f>2*A_MH</f>
        <v>2.0158800000000001</v>
      </c>
      <c r="E200" s="1388"/>
      <c r="F200" s="1388"/>
      <c r="G200" s="1386" t="s">
        <v>361</v>
      </c>
      <c r="H200" s="1390"/>
      <c r="I200" s="1390"/>
      <c r="J200" s="1386"/>
    </row>
    <row r="201" spans="2:10" ht="18" hidden="1" outlineLevel="1" x14ac:dyDescent="0.25">
      <c r="B201" s="1385" t="s">
        <v>461</v>
      </c>
      <c r="C201" s="1386" t="s">
        <v>454</v>
      </c>
      <c r="D201" s="1386">
        <f>A_MC+4*A_MH</f>
        <v>16.042459999999998</v>
      </c>
      <c r="E201" s="1388"/>
      <c r="F201" s="1388"/>
      <c r="G201" s="1386" t="s">
        <v>361</v>
      </c>
      <c r="H201" s="1390"/>
      <c r="I201" s="1390"/>
      <c r="J201" s="1386"/>
    </row>
    <row r="202" spans="2:10" ht="18" hidden="1" outlineLevel="1" x14ac:dyDescent="0.25">
      <c r="B202" s="1385" t="s">
        <v>737</v>
      </c>
      <c r="C202" s="1386" t="s">
        <v>738</v>
      </c>
      <c r="D202" s="1386">
        <f>A_MC+2*A_MO</f>
        <v>44.009500000000003</v>
      </c>
      <c r="E202" s="1388"/>
      <c r="F202" s="1388"/>
      <c r="G202" s="1386" t="s">
        <v>361</v>
      </c>
      <c r="H202" s="1390"/>
      <c r="I202" s="1390"/>
      <c r="J202" s="1386"/>
    </row>
    <row r="203" spans="2:10" ht="18" hidden="1" outlineLevel="1" x14ac:dyDescent="0.25">
      <c r="B203" s="1385" t="s">
        <v>1108</v>
      </c>
      <c r="C203" s="1386" t="s">
        <v>748</v>
      </c>
      <c r="D203" s="1386">
        <f>A_MN+3*A_MH</f>
        <v>17.030519999999999</v>
      </c>
      <c r="E203" s="1388"/>
      <c r="F203" s="1388"/>
      <c r="G203" s="1386" t="s">
        <v>361</v>
      </c>
      <c r="H203" s="1390"/>
      <c r="I203" s="1390"/>
      <c r="J203" s="1386"/>
    </row>
    <row r="204" spans="2:10" ht="18" hidden="1" outlineLevel="1" x14ac:dyDescent="0.25">
      <c r="B204" s="1385" t="s">
        <v>452</v>
      </c>
      <c r="C204" s="1386" t="s">
        <v>451</v>
      </c>
      <c r="D204" s="1386">
        <f>2*A_MN</f>
        <v>28.013400000000001</v>
      </c>
      <c r="E204" s="1388"/>
      <c r="F204" s="1388"/>
      <c r="G204" s="1386" t="s">
        <v>361</v>
      </c>
      <c r="H204" s="1390"/>
      <c r="I204" s="1390"/>
      <c r="J204" s="1386"/>
    </row>
    <row r="205" spans="2:10" ht="18" hidden="1" outlineLevel="1" x14ac:dyDescent="0.25">
      <c r="B205" s="1385" t="s">
        <v>447</v>
      </c>
      <c r="C205" s="1386" t="s">
        <v>448</v>
      </c>
      <c r="D205" s="1386">
        <f>2*A_MO</f>
        <v>31.998799999999999</v>
      </c>
      <c r="E205" s="1388"/>
      <c r="F205" s="1388"/>
      <c r="G205" s="1386" t="s">
        <v>361</v>
      </c>
      <c r="H205" s="1390"/>
      <c r="I205" s="1390"/>
      <c r="J205" s="1386" t="s">
        <v>739</v>
      </c>
    </row>
    <row r="206" spans="2:10" ht="18" hidden="1" outlineLevel="1" x14ac:dyDescent="0.25">
      <c r="B206" s="1385" t="s">
        <v>740</v>
      </c>
      <c r="C206" s="1386" t="s">
        <v>741</v>
      </c>
      <c r="D206" s="1386">
        <f>A_MN+A_MO</f>
        <v>30.0061</v>
      </c>
      <c r="E206" s="1388"/>
      <c r="F206" s="1388"/>
      <c r="G206" s="1386" t="s">
        <v>361</v>
      </c>
      <c r="H206" s="1390"/>
      <c r="I206" s="1390"/>
      <c r="J206" s="1386" t="s">
        <v>742</v>
      </c>
    </row>
    <row r="207" spans="2:10" ht="18" hidden="1" outlineLevel="1" x14ac:dyDescent="0.25">
      <c r="B207" s="1385" t="s">
        <v>743</v>
      </c>
      <c r="C207" s="1386" t="s">
        <v>744</v>
      </c>
      <c r="D207" s="1386">
        <f>2*A_MN+A_MO</f>
        <v>44.012799999999999</v>
      </c>
      <c r="E207" s="1388"/>
      <c r="F207" s="1388"/>
      <c r="G207" s="1386" t="s">
        <v>361</v>
      </c>
      <c r="H207" s="1390"/>
      <c r="I207" s="1390"/>
      <c r="J207" s="1386" t="s">
        <v>745</v>
      </c>
    </row>
    <row r="208" spans="2:10" ht="18" hidden="1" outlineLevel="1" x14ac:dyDescent="0.25">
      <c r="B208" s="1385" t="s">
        <v>1154</v>
      </c>
      <c r="C208" s="1386" t="s">
        <v>1204</v>
      </c>
      <c r="D208" s="1386">
        <f>M_MH2S</f>
        <v>34.080880000000001</v>
      </c>
      <c r="E208" s="1388"/>
      <c r="F208" s="1388"/>
      <c r="G208" s="1386" t="s">
        <v>361</v>
      </c>
      <c r="H208" s="1390"/>
      <c r="I208" s="1390"/>
      <c r="J208" s="1386"/>
    </row>
    <row r="209" spans="1:10" collapsed="1" x14ac:dyDescent="0.25"/>
    <row r="210" spans="1:10" ht="15.75" thickBot="1" x14ac:dyDescent="0.3">
      <c r="C210" s="1426" t="s">
        <v>746</v>
      </c>
    </row>
    <row r="211" spans="1:10" ht="15.75" thickBot="1" x14ac:dyDescent="0.3">
      <c r="B211" s="1427" t="s">
        <v>0</v>
      </c>
      <c r="C211" s="1428" t="s">
        <v>1</v>
      </c>
      <c r="D211" s="1429" t="s">
        <v>152</v>
      </c>
      <c r="E211" s="1429" t="s">
        <v>471</v>
      </c>
      <c r="F211" s="1429" t="s">
        <v>472</v>
      </c>
      <c r="G211" s="1429" t="s">
        <v>2</v>
      </c>
      <c r="H211" s="1429" t="s">
        <v>300</v>
      </c>
      <c r="I211" s="1429" t="s">
        <v>116</v>
      </c>
      <c r="J211" s="1430" t="s">
        <v>117</v>
      </c>
    </row>
    <row r="212" spans="1:10" ht="18" outlineLevel="1" x14ac:dyDescent="0.25">
      <c r="B212" s="1385" t="s">
        <v>1205</v>
      </c>
      <c r="C212" s="1386" t="s">
        <v>1130</v>
      </c>
      <c r="D212" s="1386">
        <f>3*A_MCa+2*M_MPO4+4*M_MH2O</f>
        <v>382.23784440000003</v>
      </c>
      <c r="E212" s="1388"/>
      <c r="F212" s="1388"/>
      <c r="G212" s="1386" t="s">
        <v>361</v>
      </c>
      <c r="H212" s="1390"/>
      <c r="I212" s="1390"/>
      <c r="J212" s="1386" t="s">
        <v>4416</v>
      </c>
    </row>
    <row r="213" spans="1:10" ht="18" outlineLevel="1" x14ac:dyDescent="0.25">
      <c r="B213" s="1385" t="s">
        <v>4417</v>
      </c>
      <c r="C213" s="1386" t="s">
        <v>4418</v>
      </c>
      <c r="D213" s="1386">
        <f>2*A_MAl+3*A_MS+12*A_MO</f>
        <v>342.1508</v>
      </c>
      <c r="E213" s="1388"/>
      <c r="F213" s="1388"/>
      <c r="G213" s="1386" t="s">
        <v>361</v>
      </c>
      <c r="H213" s="1390"/>
      <c r="I213" s="1390"/>
      <c r="J213" s="1386"/>
    </row>
    <row r="214" spans="1:10" ht="18" outlineLevel="1" x14ac:dyDescent="0.25">
      <c r="B214" s="1385" t="s">
        <v>4419</v>
      </c>
      <c r="C214" s="1386" t="s">
        <v>4420</v>
      </c>
      <c r="D214" s="1386">
        <f>A_MAl+3*A_MCl</f>
        <v>133.34050000000002</v>
      </c>
      <c r="E214" s="1388"/>
      <c r="F214" s="1388"/>
      <c r="G214" s="1386" t="s">
        <v>361</v>
      </c>
      <c r="H214" s="1390"/>
      <c r="I214" s="1390"/>
      <c r="J214" s="1386"/>
    </row>
    <row r="215" spans="1:10" ht="18" outlineLevel="1" x14ac:dyDescent="0.25">
      <c r="B215" s="1385" t="s">
        <v>3150</v>
      </c>
      <c r="C215" s="1386" t="s">
        <v>2962</v>
      </c>
      <c r="D215" s="1386">
        <f>A_MAl+3*(A_MO+A_MH)</f>
        <v>78.003519999999995</v>
      </c>
      <c r="E215" s="1388"/>
      <c r="F215" s="1388"/>
      <c r="G215" s="1386" t="s">
        <v>361</v>
      </c>
      <c r="H215" s="1390"/>
      <c r="I215" s="1390"/>
      <c r="J215" s="1386"/>
    </row>
    <row r="216" spans="1:10" ht="18" outlineLevel="1" x14ac:dyDescent="0.25">
      <c r="B216" s="1385" t="s">
        <v>3151</v>
      </c>
      <c r="C216" s="1386" t="s">
        <v>2963</v>
      </c>
      <c r="D216" s="1386">
        <f>A_MAl+A_MP+4*A_MO</f>
        <v>121.9528622</v>
      </c>
      <c r="E216" s="1388"/>
      <c r="F216" s="1388"/>
      <c r="G216" s="1386" t="s">
        <v>361</v>
      </c>
      <c r="H216" s="1390"/>
      <c r="I216" s="1390"/>
      <c r="J216" s="1386"/>
    </row>
    <row r="217" spans="1:10" ht="18" x14ac:dyDescent="0.25">
      <c r="A217" s="1431"/>
      <c r="B217" s="1385" t="s">
        <v>4421</v>
      </c>
      <c r="C217" s="1386" t="s">
        <v>4422</v>
      </c>
      <c r="D217" s="1386">
        <f>1*A_MCa+1*A_MH+1*M_MPO4+2*M_MH2O</f>
        <v>172.08786220000002</v>
      </c>
      <c r="E217" s="1388"/>
      <c r="F217" s="1388"/>
      <c r="G217" s="1386" t="s">
        <v>361</v>
      </c>
      <c r="H217" s="1390"/>
      <c r="I217" s="1390"/>
      <c r="J217" s="1386"/>
    </row>
    <row r="218" spans="1:10" s="1432" customFormat="1" ht="18" outlineLevel="1" x14ac:dyDescent="0.25">
      <c r="B218" s="1385" t="s">
        <v>4423</v>
      </c>
      <c r="C218" s="1386" t="s">
        <v>4424</v>
      </c>
      <c r="D218" s="1386">
        <f>A_MCa+2*A_MCl</f>
        <v>110.98400000000001</v>
      </c>
      <c r="E218" s="1388"/>
      <c r="F218" s="1388"/>
      <c r="G218" s="1386" t="s">
        <v>361</v>
      </c>
      <c r="H218" s="1433"/>
      <c r="I218" s="1433"/>
      <c r="J218" s="1434"/>
    </row>
    <row r="219" spans="1:10" s="1432" customFormat="1" ht="18" outlineLevel="1" x14ac:dyDescent="0.25">
      <c r="B219" s="1385" t="s">
        <v>1259</v>
      </c>
      <c r="C219" s="1386" t="s">
        <v>1028</v>
      </c>
      <c r="D219" s="1386">
        <f>A_MCa+A_MC+3*A_MO</f>
        <v>100.0869</v>
      </c>
      <c r="E219" s="1388"/>
      <c r="F219" s="1388"/>
      <c r="G219" s="1386" t="s">
        <v>361</v>
      </c>
      <c r="H219" s="1433"/>
      <c r="I219" s="1433"/>
      <c r="J219" s="1434"/>
    </row>
    <row r="220" spans="1:10" ht="18" outlineLevel="1" x14ac:dyDescent="0.25">
      <c r="B220" s="1385" t="s">
        <v>1298</v>
      </c>
      <c r="C220" s="1386" t="s">
        <v>1330</v>
      </c>
      <c r="D220" s="1386">
        <f>A_MCa+2*A_MH+A_MP+4*A_MO</f>
        <v>137.0652422</v>
      </c>
      <c r="E220" s="1388"/>
      <c r="F220" s="1388"/>
      <c r="G220" s="1386" t="s">
        <v>361</v>
      </c>
      <c r="H220" s="1390"/>
      <c r="I220" s="1390"/>
      <c r="J220" s="1386"/>
    </row>
    <row r="221" spans="1:10" ht="18" outlineLevel="1" x14ac:dyDescent="0.25">
      <c r="B221" s="1385" t="s">
        <v>1295</v>
      </c>
      <c r="C221" s="1386" t="s">
        <v>1327</v>
      </c>
      <c r="D221" s="1386">
        <f>A_MCa+A_MH+A_MC+3*A_MO</f>
        <v>101.09484</v>
      </c>
      <c r="E221" s="1388"/>
      <c r="F221" s="1388"/>
      <c r="G221" s="1386" t="s">
        <v>361</v>
      </c>
      <c r="H221" s="1390"/>
      <c r="I221" s="1390"/>
      <c r="J221" s="1386"/>
    </row>
    <row r="222" spans="1:10" ht="18" outlineLevel="1" x14ac:dyDescent="0.25">
      <c r="B222" s="1385" t="s">
        <v>1297</v>
      </c>
      <c r="C222" s="1386" t="s">
        <v>1329</v>
      </c>
      <c r="D222" s="1386">
        <f>A_MCa+A_MH+A_MP+4*A_MO</f>
        <v>136.05730220000001</v>
      </c>
      <c r="E222" s="1388"/>
      <c r="F222" s="1388"/>
      <c r="G222" s="1386" t="s">
        <v>361</v>
      </c>
      <c r="H222" s="1390"/>
      <c r="I222" s="1390"/>
      <c r="J222" s="1386"/>
    </row>
    <row r="223" spans="1:10" ht="18" outlineLevel="1" x14ac:dyDescent="0.25">
      <c r="B223" s="1385" t="s">
        <v>1293</v>
      </c>
      <c r="C223" s="1386" t="s">
        <v>1294</v>
      </c>
      <c r="D223" s="1386">
        <f>A_MCa+A_MO+A_MH</f>
        <v>57.085340000000002</v>
      </c>
      <c r="E223" s="1388"/>
      <c r="F223" s="1388"/>
      <c r="G223" s="1386" t="s">
        <v>361</v>
      </c>
      <c r="H223" s="1390"/>
      <c r="I223" s="1390"/>
      <c r="J223" s="1386"/>
    </row>
    <row r="224" spans="1:10" ht="18" outlineLevel="1" x14ac:dyDescent="0.25">
      <c r="B224" s="1385" t="s">
        <v>4425</v>
      </c>
      <c r="C224" s="1386" t="s">
        <v>4426</v>
      </c>
      <c r="D224" s="1386">
        <f>A_MCa+2*(A_MO+A_MH)</f>
        <v>74.092680000000001</v>
      </c>
      <c r="E224" s="1388"/>
      <c r="F224" s="1388"/>
      <c r="G224" s="1386" t="s">
        <v>361</v>
      </c>
      <c r="H224" s="1390"/>
      <c r="I224" s="1390"/>
      <c r="J224" s="1386"/>
    </row>
    <row r="225" spans="2:10" ht="18" outlineLevel="1" x14ac:dyDescent="0.25">
      <c r="B225" s="1385" t="s">
        <v>1296</v>
      </c>
      <c r="C225" s="1386" t="s">
        <v>1328</v>
      </c>
      <c r="D225" s="1386">
        <f>A_MCa+A_MP+4*A_MO</f>
        <v>135.04936219999999</v>
      </c>
      <c r="E225" s="1388"/>
      <c r="F225" s="1388"/>
      <c r="G225" s="1386" t="s">
        <v>361</v>
      </c>
      <c r="H225" s="1390"/>
      <c r="I225" s="1390"/>
      <c r="J225" s="1386"/>
    </row>
    <row r="226" spans="2:10" ht="18" outlineLevel="1" x14ac:dyDescent="0.25">
      <c r="B226" s="1385" t="s">
        <v>752</v>
      </c>
      <c r="C226" s="1386" t="s">
        <v>753</v>
      </c>
      <c r="D226" s="1386">
        <f>A_MC+3*A_MH+A_MC+2*A_MO+A_MH</f>
        <v>60.051960000000001</v>
      </c>
      <c r="E226" s="1388"/>
      <c r="F226" s="1388"/>
      <c r="G226" s="1386" t="s">
        <v>361</v>
      </c>
      <c r="H226" s="1390"/>
      <c r="I226" s="1390"/>
      <c r="J226" s="1386"/>
    </row>
    <row r="227" spans="2:10" ht="18" outlineLevel="1" x14ac:dyDescent="0.25">
      <c r="B227" s="1385" t="s">
        <v>750</v>
      </c>
      <c r="C227" s="1386" t="s">
        <v>751</v>
      </c>
      <c r="D227" s="1386">
        <f>A_MC+3*A_MH+A_MO+A_MH</f>
        <v>32.04186</v>
      </c>
      <c r="E227" s="1388"/>
      <c r="F227" s="1388"/>
      <c r="G227" s="1386" t="s">
        <v>361</v>
      </c>
      <c r="H227" s="1390"/>
      <c r="I227" s="1390"/>
      <c r="J227" s="1386"/>
    </row>
    <row r="228" spans="2:10" ht="18" outlineLevel="1" x14ac:dyDescent="0.25">
      <c r="B228" s="1385" t="s">
        <v>1258</v>
      </c>
      <c r="C228" s="1386" t="s">
        <v>738</v>
      </c>
      <c r="D228" s="1386">
        <f>A_MC+2*A_MO</f>
        <v>44.009500000000003</v>
      </c>
      <c r="E228" s="1388"/>
      <c r="F228" s="1388"/>
      <c r="G228" s="1386" t="s">
        <v>361</v>
      </c>
      <c r="H228" s="1390"/>
      <c r="I228" s="1390"/>
      <c r="J228" s="1386"/>
    </row>
    <row r="229" spans="2:10" ht="18" outlineLevel="1" x14ac:dyDescent="0.25">
      <c r="B229" s="1385" t="s">
        <v>1019</v>
      </c>
      <c r="C229" s="1386" t="s">
        <v>1020</v>
      </c>
      <c r="D229" s="1386">
        <f>A_MC + 3*A_MO</f>
        <v>60.008899999999997</v>
      </c>
      <c r="E229" s="1388"/>
      <c r="F229" s="1388"/>
      <c r="G229" s="1386" t="s">
        <v>361</v>
      </c>
      <c r="H229" s="1390"/>
      <c r="I229" s="1390"/>
      <c r="J229" s="1386"/>
    </row>
    <row r="230" spans="2:10" ht="18" outlineLevel="1" x14ac:dyDescent="0.25">
      <c r="B230" s="1385" t="s">
        <v>1255</v>
      </c>
      <c r="C230" s="1386" t="s">
        <v>1256</v>
      </c>
      <c r="D230" s="1386">
        <f>2*A_MFe+3*A_MO</f>
        <v>159.68819999999999</v>
      </c>
      <c r="E230" s="1388"/>
      <c r="F230" s="1388"/>
      <c r="G230" s="1386" t="s">
        <v>361</v>
      </c>
      <c r="H230" s="1390"/>
      <c r="I230" s="1390"/>
      <c r="J230" s="1386"/>
    </row>
    <row r="231" spans="2:10" ht="18" outlineLevel="1" x14ac:dyDescent="0.25">
      <c r="B231" s="1385" t="s">
        <v>4427</v>
      </c>
      <c r="C231" s="1386" t="s">
        <v>4428</v>
      </c>
      <c r="D231" s="1386">
        <f>2*A_MFe+3*A_MS+12*A_MO</f>
        <v>399.87779999999998</v>
      </c>
      <c r="E231" s="1388"/>
      <c r="F231" s="1388"/>
      <c r="G231" s="1386" t="s">
        <v>361</v>
      </c>
      <c r="H231" s="1390"/>
      <c r="I231" s="1390"/>
      <c r="J231" s="1386"/>
    </row>
    <row r="232" spans="2:10" ht="18" outlineLevel="1" x14ac:dyDescent="0.25">
      <c r="B232" s="1385" t="s">
        <v>2359</v>
      </c>
      <c r="C232" s="1386" t="s">
        <v>2360</v>
      </c>
      <c r="D232" s="1386">
        <f>A_MFe+2*A_MCl</f>
        <v>126.751</v>
      </c>
      <c r="E232" s="1388"/>
      <c r="F232" s="1388"/>
      <c r="G232" s="1386" t="s">
        <v>361</v>
      </c>
      <c r="H232" s="1390"/>
      <c r="I232" s="1390"/>
      <c r="J232" s="1386"/>
    </row>
    <row r="233" spans="2:10" ht="18" outlineLevel="1" x14ac:dyDescent="0.25">
      <c r="B233" s="1385" t="s">
        <v>2357</v>
      </c>
      <c r="C233" s="1386" t="s">
        <v>2358</v>
      </c>
      <c r="D233" s="1386">
        <f>A_MFe+3*A_MCl</f>
        <v>162.20400000000001</v>
      </c>
      <c r="E233" s="1388"/>
      <c r="F233" s="1388"/>
      <c r="G233" s="1386" t="s">
        <v>361</v>
      </c>
      <c r="H233" s="1390"/>
      <c r="I233" s="1390"/>
      <c r="J233" s="1386"/>
    </row>
    <row r="234" spans="2:10" ht="18" outlineLevel="1" x14ac:dyDescent="0.25">
      <c r="B234" s="1385" t="s">
        <v>3149</v>
      </c>
      <c r="C234" s="1386" t="s">
        <v>2961</v>
      </c>
      <c r="D234" s="1386">
        <f>A_MFe+3*(A_MO+A_MH)</f>
        <v>106.86702</v>
      </c>
      <c r="E234" s="1388"/>
      <c r="F234" s="1388"/>
      <c r="G234" s="1386" t="s">
        <v>361</v>
      </c>
      <c r="H234" s="1390"/>
      <c r="I234" s="1390"/>
      <c r="J234" s="1386"/>
    </row>
    <row r="235" spans="2:10" ht="18" outlineLevel="1" x14ac:dyDescent="0.25">
      <c r="B235" s="1385" t="s">
        <v>1119</v>
      </c>
      <c r="C235" s="1386" t="s">
        <v>1115</v>
      </c>
      <c r="D235" s="1386">
        <f>A_MFe+A_MS</f>
        <v>87.91</v>
      </c>
      <c r="E235" s="1388"/>
      <c r="F235" s="1388"/>
      <c r="G235" s="1386" t="s">
        <v>361</v>
      </c>
      <c r="H235" s="1390"/>
      <c r="I235" s="1390"/>
      <c r="J235" s="1386"/>
    </row>
    <row r="236" spans="2:10" ht="18" outlineLevel="1" x14ac:dyDescent="0.25">
      <c r="B236" s="1385" t="s">
        <v>2361</v>
      </c>
      <c r="C236" s="1386" t="s">
        <v>2362</v>
      </c>
      <c r="D236" s="1386">
        <f>A_MFe+M_MSO4</f>
        <v>151.9076</v>
      </c>
      <c r="E236" s="1388"/>
      <c r="F236" s="1388"/>
      <c r="G236" s="1386" t="s">
        <v>361</v>
      </c>
      <c r="H236" s="1390"/>
      <c r="I236" s="1390"/>
      <c r="J236" s="1386"/>
    </row>
    <row r="237" spans="2:10" ht="18" outlineLevel="1" x14ac:dyDescent="0.25">
      <c r="B237" s="1385" t="s">
        <v>1023</v>
      </c>
      <c r="C237" s="1386" t="s">
        <v>1024</v>
      </c>
      <c r="D237" s="1386">
        <f>2*A_MH+A_MC + 3*A_MO</f>
        <v>62.024779999999993</v>
      </c>
      <c r="E237" s="1388"/>
      <c r="F237" s="1388"/>
      <c r="G237" s="1386" t="s">
        <v>361</v>
      </c>
      <c r="H237" s="1390"/>
      <c r="I237" s="1390"/>
      <c r="J237" s="1386"/>
    </row>
    <row r="238" spans="2:10" ht="18" outlineLevel="1" x14ac:dyDescent="0.25">
      <c r="B238" s="1385" t="s">
        <v>1116</v>
      </c>
      <c r="C238" s="1386" t="s">
        <v>1117</v>
      </c>
      <c r="D238" s="1386">
        <f>2*A_MH+A_MO</f>
        <v>18.015280000000001</v>
      </c>
      <c r="E238" s="1388"/>
      <c r="F238" s="1388"/>
      <c r="G238" s="1386" t="s">
        <v>361</v>
      </c>
      <c r="H238" s="1390"/>
      <c r="I238" s="1390"/>
      <c r="J238" s="1386"/>
    </row>
    <row r="239" spans="2:10" ht="18" outlineLevel="1" x14ac:dyDescent="0.25">
      <c r="B239" s="1385" t="s">
        <v>4429</v>
      </c>
      <c r="C239" s="1386" t="s">
        <v>4430</v>
      </c>
      <c r="D239" s="1386">
        <f>3*A_MH + A_MP+4*A_MO</f>
        <v>97.995182199999988</v>
      </c>
      <c r="E239" s="1388"/>
      <c r="F239" s="1388"/>
      <c r="G239" s="1386" t="s">
        <v>361</v>
      </c>
      <c r="H239" s="1390"/>
      <c r="I239" s="1390"/>
      <c r="J239" s="1386"/>
    </row>
    <row r="240" spans="2:10" ht="18" outlineLevel="1" x14ac:dyDescent="0.25">
      <c r="B240" s="1385" t="s">
        <v>1110</v>
      </c>
      <c r="C240" s="1386" t="s">
        <v>1027</v>
      </c>
      <c r="D240" s="1386">
        <f>2*A_MH + A_MS</f>
        <v>34.080880000000001</v>
      </c>
      <c r="E240" s="1388"/>
      <c r="F240" s="1388"/>
      <c r="G240" s="1386" t="s">
        <v>361</v>
      </c>
      <c r="H240" s="1390"/>
      <c r="I240" s="1390"/>
      <c r="J240" s="1386"/>
    </row>
    <row r="241" spans="2:10" ht="18" outlineLevel="1" x14ac:dyDescent="0.25">
      <c r="B241" s="1385" t="s">
        <v>1066</v>
      </c>
      <c r="C241" s="1386" t="s">
        <v>1025</v>
      </c>
      <c r="D241" s="1386">
        <f>2*A_MH + A_MS+4*A_MO</f>
        <v>98.078479999999999</v>
      </c>
      <c r="E241" s="1388"/>
      <c r="F241" s="1388"/>
      <c r="G241" s="1386" t="s">
        <v>361</v>
      </c>
      <c r="H241" s="1390"/>
      <c r="I241" s="1390"/>
      <c r="J241" s="1386"/>
    </row>
    <row r="242" spans="2:10" ht="18" outlineLevel="1" x14ac:dyDescent="0.25">
      <c r="B242" s="1385" t="s">
        <v>1291</v>
      </c>
      <c r="C242" s="1386" t="s">
        <v>1292</v>
      </c>
      <c r="D242" s="1386">
        <f>5*A_MCa+A_MP*3+4*3*A_MO+A_MO+A_MH</f>
        <v>502.3114266</v>
      </c>
      <c r="E242" s="1388"/>
      <c r="F242" s="1388"/>
      <c r="G242" s="1386" t="s">
        <v>361</v>
      </c>
      <c r="H242" s="1390"/>
      <c r="I242" s="1390"/>
      <c r="J242" s="1386" t="s">
        <v>4431</v>
      </c>
    </row>
    <row r="243" spans="2:10" ht="18" outlineLevel="1" x14ac:dyDescent="0.25">
      <c r="B243" s="1385" t="s">
        <v>1026</v>
      </c>
      <c r="C243" s="1386" t="s">
        <v>1106</v>
      </c>
      <c r="D243" s="1386">
        <f>A_MH + A_MCl</f>
        <v>36.460940000000001</v>
      </c>
      <c r="E243" s="1388"/>
      <c r="F243" s="1388"/>
      <c r="G243" s="1386" t="s">
        <v>361</v>
      </c>
      <c r="H243" s="1390"/>
      <c r="I243" s="1390"/>
      <c r="J243" s="1386"/>
    </row>
    <row r="244" spans="2:10" ht="18" outlineLevel="1" x14ac:dyDescent="0.25">
      <c r="B244" s="1385" t="s">
        <v>1021</v>
      </c>
      <c r="C244" s="1386" t="s">
        <v>1022</v>
      </c>
      <c r="D244" s="1386">
        <f>A_MH + A_MC + 3*A_MO</f>
        <v>61.016839999999995</v>
      </c>
      <c r="E244" s="1388"/>
      <c r="F244" s="1388"/>
      <c r="G244" s="1386" t="s">
        <v>361</v>
      </c>
      <c r="H244" s="1390"/>
      <c r="I244" s="1390"/>
      <c r="J244" s="1386"/>
    </row>
    <row r="245" spans="2:10" ht="18" outlineLevel="1" x14ac:dyDescent="0.25">
      <c r="B245" s="1385" t="s">
        <v>1289</v>
      </c>
      <c r="C245" s="1386" t="s">
        <v>1290</v>
      </c>
      <c r="D245" s="1386">
        <f>2*A_MCa+A_MP+4*A_MO+2*(A_MO+A_MH)</f>
        <v>209.14204219999999</v>
      </c>
      <c r="E245" s="1388"/>
      <c r="F245" s="1388"/>
      <c r="G245" s="1386" t="s">
        <v>361</v>
      </c>
      <c r="H245" s="1390"/>
      <c r="I245" s="1390"/>
      <c r="J245" s="1386" t="s">
        <v>4432</v>
      </c>
    </row>
    <row r="246" spans="2:10" ht="18" outlineLevel="1" x14ac:dyDescent="0.25">
      <c r="B246" s="1385" t="s">
        <v>4433</v>
      </c>
      <c r="C246" s="1386" t="s">
        <v>4434</v>
      </c>
      <c r="D246" s="1386">
        <f>A_MH + A_MN+3*A_MO</f>
        <v>63.012839999999997</v>
      </c>
      <c r="E246" s="1388"/>
      <c r="F246" s="1388"/>
      <c r="G246" s="1386" t="s">
        <v>361</v>
      </c>
      <c r="H246" s="1390"/>
      <c r="I246" s="1390"/>
      <c r="J246" s="1386"/>
    </row>
    <row r="247" spans="2:10" ht="18" outlineLevel="1" x14ac:dyDescent="0.25">
      <c r="B247" s="1385" t="s">
        <v>1065</v>
      </c>
      <c r="C247" s="1386" t="s">
        <v>1107</v>
      </c>
      <c r="D247" s="1386">
        <f>A_MH + A_MS+4*A_MO</f>
        <v>97.070539999999994</v>
      </c>
      <c r="E247" s="1388"/>
      <c r="F247" s="1388"/>
      <c r="G247" s="1386" t="s">
        <v>361</v>
      </c>
      <c r="H247" s="1390"/>
      <c r="I247" s="1390"/>
      <c r="J247" s="1386"/>
    </row>
    <row r="248" spans="2:10" ht="18" outlineLevel="1" x14ac:dyDescent="0.25">
      <c r="B248" s="1385" t="s">
        <v>1300</v>
      </c>
      <c r="C248" s="1386" t="s">
        <v>1332</v>
      </c>
      <c r="D248" s="1386">
        <f>A_MMg+A_MC+3*A_MO</f>
        <v>84.31389999999999</v>
      </c>
      <c r="E248" s="1388"/>
      <c r="F248" s="1388"/>
      <c r="G248" s="1386" t="s">
        <v>361</v>
      </c>
      <c r="H248" s="1390"/>
      <c r="I248" s="1390"/>
      <c r="J248" s="1386"/>
    </row>
    <row r="249" spans="2:10" ht="18" outlineLevel="1" x14ac:dyDescent="0.25">
      <c r="B249" s="1385" t="s">
        <v>1304</v>
      </c>
      <c r="C249" s="1386" t="s">
        <v>1336</v>
      </c>
      <c r="D249" s="1386">
        <f>A_MMg+2*A_MH+A_MP+4*A_MO</f>
        <v>121.2922422</v>
      </c>
      <c r="E249" s="1388"/>
      <c r="F249" s="1388"/>
      <c r="G249" s="1386" t="s">
        <v>361</v>
      </c>
      <c r="H249" s="1390"/>
      <c r="I249" s="1390"/>
      <c r="J249" s="1386"/>
    </row>
    <row r="250" spans="2:10" ht="18" outlineLevel="1" x14ac:dyDescent="0.25">
      <c r="B250" s="1385" t="s">
        <v>1301</v>
      </c>
      <c r="C250" s="1386" t="s">
        <v>1333</v>
      </c>
      <c r="D250" s="1386">
        <f>A_MMg+A_MH+A_MC+3*A_MO</f>
        <v>85.321839999999995</v>
      </c>
      <c r="E250" s="1388"/>
      <c r="F250" s="1388"/>
      <c r="G250" s="1386" t="s">
        <v>361</v>
      </c>
      <c r="H250" s="1390"/>
      <c r="I250" s="1390"/>
      <c r="J250" s="1386"/>
    </row>
    <row r="251" spans="2:10" ht="18" outlineLevel="1" x14ac:dyDescent="0.25">
      <c r="B251" s="1385" t="s">
        <v>1302</v>
      </c>
      <c r="C251" s="1386" t="s">
        <v>1334</v>
      </c>
      <c r="D251" s="1386">
        <f>A_MMg+A_MH+A_MP+4*A_MO</f>
        <v>120.2843022</v>
      </c>
      <c r="E251" s="1388"/>
      <c r="F251" s="1388"/>
      <c r="G251" s="1386" t="s">
        <v>361</v>
      </c>
      <c r="H251" s="1390"/>
      <c r="I251" s="1390"/>
      <c r="J251" s="1386"/>
    </row>
    <row r="252" spans="2:10" ht="18" outlineLevel="1" x14ac:dyDescent="0.25">
      <c r="B252" s="1385" t="s">
        <v>1299</v>
      </c>
      <c r="C252" s="1386" t="s">
        <v>1331</v>
      </c>
      <c r="D252" s="1386">
        <f>A_MMg+A_MO+A_MH</f>
        <v>41.312339999999999</v>
      </c>
      <c r="E252" s="1388"/>
      <c r="F252" s="1388"/>
      <c r="G252" s="1386" t="s">
        <v>361</v>
      </c>
      <c r="H252" s="1390"/>
      <c r="I252" s="1390"/>
      <c r="J252" s="1386"/>
    </row>
    <row r="253" spans="2:10" ht="18" outlineLevel="1" x14ac:dyDescent="0.25">
      <c r="B253" s="1385" t="s">
        <v>2363</v>
      </c>
      <c r="C253" s="1386" t="s">
        <v>2364</v>
      </c>
      <c r="D253" s="1386">
        <f>A_MMg+2*(A_MO+A_MH)</f>
        <v>58.319679999999998</v>
      </c>
      <c r="E253" s="1388"/>
      <c r="F253" s="1388"/>
      <c r="G253" s="1386" t="s">
        <v>361</v>
      </c>
      <c r="H253" s="1390"/>
      <c r="I253" s="1390"/>
      <c r="J253" s="1386"/>
    </row>
    <row r="254" spans="2:10" ht="18" outlineLevel="1" x14ac:dyDescent="0.25">
      <c r="B254" s="1385" t="s">
        <v>1303</v>
      </c>
      <c r="C254" s="1386" t="s">
        <v>1335</v>
      </c>
      <c r="D254" s="1386">
        <f>A_MMg+A_MP+4*A_MO</f>
        <v>119.27636219999999</v>
      </c>
      <c r="E254" s="1388"/>
      <c r="F254" s="1388"/>
      <c r="G254" s="1386" t="s">
        <v>361</v>
      </c>
      <c r="H254" s="1390"/>
      <c r="I254" s="1390"/>
      <c r="J254" s="1386"/>
    </row>
    <row r="255" spans="2:10" ht="18" outlineLevel="1" x14ac:dyDescent="0.25">
      <c r="B255" s="1385" t="s">
        <v>1287</v>
      </c>
      <c r="C255" s="1386" t="s">
        <v>1288</v>
      </c>
      <c r="D255" s="1386">
        <f>A_MMg+A_MK+A_MP+4*A_MO+6*2*A_MH+6*A_MO</f>
        <v>266.46634219999999</v>
      </c>
      <c r="E255" s="1388"/>
      <c r="F255" s="1388"/>
      <c r="G255" s="1386" t="s">
        <v>361</v>
      </c>
      <c r="H255" s="1390"/>
      <c r="I255" s="1390"/>
      <c r="J255" s="1386"/>
    </row>
    <row r="256" spans="2:10" ht="18" outlineLevel="1" x14ac:dyDescent="0.25">
      <c r="B256" s="1385" t="s">
        <v>2006</v>
      </c>
      <c r="C256" s="1386" t="s">
        <v>2007</v>
      </c>
      <c r="D256" s="1386">
        <f>4*A_MH+A_MC+A_MS</f>
        <v>48.107459999999996</v>
      </c>
      <c r="E256" s="1388"/>
      <c r="F256" s="1388"/>
      <c r="G256" s="1386" t="s">
        <v>361</v>
      </c>
      <c r="H256" s="1390"/>
      <c r="I256" s="1390"/>
      <c r="J256" s="1387" t="s">
        <v>4435</v>
      </c>
    </row>
    <row r="257" spans="2:10" ht="18" outlineLevel="1" x14ac:dyDescent="0.25">
      <c r="B257" s="1385" t="s">
        <v>450</v>
      </c>
      <c r="C257" s="1386" t="s">
        <v>451</v>
      </c>
      <c r="D257" s="1386">
        <f>2*A_MN</f>
        <v>28.013400000000001</v>
      </c>
      <c r="E257" s="1388"/>
      <c r="F257" s="1388"/>
      <c r="G257" s="1386" t="s">
        <v>361</v>
      </c>
      <c r="H257" s="1390"/>
      <c r="I257" s="1390"/>
      <c r="J257" s="1386"/>
    </row>
    <row r="258" spans="2:10" ht="18" outlineLevel="1" x14ac:dyDescent="0.25">
      <c r="B258" s="1435" t="s">
        <v>3643</v>
      </c>
      <c r="C258" s="1434" t="s">
        <v>3645</v>
      </c>
      <c r="D258" s="1434">
        <f>2*A_MN + A_MO</f>
        <v>44.012799999999999</v>
      </c>
      <c r="E258" s="1436"/>
      <c r="F258" s="1436"/>
      <c r="G258" s="1434" t="s">
        <v>361</v>
      </c>
      <c r="H258" s="1390"/>
      <c r="I258" s="1390"/>
      <c r="J258" s="1386"/>
    </row>
    <row r="259" spans="2:10" ht="18" outlineLevel="1" x14ac:dyDescent="0.25">
      <c r="B259" s="1385" t="s">
        <v>2365</v>
      </c>
      <c r="C259" s="1386" t="s">
        <v>2366</v>
      </c>
      <c r="D259" s="1386">
        <f>2*A_MNa+A_MC+3*A_MO</f>
        <v>105.988438</v>
      </c>
      <c r="E259" s="1388"/>
      <c r="F259" s="1388"/>
      <c r="G259" s="1386" t="s">
        <v>361</v>
      </c>
      <c r="H259" s="1390"/>
      <c r="I259" s="1390"/>
      <c r="J259" s="1386"/>
    </row>
    <row r="260" spans="2:10" ht="18" outlineLevel="1" x14ac:dyDescent="0.25">
      <c r="B260" s="1385" t="s">
        <v>2002</v>
      </c>
      <c r="C260" s="1386" t="s">
        <v>2003</v>
      </c>
      <c r="D260" s="1386">
        <f>A_MNa+A_MCl</f>
        <v>58.442768999999998</v>
      </c>
      <c r="E260" s="1388"/>
      <c r="F260" s="1388"/>
      <c r="G260" s="1386" t="s">
        <v>361</v>
      </c>
      <c r="H260" s="1390"/>
      <c r="I260" s="1390"/>
      <c r="J260" s="1386"/>
    </row>
    <row r="261" spans="2:10" ht="18" outlineLevel="1" x14ac:dyDescent="0.25">
      <c r="B261" s="1385" t="s">
        <v>2367</v>
      </c>
      <c r="C261" s="1386" t="s">
        <v>2368</v>
      </c>
      <c r="D261" s="1386">
        <f>A_MNa+A_MH+A_MC+3*A_MO</f>
        <v>84.006608999999997</v>
      </c>
      <c r="E261" s="1388"/>
      <c r="F261" s="1388"/>
      <c r="G261" s="1386" t="s">
        <v>361</v>
      </c>
      <c r="H261" s="1390"/>
      <c r="I261" s="1390"/>
      <c r="J261" s="1386"/>
    </row>
    <row r="262" spans="2:10" ht="18" outlineLevel="1" x14ac:dyDescent="0.25">
      <c r="B262" s="1385" t="s">
        <v>1305</v>
      </c>
      <c r="C262" s="1386" t="s">
        <v>1337</v>
      </c>
      <c r="D262" s="1386">
        <f>A_MNa+A_MH+A_MP+4*A_MO</f>
        <v>118.9690712</v>
      </c>
      <c r="E262" s="1388"/>
      <c r="F262" s="1388"/>
      <c r="G262" s="1386" t="s">
        <v>361</v>
      </c>
      <c r="H262" s="1390"/>
      <c r="I262" s="1390"/>
      <c r="J262" s="1386"/>
    </row>
    <row r="263" spans="2:10" ht="18" outlineLevel="1" x14ac:dyDescent="0.25">
      <c r="B263" s="1385" t="s">
        <v>4436</v>
      </c>
      <c r="C263" s="1386" t="s">
        <v>4437</v>
      </c>
      <c r="D263" s="1386">
        <f>A_MK+A_MN+2*A_MO</f>
        <v>85.103800000000007</v>
      </c>
      <c r="E263" s="1388"/>
      <c r="F263" s="1388"/>
      <c r="G263" s="1386" t="s">
        <v>361</v>
      </c>
      <c r="H263" s="1390"/>
      <c r="I263" s="1390"/>
      <c r="J263" s="1386"/>
    </row>
    <row r="264" spans="2:10" ht="18" outlineLevel="1" x14ac:dyDescent="0.25">
      <c r="B264" s="1385" t="s">
        <v>4438</v>
      </c>
      <c r="C264" s="1386" t="s">
        <v>4439</v>
      </c>
      <c r="D264" s="1386">
        <f>A_MK+A_MN+3*A_MO</f>
        <v>101.1032</v>
      </c>
      <c r="E264" s="1388"/>
      <c r="F264" s="1388"/>
      <c r="G264" s="1386" t="s">
        <v>361</v>
      </c>
      <c r="H264" s="1390"/>
      <c r="I264" s="1390"/>
      <c r="J264" s="1386"/>
    </row>
    <row r="265" spans="2:10" ht="18" outlineLevel="1" x14ac:dyDescent="0.25">
      <c r="B265" s="1385" t="s">
        <v>2004</v>
      </c>
      <c r="C265" s="1386" t="s">
        <v>2005</v>
      </c>
      <c r="D265" s="1386">
        <f>A_MNa+A_MH+A_MO</f>
        <v>39.997109000000002</v>
      </c>
      <c r="E265" s="1388"/>
      <c r="F265" s="1388"/>
      <c r="G265" s="1386" t="s">
        <v>361</v>
      </c>
      <c r="H265" s="1390"/>
      <c r="I265" s="1390"/>
      <c r="J265" s="1386"/>
    </row>
    <row r="266" spans="2:10" ht="18" outlineLevel="1" x14ac:dyDescent="0.25">
      <c r="B266" s="1385" t="s">
        <v>747</v>
      </c>
      <c r="C266" s="1386" t="s">
        <v>748</v>
      </c>
      <c r="D266" s="1386">
        <f>A_MN+3*A_MH</f>
        <v>17.030519999999999</v>
      </c>
      <c r="E266" s="1388"/>
      <c r="F266" s="1388"/>
      <c r="G266" s="1386" t="s">
        <v>361</v>
      </c>
      <c r="H266" s="1390"/>
      <c r="I266" s="1390"/>
      <c r="J266" s="1386"/>
    </row>
    <row r="267" spans="2:10" ht="18" outlineLevel="1" x14ac:dyDescent="0.25">
      <c r="B267" s="1385" t="s">
        <v>1016</v>
      </c>
      <c r="C267" s="1386" t="s">
        <v>3360</v>
      </c>
      <c r="D267" s="1386">
        <f>A_MN+4*A_MH</f>
        <v>18.038460000000001</v>
      </c>
      <c r="E267" s="1388"/>
      <c r="F267" s="1388"/>
      <c r="G267" s="1386" t="s">
        <v>361</v>
      </c>
      <c r="H267" s="1390"/>
      <c r="I267" s="1390"/>
      <c r="J267" s="1386"/>
    </row>
    <row r="268" spans="2:10" ht="18" outlineLevel="1" x14ac:dyDescent="0.25">
      <c r="B268" s="1385" t="s">
        <v>4440</v>
      </c>
      <c r="C268" s="1386" t="s">
        <v>4441</v>
      </c>
      <c r="D268" s="1386">
        <f>M_MNH4+A_MH+A_MC+3*A_MO</f>
        <v>79.055300000000003</v>
      </c>
      <c r="E268" s="1388"/>
      <c r="F268" s="1388"/>
      <c r="G268" s="1386" t="s">
        <v>361</v>
      </c>
      <c r="H268" s="1390"/>
      <c r="I268" s="1390"/>
      <c r="J268" s="1386"/>
    </row>
    <row r="269" spans="2:10" ht="18" outlineLevel="1" x14ac:dyDescent="0.25">
      <c r="B269" s="1435" t="s">
        <v>3642</v>
      </c>
      <c r="C269" s="1434" t="s">
        <v>3644</v>
      </c>
      <c r="D269" s="1434">
        <f>A_MN + A_MO</f>
        <v>30.0061</v>
      </c>
      <c r="E269" s="1436"/>
      <c r="F269" s="1436"/>
      <c r="G269" s="1434" t="s">
        <v>361</v>
      </c>
      <c r="H269" s="1390"/>
      <c r="I269" s="1390"/>
      <c r="J269" s="1386"/>
    </row>
    <row r="270" spans="2:10" ht="18" outlineLevel="1" x14ac:dyDescent="0.25">
      <c r="B270" s="1385" t="s">
        <v>1017</v>
      </c>
      <c r="C270" s="1386" t="s">
        <v>3361</v>
      </c>
      <c r="D270" s="1386">
        <f>A_MN + 2*A_MO</f>
        <v>46.005499999999998</v>
      </c>
      <c r="E270" s="1388"/>
      <c r="F270" s="1388"/>
      <c r="G270" s="1386" t="s">
        <v>361</v>
      </c>
      <c r="H270" s="1390"/>
      <c r="I270" s="1390"/>
      <c r="J270" s="1386"/>
    </row>
    <row r="271" spans="2:10" ht="18" outlineLevel="1" x14ac:dyDescent="0.25">
      <c r="B271" s="1385" t="s">
        <v>1018</v>
      </c>
      <c r="C271" s="1386" t="s">
        <v>3362</v>
      </c>
      <c r="D271" s="1386">
        <f>A_MN + 3*A_MO</f>
        <v>62.004899999999999</v>
      </c>
      <c r="E271" s="1388"/>
      <c r="F271" s="1388"/>
      <c r="G271" s="1386" t="s">
        <v>361</v>
      </c>
      <c r="H271" s="1390"/>
      <c r="I271" s="1390"/>
      <c r="J271" s="1386"/>
    </row>
    <row r="272" spans="2:10" ht="18" outlineLevel="1" x14ac:dyDescent="0.25">
      <c r="B272" s="1385" t="s">
        <v>449</v>
      </c>
      <c r="C272" s="1386" t="s">
        <v>448</v>
      </c>
      <c r="D272" s="1386">
        <f>2*A_MO</f>
        <v>31.998799999999999</v>
      </c>
      <c r="E272" s="1388"/>
      <c r="F272" s="1388"/>
      <c r="G272" s="1386" t="s">
        <v>361</v>
      </c>
      <c r="H272" s="1390"/>
      <c r="I272" s="1390"/>
      <c r="J272" s="1386"/>
    </row>
    <row r="273" spans="2:10" ht="18" outlineLevel="1" x14ac:dyDescent="0.25">
      <c r="B273" s="1385" t="s">
        <v>1257</v>
      </c>
      <c r="C273" s="1386" t="s">
        <v>749</v>
      </c>
      <c r="D273" s="1386">
        <f>A_MP+4*A_MO</f>
        <v>94.971362200000002</v>
      </c>
      <c r="E273" s="1388"/>
      <c r="F273" s="1388"/>
      <c r="G273" s="1386" t="s">
        <v>361</v>
      </c>
      <c r="H273" s="1390"/>
      <c r="I273" s="1390"/>
      <c r="J273" s="1386"/>
    </row>
    <row r="274" spans="2:10" ht="18" outlineLevel="1" x14ac:dyDescent="0.25">
      <c r="B274" s="1385" t="s">
        <v>1030</v>
      </c>
      <c r="C274" s="1386" t="s">
        <v>1031</v>
      </c>
      <c r="D274" s="1386">
        <f>A_MSi + 2*A_MO</f>
        <v>60.084299999999999</v>
      </c>
      <c r="E274" s="1388"/>
      <c r="F274" s="1388"/>
      <c r="G274" s="1386" t="s">
        <v>361</v>
      </c>
      <c r="H274" s="1390"/>
      <c r="I274" s="1390"/>
      <c r="J274" s="1386"/>
    </row>
    <row r="275" spans="2:10" ht="18" outlineLevel="1" x14ac:dyDescent="0.25">
      <c r="B275" s="1385" t="s">
        <v>1064</v>
      </c>
      <c r="C275" s="1386" t="s">
        <v>1109</v>
      </c>
      <c r="D275" s="1386">
        <f>A_MS+4*A_MO</f>
        <v>96.062600000000003</v>
      </c>
      <c r="E275" s="1388"/>
      <c r="F275" s="1388"/>
      <c r="G275" s="1386" t="s">
        <v>361</v>
      </c>
      <c r="H275" s="1390"/>
      <c r="I275" s="1390"/>
      <c r="J275" s="1386"/>
    </row>
    <row r="276" spans="2:10" ht="18" outlineLevel="1" x14ac:dyDescent="0.25">
      <c r="B276" s="1385" t="s">
        <v>1260</v>
      </c>
      <c r="C276" s="1386" t="s">
        <v>1029</v>
      </c>
      <c r="D276" s="1386">
        <f>A_MMg+A_MN+4*A_MH+A_MP+4*A_MO+6*(M_MH2O)</f>
        <v>245.40650220000001</v>
      </c>
      <c r="E276" s="1388"/>
      <c r="F276" s="1388"/>
      <c r="G276" s="1386" t="s">
        <v>361</v>
      </c>
      <c r="H276" s="1390"/>
      <c r="I276" s="1390"/>
      <c r="J276" s="1386" t="s">
        <v>4442</v>
      </c>
    </row>
    <row r="277" spans="2:10" ht="18" outlineLevel="1" x14ac:dyDescent="0.25">
      <c r="B277" s="1385" t="s">
        <v>1118</v>
      </c>
      <c r="C277" s="1386" t="s">
        <v>1114</v>
      </c>
      <c r="D277" s="1386">
        <f>3*A_MFe+2*(A_MP+4*A_MO)+8*M_MH2O</f>
        <v>501.59996439999998</v>
      </c>
      <c r="E277" s="1388"/>
      <c r="F277" s="1388"/>
      <c r="G277" s="1386" t="s">
        <v>361</v>
      </c>
      <c r="H277" s="1390"/>
      <c r="I277" s="1390"/>
      <c r="J277" s="1386" t="s">
        <v>4443</v>
      </c>
    </row>
    <row r="279" spans="2:10" ht="15.75" thickBot="1" x14ac:dyDescent="0.3">
      <c r="C279" s="1426" t="s">
        <v>754</v>
      </c>
    </row>
    <row r="280" spans="2:10" ht="15.75" thickBot="1" x14ac:dyDescent="0.3">
      <c r="B280" s="1427" t="s">
        <v>0</v>
      </c>
      <c r="C280" s="1428" t="s">
        <v>1</v>
      </c>
      <c r="D280" s="1429" t="s">
        <v>152</v>
      </c>
      <c r="E280" s="1429" t="s">
        <v>471</v>
      </c>
      <c r="F280" s="1429" t="s">
        <v>472</v>
      </c>
      <c r="G280" s="1429" t="s">
        <v>2</v>
      </c>
      <c r="H280" s="1429" t="s">
        <v>300</v>
      </c>
      <c r="I280" s="1429" t="s">
        <v>116</v>
      </c>
      <c r="J280" s="1430" t="s">
        <v>117</v>
      </c>
    </row>
    <row r="281" spans="2:10" ht="18" x14ac:dyDescent="0.25">
      <c r="B281" s="1385" t="s">
        <v>1261</v>
      </c>
      <c r="C281" s="1386" t="s">
        <v>1067</v>
      </c>
      <c r="D281" s="1386">
        <f>2*A_MN</f>
        <v>28.013400000000001</v>
      </c>
      <c r="E281" s="1388"/>
      <c r="F281" s="1388"/>
      <c r="G281" s="1386" t="s">
        <v>2008</v>
      </c>
      <c r="H281" s="1390"/>
      <c r="I281" s="1390"/>
      <c r="J281" s="1386"/>
    </row>
    <row r="282" spans="2:10" ht="18" x14ac:dyDescent="0.25">
      <c r="B282" s="1385" t="s">
        <v>1262</v>
      </c>
      <c r="C282" s="1386" t="s">
        <v>1111</v>
      </c>
      <c r="D282" s="1386">
        <f>A_MN</f>
        <v>14.0067</v>
      </c>
      <c r="E282" s="1388"/>
      <c r="F282" s="1388"/>
      <c r="G282" s="1386" t="s">
        <v>2008</v>
      </c>
      <c r="H282" s="1390"/>
      <c r="I282" s="1390"/>
      <c r="J282" s="1386"/>
    </row>
    <row r="283" spans="2:10" ht="18" x14ac:dyDescent="0.25">
      <c r="B283" s="1385" t="s">
        <v>1263</v>
      </c>
      <c r="C283" s="1386" t="s">
        <v>1068</v>
      </c>
      <c r="D283" s="1386">
        <f>A_MN</f>
        <v>14.0067</v>
      </c>
      <c r="E283" s="1388"/>
      <c r="F283" s="1388"/>
      <c r="G283" s="1386" t="s">
        <v>2008</v>
      </c>
      <c r="H283" s="1390"/>
      <c r="I283" s="1390"/>
      <c r="J283" s="1386"/>
    </row>
    <row r="284" spans="2:10" ht="18" x14ac:dyDescent="0.25">
      <c r="B284" s="1385" t="s">
        <v>1264</v>
      </c>
      <c r="C284" s="1386" t="s">
        <v>1069</v>
      </c>
      <c r="D284" s="1386">
        <f>2*A_MN</f>
        <v>28.013400000000001</v>
      </c>
      <c r="E284" s="1388"/>
      <c r="F284" s="1388"/>
      <c r="G284" s="1386" t="s">
        <v>2008</v>
      </c>
      <c r="H284" s="1390"/>
      <c r="I284" s="1390"/>
      <c r="J284" s="1386"/>
    </row>
    <row r="285" spans="2:10" ht="18" x14ac:dyDescent="0.25">
      <c r="B285" s="1385" t="s">
        <v>1265</v>
      </c>
      <c r="C285" s="1386" t="s">
        <v>1070</v>
      </c>
      <c r="D285" s="1386">
        <v>12.0107</v>
      </c>
      <c r="E285" s="1388"/>
      <c r="F285" s="1388"/>
      <c r="G285" s="1386" t="s">
        <v>361</v>
      </c>
      <c r="H285" s="1390"/>
      <c r="I285" s="1390"/>
      <c r="J285" s="1386" t="s">
        <v>1266</v>
      </c>
    </row>
    <row r="286" spans="2:10" ht="18" x14ac:dyDescent="0.25">
      <c r="B286" s="1385" t="s">
        <v>1267</v>
      </c>
      <c r="C286" s="1386" t="s">
        <v>1071</v>
      </c>
      <c r="D286" s="1386">
        <f>2*A_MO</f>
        <v>31.998799999999999</v>
      </c>
      <c r="E286" s="1388"/>
      <c r="F286" s="1388"/>
      <c r="G286" s="1386" t="s">
        <v>361</v>
      </c>
      <c r="H286" s="1390"/>
      <c r="I286" s="1390"/>
      <c r="J286" s="1386"/>
    </row>
    <row r="287" spans="2:10" ht="18" x14ac:dyDescent="0.25">
      <c r="B287" s="1385" t="s">
        <v>755</v>
      </c>
      <c r="C287" s="1386" t="s">
        <v>1072</v>
      </c>
      <c r="D287" s="1386">
        <v>63.997599999999998</v>
      </c>
      <c r="E287" s="1388"/>
      <c r="F287" s="1388"/>
      <c r="G287" s="1386" t="s">
        <v>2009</v>
      </c>
      <c r="H287" s="1390"/>
      <c r="I287" s="1390"/>
      <c r="J287" s="1386"/>
    </row>
    <row r="288" spans="2:10" ht="18" x14ac:dyDescent="0.25">
      <c r="B288" s="1385" t="s">
        <v>756</v>
      </c>
      <c r="C288" s="1386" t="s">
        <v>1073</v>
      </c>
      <c r="D288" s="1386">
        <f>2*7.9997</f>
        <v>15.9994</v>
      </c>
      <c r="E288" s="1388"/>
      <c r="F288" s="1388"/>
      <c r="G288" s="1386" t="s">
        <v>2009</v>
      </c>
      <c r="H288" s="1390"/>
      <c r="I288" s="1390"/>
      <c r="J288" s="1386"/>
    </row>
    <row r="289" spans="2:10" ht="18" x14ac:dyDescent="0.25">
      <c r="B289" s="1385" t="s">
        <v>1148</v>
      </c>
      <c r="C289" s="1386" t="s">
        <v>1149</v>
      </c>
      <c r="D289" s="1386">
        <f>A_MS</f>
        <v>32.064999999999998</v>
      </c>
      <c r="E289" s="1388"/>
      <c r="F289" s="1388"/>
      <c r="G289" s="1386" t="s">
        <v>2010</v>
      </c>
      <c r="H289" s="1390"/>
      <c r="I289" s="1390"/>
      <c r="J289" s="1386"/>
    </row>
    <row r="291" spans="2:10" ht="15.75" thickBot="1" x14ac:dyDescent="0.3">
      <c r="C291" s="1426" t="s">
        <v>757</v>
      </c>
    </row>
    <row r="292" spans="2:10" x14ac:dyDescent="0.25">
      <c r="B292" s="1437" t="s">
        <v>0</v>
      </c>
      <c r="C292" s="1438" t="s">
        <v>1</v>
      </c>
      <c r="D292" s="1439" t="s">
        <v>152</v>
      </c>
      <c r="E292" s="1439" t="s">
        <v>471</v>
      </c>
      <c r="F292" s="1439" t="s">
        <v>472</v>
      </c>
      <c r="G292" s="1439" t="s">
        <v>2</v>
      </c>
      <c r="H292" s="1439" t="s">
        <v>300</v>
      </c>
      <c r="I292" s="1439" t="s">
        <v>116</v>
      </c>
      <c r="J292" s="1440" t="s">
        <v>117</v>
      </c>
    </row>
    <row r="293" spans="2:10" ht="18" x14ac:dyDescent="0.35">
      <c r="B293" s="1388" t="s">
        <v>915</v>
      </c>
      <c r="C293" s="1388" t="s">
        <v>2964</v>
      </c>
      <c r="D293" s="1388">
        <f>10^-13.997</f>
        <v>1.0069316688518014E-14</v>
      </c>
      <c r="E293" s="1388"/>
      <c r="F293" s="1388"/>
      <c r="G293" s="1388"/>
      <c r="H293" s="1388"/>
      <c r="I293" s="1388"/>
      <c r="J293" s="1388" t="s">
        <v>2965</v>
      </c>
    </row>
    <row r="294" spans="2:10" ht="18" x14ac:dyDescent="0.35">
      <c r="B294" s="1388" t="s">
        <v>3152</v>
      </c>
      <c r="C294" s="1388" t="s">
        <v>2966</v>
      </c>
      <c r="D294" s="1388">
        <f>10^-9.244</f>
        <v>5.7016427228074759E-10</v>
      </c>
      <c r="E294" s="1388"/>
      <c r="F294" s="1388"/>
      <c r="G294" s="1388"/>
      <c r="H294" s="1388"/>
      <c r="I294" s="1388"/>
      <c r="J294" s="1388" t="s">
        <v>2967</v>
      </c>
    </row>
    <row r="295" spans="2:10" ht="18" x14ac:dyDescent="0.35">
      <c r="B295" s="1388" t="s">
        <v>3153</v>
      </c>
      <c r="C295" s="1388" t="s">
        <v>2968</v>
      </c>
      <c r="D295" s="1388">
        <f>10^-3.35</f>
        <v>4.4668359215096267E-4</v>
      </c>
      <c r="E295" s="1388"/>
      <c r="F295" s="1388"/>
      <c r="G295" s="1388"/>
      <c r="H295" s="1388"/>
      <c r="I295" s="1388"/>
      <c r="J295" s="1388" t="s">
        <v>2969</v>
      </c>
    </row>
    <row r="296" spans="2:10" ht="18" x14ac:dyDescent="0.35">
      <c r="B296" s="1388" t="s">
        <v>916</v>
      </c>
      <c r="C296" s="1388" t="s">
        <v>2970</v>
      </c>
      <c r="D296" s="1388">
        <f>10^-6.352</f>
        <v>4.4463126746910741E-7</v>
      </c>
      <c r="E296" s="1388"/>
      <c r="F296" s="1388"/>
      <c r="G296" s="1388"/>
      <c r="H296" s="1388"/>
      <c r="I296" s="1388"/>
      <c r="J296" s="1388" t="s">
        <v>2971</v>
      </c>
    </row>
    <row r="297" spans="2:10" ht="18" x14ac:dyDescent="0.35">
      <c r="B297" s="1388" t="s">
        <v>917</v>
      </c>
      <c r="C297" s="1388" t="s">
        <v>2972</v>
      </c>
      <c r="D297" s="1388">
        <f>10^-10.329</f>
        <v>4.6881338214526346E-11</v>
      </c>
      <c r="E297" s="1388"/>
      <c r="F297" s="1388"/>
      <c r="G297" s="1388"/>
      <c r="H297" s="1388"/>
      <c r="I297" s="1388"/>
      <c r="J297" s="1388" t="s">
        <v>2973</v>
      </c>
    </row>
    <row r="298" spans="2:10" ht="18" x14ac:dyDescent="0.35">
      <c r="B298" s="1388" t="s">
        <v>918</v>
      </c>
      <c r="C298" s="1388" t="s">
        <v>2974</v>
      </c>
      <c r="D298" s="1388">
        <f>10^-2.148</f>
        <v>7.1121351365332815E-3</v>
      </c>
      <c r="E298" s="1388"/>
      <c r="F298" s="1388"/>
      <c r="G298" s="1388"/>
      <c r="H298" s="1388"/>
      <c r="I298" s="1388"/>
      <c r="J298" s="1388" t="s">
        <v>2975</v>
      </c>
    </row>
    <row r="299" spans="2:10" ht="18" x14ac:dyDescent="0.35">
      <c r="B299" s="1388" t="s">
        <v>919</v>
      </c>
      <c r="C299" s="1388" t="s">
        <v>2976</v>
      </c>
      <c r="D299" s="1388">
        <f>10^-7.198</f>
        <v>6.3386971125692633E-8</v>
      </c>
      <c r="E299" s="1388"/>
      <c r="F299" s="1388"/>
      <c r="G299" s="1388"/>
      <c r="H299" s="1388"/>
      <c r="I299" s="1388"/>
      <c r="J299" s="1388" t="s">
        <v>2977</v>
      </c>
    </row>
    <row r="300" spans="2:10" ht="18" x14ac:dyDescent="0.35">
      <c r="B300" s="1388" t="s">
        <v>920</v>
      </c>
      <c r="C300" s="1388" t="s">
        <v>2978</v>
      </c>
      <c r="D300" s="1388">
        <f>10^-12.375</f>
        <v>4.216965034285812E-13</v>
      </c>
      <c r="E300" s="1388"/>
      <c r="F300" s="1388"/>
      <c r="G300" s="1388"/>
      <c r="H300" s="1388"/>
      <c r="I300" s="1388"/>
      <c r="J300" s="1388" t="s">
        <v>2979</v>
      </c>
    </row>
    <row r="301" spans="2:10" ht="18" x14ac:dyDescent="0.35">
      <c r="B301" s="1388" t="s">
        <v>3154</v>
      </c>
      <c r="C301" s="1388" t="s">
        <v>2980</v>
      </c>
      <c r="D301" s="1388">
        <f>10^-4.757</f>
        <v>1.7498466886246563E-5</v>
      </c>
      <c r="E301" s="1388"/>
      <c r="F301" s="1388"/>
      <c r="G301" s="1388"/>
      <c r="H301" s="1388"/>
      <c r="I301" s="1388"/>
      <c r="J301" s="1388" t="s">
        <v>2981</v>
      </c>
    </row>
    <row r="302" spans="2:10" ht="18" x14ac:dyDescent="0.35">
      <c r="B302" s="1388" t="s">
        <v>4798</v>
      </c>
      <c r="C302" s="1388" t="s">
        <v>4444</v>
      </c>
      <c r="D302" s="1388">
        <v>1.3365955165464412E-5</v>
      </c>
      <c r="E302" s="1388"/>
      <c r="F302" s="1388"/>
      <c r="G302" s="1388"/>
      <c r="H302" s="1388"/>
      <c r="I302" s="1388"/>
      <c r="J302" s="1388" t="s">
        <v>4447</v>
      </c>
    </row>
    <row r="303" spans="2:10" ht="18" x14ac:dyDescent="0.35">
      <c r="B303" s="1388" t="s">
        <v>4445</v>
      </c>
      <c r="C303" s="1388" t="s">
        <v>4446</v>
      </c>
      <c r="D303" s="1388">
        <v>1.5170503674593348E-5</v>
      </c>
      <c r="E303" s="1388"/>
      <c r="F303" s="1388"/>
      <c r="G303" s="1388"/>
      <c r="H303" s="1388"/>
      <c r="I303" s="1388"/>
      <c r="J303" s="1388" t="s">
        <v>4447</v>
      </c>
    </row>
    <row r="304" spans="2:10" ht="18" x14ac:dyDescent="0.35">
      <c r="B304" s="1388" t="s">
        <v>4448</v>
      </c>
      <c r="C304" s="1388" t="s">
        <v>4449</v>
      </c>
      <c r="D304" s="1388">
        <v>1.4354894333536556E-5</v>
      </c>
      <c r="E304" s="1388"/>
      <c r="F304" s="1388"/>
      <c r="G304" s="1388"/>
      <c r="H304" s="1388"/>
      <c r="I304" s="1388"/>
      <c r="J304" s="1388" t="s">
        <v>4447</v>
      </c>
    </row>
    <row r="305" spans="1:10" ht="18" x14ac:dyDescent="0.35">
      <c r="B305" s="1388" t="s">
        <v>1338</v>
      </c>
      <c r="C305" s="1388" t="s">
        <v>2982</v>
      </c>
      <c r="D305" s="1388">
        <f>10^(-7.02)</f>
        <v>9.5499258602143556E-8</v>
      </c>
      <c r="E305" s="1388"/>
      <c r="F305" s="1388"/>
      <c r="G305" s="1388"/>
      <c r="H305" s="1388"/>
      <c r="I305" s="1388"/>
      <c r="J305" s="1388" t="s">
        <v>2983</v>
      </c>
    </row>
    <row r="306" spans="1:10" ht="18" x14ac:dyDescent="0.35">
      <c r="B306" s="1388" t="s">
        <v>1339</v>
      </c>
      <c r="C306" s="1388" t="s">
        <v>2984</v>
      </c>
      <c r="D306" s="1388">
        <f>10^(-17.3)</f>
        <v>5.0118723362726963E-18</v>
      </c>
      <c r="E306" s="1388"/>
      <c r="F306" s="1388"/>
      <c r="G306" s="1388"/>
      <c r="H306" s="1388"/>
      <c r="I306" s="1388"/>
      <c r="J306" s="1388" t="s">
        <v>2983</v>
      </c>
    </row>
    <row r="307" spans="1:10" ht="18" x14ac:dyDescent="0.35">
      <c r="B307" s="1388" t="s">
        <v>1340</v>
      </c>
      <c r="C307" s="1388" t="s">
        <v>2985</v>
      </c>
      <c r="D307" s="1388">
        <f>10^(3)</f>
        <v>1000</v>
      </c>
      <c r="E307" s="1388"/>
      <c r="F307" s="1388"/>
      <c r="G307" s="1388"/>
      <c r="H307" s="1388"/>
      <c r="I307" s="1388"/>
      <c r="J307" s="1388" t="s">
        <v>1268</v>
      </c>
    </row>
    <row r="308" spans="1:10" ht="18" x14ac:dyDescent="0.35">
      <c r="B308" s="1388" t="s">
        <v>1341</v>
      </c>
      <c r="C308" s="1388" t="s">
        <v>2986</v>
      </c>
      <c r="D308" s="1388">
        <f>10^(-1.99)</f>
        <v>1.0232929922807535E-2</v>
      </c>
      <c r="E308" s="1388"/>
      <c r="F308" s="1388"/>
      <c r="G308" s="1388"/>
      <c r="H308" s="1388"/>
      <c r="I308" s="1388"/>
      <c r="J308" s="1388" t="s">
        <v>2987</v>
      </c>
    </row>
    <row r="309" spans="1:10" ht="18" x14ac:dyDescent="0.35">
      <c r="B309" s="1388" t="s">
        <v>3155</v>
      </c>
      <c r="C309" s="1388" t="s">
        <v>2982</v>
      </c>
      <c r="D309" s="1388">
        <f>10^(-7.02)</f>
        <v>9.5499258602143556E-8</v>
      </c>
      <c r="E309" s="1388"/>
      <c r="F309" s="1388"/>
      <c r="G309" s="1388"/>
      <c r="H309" s="1388"/>
      <c r="I309" s="1388"/>
      <c r="J309" s="1388" t="s">
        <v>2987</v>
      </c>
    </row>
    <row r="311" spans="1:10" ht="15.75" thickBot="1" x14ac:dyDescent="0.3">
      <c r="C311" s="1426" t="s">
        <v>1306</v>
      </c>
    </row>
    <row r="312" spans="1:10" ht="15.75" thickBot="1" x14ac:dyDescent="0.3">
      <c r="B312" s="1427" t="s">
        <v>0</v>
      </c>
      <c r="C312" s="1428" t="s">
        <v>1</v>
      </c>
      <c r="D312" s="1429" t="s">
        <v>152</v>
      </c>
      <c r="E312" s="1429" t="s">
        <v>471</v>
      </c>
      <c r="F312" s="1429" t="s">
        <v>472</v>
      </c>
      <c r="G312" s="1429" t="s">
        <v>2</v>
      </c>
      <c r="H312" s="1429" t="s">
        <v>300</v>
      </c>
      <c r="I312" s="1429" t="s">
        <v>116</v>
      </c>
      <c r="J312" s="1430" t="s">
        <v>117</v>
      </c>
    </row>
    <row r="313" spans="1:10" ht="18" x14ac:dyDescent="0.25">
      <c r="B313" s="1385" t="s">
        <v>1316</v>
      </c>
      <c r="C313" s="1386" t="s">
        <v>3363</v>
      </c>
      <c r="D313" s="1386">
        <f>10^(-6.35)</f>
        <v>4.4668359215096327E-7</v>
      </c>
      <c r="E313" s="1388"/>
      <c r="F313" s="1388"/>
      <c r="G313" s="1386"/>
      <c r="H313" s="1390"/>
      <c r="I313" s="1390"/>
      <c r="J313" s="1386"/>
    </row>
    <row r="314" spans="1:10" ht="18" x14ac:dyDescent="0.25">
      <c r="B314" s="1385" t="s">
        <v>1317</v>
      </c>
      <c r="C314" s="1386" t="s">
        <v>3364</v>
      </c>
      <c r="D314" s="1386">
        <v>6.9180000000000002E-14</v>
      </c>
      <c r="E314" s="1388"/>
      <c r="F314" s="1388"/>
      <c r="G314" s="1386"/>
      <c r="H314" s="1390"/>
      <c r="I314" s="1390"/>
      <c r="J314" s="1386"/>
    </row>
    <row r="315" spans="1:10" ht="18" x14ac:dyDescent="0.25">
      <c r="B315" s="1385" t="s">
        <v>1321</v>
      </c>
      <c r="C315" s="1386" t="s">
        <v>2988</v>
      </c>
      <c r="D315" s="1441">
        <f>10^(-25.46)</f>
        <v>3.4673685045252971E-26</v>
      </c>
      <c r="E315" s="1388"/>
      <c r="F315" s="1388"/>
      <c r="G315" s="1386"/>
      <c r="H315" s="1390"/>
      <c r="I315" s="1390"/>
      <c r="J315" s="1386" t="s">
        <v>4450</v>
      </c>
    </row>
    <row r="316" spans="1:10" ht="18" x14ac:dyDescent="0.25">
      <c r="A316" s="1431"/>
      <c r="B316" s="1385" t="s">
        <v>4451</v>
      </c>
      <c r="C316" s="1386" t="s">
        <v>4452</v>
      </c>
      <c r="D316" s="1441">
        <f>10^-6.6</f>
        <v>2.511886431509578E-7</v>
      </c>
      <c r="E316" s="1388"/>
      <c r="F316" s="1388"/>
      <c r="G316" s="1386"/>
      <c r="H316" s="1390"/>
      <c r="I316" s="1390"/>
      <c r="J316" s="1386" t="s">
        <v>4453</v>
      </c>
    </row>
    <row r="317" spans="1:10" ht="18" x14ac:dyDescent="0.25">
      <c r="B317" s="1385" t="s">
        <v>1318</v>
      </c>
      <c r="C317" s="1386" t="s">
        <v>2989</v>
      </c>
      <c r="D317" s="1386">
        <v>9.9999999999999994E-37</v>
      </c>
      <c r="E317" s="1388"/>
      <c r="F317" s="1388"/>
      <c r="G317" s="1386"/>
      <c r="H317" s="1390"/>
      <c r="I317" s="1390"/>
      <c r="J317" s="1386" t="s">
        <v>1866</v>
      </c>
    </row>
    <row r="318" spans="1:10" ht="18" x14ac:dyDescent="0.25">
      <c r="B318" s="1385" t="s">
        <v>1342</v>
      </c>
      <c r="C318" s="1386" t="s">
        <v>2990</v>
      </c>
      <c r="D318" s="1386">
        <f>3.7*10^-19</f>
        <v>3.7000000000000001E-19</v>
      </c>
      <c r="E318" s="1388"/>
      <c r="F318" s="1388"/>
      <c r="G318" s="1386"/>
      <c r="H318" s="1390"/>
      <c r="I318" s="1390"/>
      <c r="J318" s="1386"/>
    </row>
    <row r="319" spans="1:10" ht="18" x14ac:dyDescent="0.25">
      <c r="B319" s="1385" t="s">
        <v>1319</v>
      </c>
      <c r="C319" s="1386" t="s">
        <v>2991</v>
      </c>
      <c r="D319" s="1386">
        <v>2.7500000000000001E-22</v>
      </c>
      <c r="E319" s="1388"/>
      <c r="F319" s="1388"/>
      <c r="G319" s="1386"/>
      <c r="H319" s="1390"/>
      <c r="I319" s="1390"/>
      <c r="J319" s="1386"/>
    </row>
    <row r="320" spans="1:10" ht="18" x14ac:dyDescent="0.25">
      <c r="B320" s="1385" t="s">
        <v>1320</v>
      </c>
      <c r="C320" s="1386" t="s">
        <v>2992</v>
      </c>
      <c r="D320" s="1386">
        <f>10^(-16)</f>
        <v>9.9999999999999998E-17</v>
      </c>
      <c r="E320" s="1388"/>
      <c r="F320" s="1388"/>
      <c r="G320" s="1386"/>
      <c r="H320" s="1390"/>
      <c r="I320" s="1390"/>
      <c r="J320" s="1386"/>
    </row>
    <row r="322" spans="1:10" ht="15.75" thickBot="1" x14ac:dyDescent="0.3">
      <c r="C322" s="1426" t="s">
        <v>759</v>
      </c>
    </row>
    <row r="323" spans="1:10" ht="15.75" thickBot="1" x14ac:dyDescent="0.3">
      <c r="B323" s="1427" t="s">
        <v>0</v>
      </c>
      <c r="C323" s="1428" t="s">
        <v>1</v>
      </c>
      <c r="D323" s="1429" t="s">
        <v>152</v>
      </c>
      <c r="E323" s="1429" t="s">
        <v>471</v>
      </c>
      <c r="F323" s="1429" t="s">
        <v>472</v>
      </c>
      <c r="G323" s="1429" t="s">
        <v>2</v>
      </c>
      <c r="H323" s="1429" t="s">
        <v>300</v>
      </c>
      <c r="I323" s="1429" t="s">
        <v>116</v>
      </c>
      <c r="J323" s="1430" t="s">
        <v>117</v>
      </c>
    </row>
    <row r="324" spans="1:10" ht="18" x14ac:dyDescent="0.25">
      <c r="B324" s="1385" t="s">
        <v>760</v>
      </c>
      <c r="C324" s="1386" t="s">
        <v>761</v>
      </c>
      <c r="D324" s="1386">
        <f>3*A_MO/(2*A_MN)</f>
        <v>1.7134014435948508</v>
      </c>
      <c r="E324" s="1388"/>
      <c r="F324" s="1388"/>
      <c r="G324" s="1386" t="s">
        <v>2011</v>
      </c>
      <c r="H324" s="1390"/>
      <c r="I324" s="1390"/>
      <c r="J324" s="1386" t="s">
        <v>264</v>
      </c>
    </row>
    <row r="325" spans="1:10" ht="18" x14ac:dyDescent="0.25">
      <c r="B325" s="1385" t="s">
        <v>762</v>
      </c>
      <c r="C325" s="1386" t="s">
        <v>763</v>
      </c>
      <c r="D325" s="1386">
        <f>2*A_MO/(A_MN)</f>
        <v>2.2845352581264677</v>
      </c>
      <c r="E325" s="1388"/>
      <c r="F325" s="1388"/>
      <c r="G325" s="1386" t="s">
        <v>2011</v>
      </c>
      <c r="H325" s="1390"/>
      <c r="I325" s="1390"/>
      <c r="J325" s="1386" t="s">
        <v>264</v>
      </c>
    </row>
    <row r="326" spans="1:10" ht="18" x14ac:dyDescent="0.25">
      <c r="B326" s="1385" t="s">
        <v>764</v>
      </c>
      <c r="C326" s="1386" t="s">
        <v>765</v>
      </c>
      <c r="D326" s="1386">
        <f>2.5*A_MO/(A_MN)</f>
        <v>2.8556690726580851</v>
      </c>
      <c r="E326" s="1388"/>
      <c r="F326" s="1388"/>
      <c r="G326" s="1386" t="s">
        <v>2011</v>
      </c>
      <c r="H326" s="1390"/>
      <c r="I326" s="1390"/>
      <c r="J326" s="1386" t="s">
        <v>264</v>
      </c>
    </row>
    <row r="327" spans="1:10" ht="18" x14ac:dyDescent="0.25">
      <c r="B327" s="1385" t="s">
        <v>766</v>
      </c>
      <c r="C327" s="1386" t="s">
        <v>767</v>
      </c>
      <c r="D327" s="1386">
        <f>3*A_MO/A_MN</f>
        <v>3.4268028871897016</v>
      </c>
      <c r="E327" s="1388"/>
      <c r="F327" s="1388"/>
      <c r="G327" s="1386" t="s">
        <v>2011</v>
      </c>
      <c r="H327" s="1390"/>
      <c r="I327" s="1390"/>
      <c r="J327" s="1386" t="s">
        <v>264</v>
      </c>
    </row>
    <row r="328" spans="1:10" ht="18" x14ac:dyDescent="0.25">
      <c r="B328" s="1385" t="s">
        <v>768</v>
      </c>
      <c r="C328" s="1386" t="s">
        <v>769</v>
      </c>
      <c r="D328" s="1386">
        <f>4*A_MO/A_MN</f>
        <v>4.5690705162529355</v>
      </c>
      <c r="E328" s="1388"/>
      <c r="F328" s="1388"/>
      <c r="G328" s="1386" t="s">
        <v>2011</v>
      </c>
      <c r="H328" s="1390"/>
      <c r="I328" s="1390"/>
      <c r="J328" s="1386" t="s">
        <v>264</v>
      </c>
    </row>
    <row r="329" spans="1:10" ht="18" x14ac:dyDescent="0.25">
      <c r="A329" s="1442"/>
      <c r="B329" s="1385" t="s">
        <v>3878</v>
      </c>
      <c r="C329" s="1386" t="s">
        <v>3879</v>
      </c>
      <c r="D329" s="1386">
        <f>A_MO/A_MN</f>
        <v>1.1422676290632339</v>
      </c>
      <c r="E329" s="1388"/>
      <c r="F329" s="1388"/>
      <c r="G329" s="1386" t="s">
        <v>2011</v>
      </c>
      <c r="H329" s="1390"/>
      <c r="I329" s="1390"/>
      <c r="J329" s="1386" t="s">
        <v>264</v>
      </c>
    </row>
    <row r="330" spans="1:10" ht="18" x14ac:dyDescent="0.25">
      <c r="A330" s="1442"/>
      <c r="B330" s="1385" t="s">
        <v>3880</v>
      </c>
      <c r="C330" s="1386" t="s">
        <v>3881</v>
      </c>
      <c r="D330" s="1386">
        <f>1.5*A_MO/A_MN</f>
        <v>1.7134014435948508</v>
      </c>
      <c r="E330" s="1388"/>
      <c r="F330" s="1388"/>
      <c r="G330" s="1386" t="s">
        <v>2011</v>
      </c>
      <c r="H330" s="1390"/>
      <c r="I330" s="1390"/>
      <c r="J330" s="1386" t="s">
        <v>264</v>
      </c>
    </row>
    <row r="331" spans="1:10" ht="18" x14ac:dyDescent="0.25">
      <c r="B331" s="1385" t="s">
        <v>1032</v>
      </c>
      <c r="C331" s="1386" t="s">
        <v>770</v>
      </c>
      <c r="D331" s="1386">
        <f>A_MO/A_MN</f>
        <v>1.1422676290632339</v>
      </c>
      <c r="E331" s="1388"/>
      <c r="F331" s="1388"/>
      <c r="G331" s="1386" t="s">
        <v>2011</v>
      </c>
      <c r="H331" s="1390"/>
      <c r="I331" s="1390"/>
      <c r="J331" s="1386"/>
    </row>
    <row r="332" spans="1:10" ht="18" x14ac:dyDescent="0.25">
      <c r="B332" s="1385" t="s">
        <v>1033</v>
      </c>
      <c r="C332" s="1386" t="s">
        <v>771</v>
      </c>
      <c r="D332" s="1386">
        <f>3*A_MO/(2*A_MN)</f>
        <v>1.7134014435948508</v>
      </c>
      <c r="E332" s="1388"/>
      <c r="F332" s="1388"/>
      <c r="G332" s="1386" t="s">
        <v>2011</v>
      </c>
      <c r="H332" s="1390"/>
      <c r="I332" s="1390"/>
      <c r="J332" s="1386"/>
    </row>
    <row r="333" spans="1:10" ht="18" x14ac:dyDescent="0.25">
      <c r="B333" s="1385" t="s">
        <v>1034</v>
      </c>
      <c r="C333" s="1386" t="s">
        <v>772</v>
      </c>
      <c r="D333" s="1386">
        <f>0.5*A_MO/A_MN</f>
        <v>0.57113381453161693</v>
      </c>
      <c r="E333" s="1388"/>
      <c r="F333" s="1388"/>
      <c r="G333" s="1386" t="s">
        <v>2011</v>
      </c>
      <c r="H333" s="1390"/>
      <c r="I333" s="1390"/>
      <c r="J333" s="1386"/>
    </row>
    <row r="334" spans="1:10" ht="18" x14ac:dyDescent="0.25">
      <c r="B334" s="1385" t="s">
        <v>1035</v>
      </c>
      <c r="C334" s="1386" t="s">
        <v>773</v>
      </c>
      <c r="D334" s="1386">
        <f>0.5*A_MO/A_MN</f>
        <v>0.57113381453161693</v>
      </c>
      <c r="E334" s="1388"/>
      <c r="F334" s="1388"/>
      <c r="G334" s="1386" t="s">
        <v>2011</v>
      </c>
      <c r="H334" s="1390"/>
      <c r="I334" s="1390"/>
      <c r="J334" s="1386"/>
    </row>
    <row r="335" spans="1:10" ht="18" x14ac:dyDescent="0.25">
      <c r="B335" s="1385" t="s">
        <v>1036</v>
      </c>
      <c r="C335" s="1386" t="s">
        <v>774</v>
      </c>
      <c r="D335" s="1386">
        <f>0.5*A_MO/A_MN</f>
        <v>0.57113381453161693</v>
      </c>
      <c r="E335" s="1388"/>
      <c r="F335" s="1388"/>
      <c r="G335" s="1386" t="s">
        <v>2011</v>
      </c>
      <c r="H335" s="1390"/>
      <c r="I335" s="1390"/>
      <c r="J335" s="1386"/>
    </row>
    <row r="336" spans="1:10" ht="18" x14ac:dyDescent="0.25">
      <c r="B336" s="1385" t="s">
        <v>1074</v>
      </c>
      <c r="C336" s="1386" t="s">
        <v>789</v>
      </c>
      <c r="D336" s="1386">
        <f>5*A_MO/(2*A_MN)</f>
        <v>2.8556690726580851</v>
      </c>
      <c r="E336" s="1388"/>
      <c r="F336" s="1388"/>
      <c r="G336" s="1386" t="s">
        <v>2011</v>
      </c>
      <c r="H336" s="1390"/>
      <c r="I336" s="1390"/>
      <c r="J336" s="1386"/>
    </row>
    <row r="337" spans="2:10" ht="18" x14ac:dyDescent="0.25">
      <c r="B337" s="1385" t="s">
        <v>1343</v>
      </c>
      <c r="C337" s="1386" t="s">
        <v>1344</v>
      </c>
      <c r="D337" s="1386">
        <f>8/A_MFe</f>
        <v>0.14325364849136002</v>
      </c>
      <c r="E337" s="1388"/>
      <c r="F337" s="1388"/>
      <c r="G337" s="1386" t="s">
        <v>2012</v>
      </c>
      <c r="H337" s="1390"/>
      <c r="I337" s="1390"/>
      <c r="J337" s="1386"/>
    </row>
    <row r="338" spans="2:10" ht="18" x14ac:dyDescent="0.25">
      <c r="B338" s="1385" t="s">
        <v>1326</v>
      </c>
      <c r="C338" s="1386" t="s">
        <v>1314</v>
      </c>
      <c r="D338" s="1386">
        <f>3*A_MO/(A_MS)</f>
        <v>1.4969031654451894</v>
      </c>
      <c r="E338" s="1388"/>
      <c r="F338" s="1388"/>
      <c r="G338" s="1386" t="s">
        <v>2013</v>
      </c>
      <c r="H338" s="1390"/>
      <c r="I338" s="1390"/>
      <c r="J338" s="1386" t="s">
        <v>1269</v>
      </c>
    </row>
    <row r="339" spans="2:10" ht="18" x14ac:dyDescent="0.25">
      <c r="B339" s="1385" t="s">
        <v>1146</v>
      </c>
      <c r="C339" s="1386" t="s">
        <v>1206</v>
      </c>
      <c r="D339" s="1386">
        <f>4*A_MO/(A_MS)</f>
        <v>1.9958708872602526</v>
      </c>
      <c r="E339" s="1388"/>
      <c r="F339" s="1388"/>
      <c r="G339" s="1386" t="s">
        <v>2014</v>
      </c>
      <c r="H339" s="1390"/>
      <c r="I339" s="1390"/>
      <c r="J339" s="1386" t="s">
        <v>1269</v>
      </c>
    </row>
    <row r="341" spans="2:10" ht="15.75" thickBot="1" x14ac:dyDescent="0.3">
      <c r="C341" s="1426" t="s">
        <v>921</v>
      </c>
    </row>
    <row r="342" spans="2:10" ht="15.75" thickBot="1" x14ac:dyDescent="0.3">
      <c r="B342" s="1427" t="s">
        <v>0</v>
      </c>
      <c r="C342" s="1428" t="s">
        <v>1</v>
      </c>
      <c r="D342" s="1429" t="s">
        <v>152</v>
      </c>
      <c r="E342" s="1429" t="s">
        <v>471</v>
      </c>
      <c r="F342" s="1429" t="s">
        <v>472</v>
      </c>
      <c r="G342" s="1429" t="s">
        <v>2</v>
      </c>
      <c r="H342" s="1429" t="s">
        <v>300</v>
      </c>
      <c r="I342" s="1429" t="s">
        <v>116</v>
      </c>
      <c r="J342" s="1430" t="s">
        <v>117</v>
      </c>
    </row>
    <row r="343" spans="2:10" ht="18" x14ac:dyDescent="0.25">
      <c r="B343" s="1385" t="s">
        <v>922</v>
      </c>
      <c r="C343" s="1386" t="s">
        <v>923</v>
      </c>
      <c r="D343" s="1386">
        <v>0.5</v>
      </c>
      <c r="E343" s="1388"/>
      <c r="F343" s="1388"/>
      <c r="G343" s="1386"/>
      <c r="H343" s="1390"/>
      <c r="I343" s="1390"/>
      <c r="J343" s="1386" t="s">
        <v>1075</v>
      </c>
    </row>
    <row r="344" spans="2:10" ht="18" x14ac:dyDescent="0.25">
      <c r="B344" s="1385" t="s">
        <v>924</v>
      </c>
      <c r="C344" s="1386" t="s">
        <v>925</v>
      </c>
      <c r="D344" s="1386">
        <v>0.5</v>
      </c>
      <c r="E344" s="1388"/>
      <c r="F344" s="1388"/>
      <c r="G344" s="1386"/>
      <c r="H344" s="1390"/>
      <c r="I344" s="1390"/>
      <c r="J344" s="1386" t="s">
        <v>1076</v>
      </c>
    </row>
    <row r="345" spans="2:10" ht="18" x14ac:dyDescent="0.25">
      <c r="B345" s="1385" t="s">
        <v>926</v>
      </c>
      <c r="C345" s="1386" t="s">
        <v>927</v>
      </c>
      <c r="D345" s="1386">
        <v>2</v>
      </c>
      <c r="E345" s="1388"/>
      <c r="F345" s="1388"/>
      <c r="G345" s="1386"/>
      <c r="H345" s="1390"/>
      <c r="I345" s="1390"/>
      <c r="J345" s="1386" t="s">
        <v>1077</v>
      </c>
    </row>
    <row r="346" spans="2:10" ht="18" x14ac:dyDescent="0.25">
      <c r="B346" s="1385" t="s">
        <v>928</v>
      </c>
      <c r="C346" s="1386" t="s">
        <v>929</v>
      </c>
      <c r="D346" s="1386">
        <v>2</v>
      </c>
      <c r="E346" s="1388"/>
      <c r="F346" s="1388"/>
      <c r="G346" s="1386"/>
      <c r="H346" s="1390"/>
      <c r="I346" s="1390"/>
      <c r="J346" s="1386" t="s">
        <v>1078</v>
      </c>
    </row>
    <row r="347" spans="2:10" ht="18" x14ac:dyDescent="0.25">
      <c r="B347" s="1385" t="s">
        <v>930</v>
      </c>
      <c r="C347" s="1386" t="s">
        <v>931</v>
      </c>
      <c r="D347" s="1386">
        <v>4.5</v>
      </c>
      <c r="E347" s="1388"/>
      <c r="F347" s="1388"/>
      <c r="G347" s="1386"/>
      <c r="H347" s="1390"/>
      <c r="I347" s="1390"/>
      <c r="J347" s="1386" t="s">
        <v>1079</v>
      </c>
    </row>
    <row r="348" spans="2:10" ht="18" x14ac:dyDescent="0.25">
      <c r="B348" s="1385" t="s">
        <v>932</v>
      </c>
      <c r="C348" s="1386" t="s">
        <v>933</v>
      </c>
      <c r="D348" s="1386">
        <v>4.5</v>
      </c>
      <c r="E348" s="1388"/>
      <c r="F348" s="1388"/>
      <c r="G348" s="1386"/>
      <c r="H348" s="1390"/>
      <c r="I348" s="1390"/>
      <c r="J348" s="1386" t="s">
        <v>1080</v>
      </c>
    </row>
    <row r="350" spans="2:10" ht="15.75" thickBot="1" x14ac:dyDescent="0.3">
      <c r="C350" s="1426" t="s">
        <v>900</v>
      </c>
    </row>
    <row r="351" spans="2:10" ht="15.75" thickBot="1" x14ac:dyDescent="0.3">
      <c r="B351" s="1427" t="s">
        <v>0</v>
      </c>
      <c r="C351" s="1428" t="s">
        <v>1</v>
      </c>
      <c r="D351" s="1429" t="s">
        <v>152</v>
      </c>
      <c r="E351" s="1429" t="s">
        <v>471</v>
      </c>
      <c r="F351" s="1429" t="s">
        <v>472</v>
      </c>
      <c r="G351" s="1429" t="s">
        <v>2</v>
      </c>
      <c r="H351" s="1429" t="s">
        <v>300</v>
      </c>
      <c r="I351" s="1429" t="s">
        <v>116</v>
      </c>
      <c r="J351" s="1430" t="s">
        <v>117</v>
      </c>
    </row>
    <row r="352" spans="2:10" ht="18" x14ac:dyDescent="0.25">
      <c r="B352" s="1385" t="s">
        <v>901</v>
      </c>
      <c r="C352" s="1386" t="s">
        <v>902</v>
      </c>
      <c r="D352" s="1386">
        <v>6.4135999999999997E-5</v>
      </c>
      <c r="E352" s="1388"/>
      <c r="F352" s="1388"/>
      <c r="G352" s="1386" t="s">
        <v>384</v>
      </c>
      <c r="H352" s="1390"/>
      <c r="I352" s="1390"/>
      <c r="J352" s="1386" t="s">
        <v>1270</v>
      </c>
    </row>
    <row r="354" spans="2:10" ht="15.75" thickBot="1" x14ac:dyDescent="0.3">
      <c r="C354" s="1426" t="s">
        <v>900</v>
      </c>
    </row>
    <row r="355" spans="2:10" ht="15.75" thickBot="1" x14ac:dyDescent="0.3">
      <c r="B355" s="1427" t="s">
        <v>0</v>
      </c>
      <c r="C355" s="1428" t="s">
        <v>1</v>
      </c>
      <c r="D355" s="1429" t="s">
        <v>152</v>
      </c>
      <c r="E355" s="1429" t="s">
        <v>471</v>
      </c>
      <c r="F355" s="1429" t="s">
        <v>472</v>
      </c>
      <c r="G355" s="1429" t="s">
        <v>2</v>
      </c>
      <c r="H355" s="1429" t="s">
        <v>300</v>
      </c>
      <c r="I355" s="1429" t="s">
        <v>116</v>
      </c>
      <c r="J355" s="1430" t="s">
        <v>117</v>
      </c>
    </row>
    <row r="356" spans="2:10" ht="18" x14ac:dyDescent="0.25">
      <c r="B356" s="1385" t="s">
        <v>2369</v>
      </c>
      <c r="C356" s="1386" t="s">
        <v>1865</v>
      </c>
      <c r="D356" s="1386">
        <v>0.6</v>
      </c>
      <c r="E356" s="1388" t="s">
        <v>1215</v>
      </c>
      <c r="F356" s="1388" t="s">
        <v>2256</v>
      </c>
      <c r="G356" s="1386" t="s">
        <v>2370</v>
      </c>
      <c r="H356" s="1390"/>
      <c r="I356" s="1390"/>
      <c r="J356" s="1386" t="s">
        <v>2371</v>
      </c>
    </row>
    <row r="358" spans="2:10" ht="15.75" thickBot="1" x14ac:dyDescent="0.3">
      <c r="C358" s="1426" t="s">
        <v>934</v>
      </c>
    </row>
    <row r="359" spans="2:10" ht="15.75" thickBot="1" x14ac:dyDescent="0.3">
      <c r="B359" s="1427" t="s">
        <v>0</v>
      </c>
      <c r="C359" s="1428" t="s">
        <v>1</v>
      </c>
      <c r="D359" s="1429" t="s">
        <v>152</v>
      </c>
      <c r="E359" s="1429" t="s">
        <v>471</v>
      </c>
      <c r="F359" s="1429" t="s">
        <v>472</v>
      </c>
      <c r="G359" s="1429" t="s">
        <v>2</v>
      </c>
      <c r="H359" s="1429" t="s">
        <v>300</v>
      </c>
      <c r="I359" s="1429" t="s">
        <v>116</v>
      </c>
      <c r="J359" s="1430" t="s">
        <v>117</v>
      </c>
    </row>
    <row r="360" spans="2:10" ht="18" outlineLevel="1" x14ac:dyDescent="0.25">
      <c r="B360" s="1385" t="s">
        <v>935</v>
      </c>
      <c r="C360" s="1386" t="s">
        <v>936</v>
      </c>
      <c r="D360" s="1386">
        <v>1000000</v>
      </c>
      <c r="E360" s="1388"/>
      <c r="F360" s="1388"/>
      <c r="G360" s="1386" t="s">
        <v>2015</v>
      </c>
      <c r="H360" s="1390"/>
      <c r="I360" s="1390"/>
      <c r="J360" s="1386"/>
    </row>
    <row r="361" spans="2:10" ht="18" outlineLevel="1" x14ac:dyDescent="0.25">
      <c r="B361" s="1385" t="s">
        <v>1857</v>
      </c>
      <c r="C361" s="1386" t="s">
        <v>1858</v>
      </c>
      <c r="D361" s="1386">
        <v>100</v>
      </c>
      <c r="E361" s="1388"/>
      <c r="F361" s="1388"/>
      <c r="G361" s="1386" t="s">
        <v>2016</v>
      </c>
      <c r="H361" s="1390"/>
      <c r="I361" s="1390"/>
      <c r="J361" s="1386"/>
    </row>
    <row r="362" spans="2:10" ht="18" outlineLevel="1" x14ac:dyDescent="0.25">
      <c r="B362" s="1385" t="s">
        <v>1867</v>
      </c>
      <c r="C362" s="1386" t="s">
        <v>1868</v>
      </c>
      <c r="D362" s="1386">
        <v>100</v>
      </c>
      <c r="E362" s="1388"/>
      <c r="F362" s="1388"/>
      <c r="G362" s="1386" t="s">
        <v>1869</v>
      </c>
      <c r="H362" s="1390"/>
      <c r="I362" s="1390"/>
      <c r="J362" s="1386"/>
    </row>
    <row r="363" spans="2:10" ht="18" outlineLevel="1" x14ac:dyDescent="0.25">
      <c r="B363" s="1385" t="s">
        <v>4454</v>
      </c>
      <c r="C363" s="1386" t="s">
        <v>4455</v>
      </c>
      <c r="D363" s="1386">
        <v>1000</v>
      </c>
      <c r="E363" s="1388"/>
      <c r="F363" s="1388"/>
      <c r="G363" s="1386" t="s">
        <v>4456</v>
      </c>
      <c r="H363" s="1390"/>
      <c r="I363" s="1390"/>
      <c r="J363" s="1386"/>
    </row>
    <row r="364" spans="2:10" ht="18" outlineLevel="1" x14ac:dyDescent="0.25">
      <c r="B364" s="1385" t="s">
        <v>937</v>
      </c>
      <c r="C364" s="1386" t="s">
        <v>1584</v>
      </c>
      <c r="D364" s="1386">
        <v>86400</v>
      </c>
      <c r="E364" s="1388"/>
      <c r="F364" s="1388"/>
      <c r="G364" s="1386" t="s">
        <v>1585</v>
      </c>
      <c r="H364" s="1390"/>
      <c r="I364" s="1390"/>
      <c r="J364" s="1386"/>
    </row>
    <row r="365" spans="2:10" ht="18" outlineLevel="1" x14ac:dyDescent="0.25">
      <c r="B365" s="1385" t="s">
        <v>1586</v>
      </c>
      <c r="C365" s="1386" t="s">
        <v>1587</v>
      </c>
      <c r="D365" s="1386">
        <v>3600</v>
      </c>
      <c r="E365" s="1388"/>
      <c r="F365" s="1388"/>
      <c r="G365" s="1386" t="s">
        <v>1588</v>
      </c>
      <c r="H365" s="1390"/>
      <c r="I365" s="1390"/>
      <c r="J365" s="1386"/>
    </row>
    <row r="366" spans="2:10" ht="18" outlineLevel="1" x14ac:dyDescent="0.25">
      <c r="B366" s="1385" t="s">
        <v>4457</v>
      </c>
      <c r="C366" s="1386" t="s">
        <v>4458</v>
      </c>
      <c r="D366" s="1386">
        <v>60</v>
      </c>
      <c r="E366" s="1388"/>
      <c r="F366" s="1388"/>
      <c r="G366" s="1386" t="s">
        <v>4459</v>
      </c>
      <c r="H366" s="1390"/>
      <c r="I366" s="1390"/>
      <c r="J366" s="1386"/>
    </row>
    <row r="367" spans="2:10" ht="18" outlineLevel="1" x14ac:dyDescent="0.25">
      <c r="B367" s="1385" t="s">
        <v>4460</v>
      </c>
      <c r="C367" s="1386" t="s">
        <v>4461</v>
      </c>
      <c r="D367" s="1386">
        <v>1440</v>
      </c>
      <c r="E367" s="1388"/>
      <c r="F367" s="1388"/>
      <c r="G367" s="1386" t="s">
        <v>4462</v>
      </c>
      <c r="H367" s="1390"/>
      <c r="I367" s="1390"/>
      <c r="J367" s="1386"/>
    </row>
    <row r="368" spans="2:10" ht="18" outlineLevel="1" x14ac:dyDescent="0.25">
      <c r="B368" s="1385" t="s">
        <v>3365</v>
      </c>
      <c r="C368" s="1386" t="s">
        <v>3366</v>
      </c>
      <c r="D368" s="1386">
        <v>60</v>
      </c>
      <c r="E368" s="1388"/>
      <c r="F368" s="1388"/>
      <c r="G368" s="1386" t="s">
        <v>3367</v>
      </c>
      <c r="H368" s="1390"/>
      <c r="I368" s="1390"/>
      <c r="J368" s="1386"/>
    </row>
    <row r="369" spans="2:10" ht="18" outlineLevel="1" x14ac:dyDescent="0.25">
      <c r="B369" s="1385" t="s">
        <v>3368</v>
      </c>
      <c r="C369" s="1386" t="s">
        <v>3369</v>
      </c>
      <c r="D369" s="1386">
        <v>24</v>
      </c>
      <c r="E369" s="1388"/>
      <c r="F369" s="1388"/>
      <c r="G369" s="1386" t="s">
        <v>3370</v>
      </c>
      <c r="H369" s="1390"/>
      <c r="I369" s="1390"/>
      <c r="J369" s="1386"/>
    </row>
    <row r="370" spans="2:10" ht="18" outlineLevel="1" x14ac:dyDescent="0.25">
      <c r="B370" s="1385" t="s">
        <v>2372</v>
      </c>
      <c r="C370" s="1386" t="s">
        <v>2373</v>
      </c>
      <c r="D370" s="1386">
        <v>86400000</v>
      </c>
      <c r="E370" s="1388"/>
      <c r="F370" s="1388"/>
      <c r="G370" s="1386" t="s">
        <v>2374</v>
      </c>
      <c r="H370" s="1390"/>
      <c r="I370" s="1390"/>
      <c r="J370" s="1386"/>
    </row>
    <row r="371" spans="2:10" ht="18" outlineLevel="1" x14ac:dyDescent="0.25">
      <c r="B371" s="1385" t="s">
        <v>1081</v>
      </c>
      <c r="C371" s="1386" t="s">
        <v>1082</v>
      </c>
      <c r="D371" s="1386">
        <v>3600000</v>
      </c>
      <c r="E371" s="1388"/>
      <c r="F371" s="1388"/>
      <c r="G371" s="1386" t="s">
        <v>1083</v>
      </c>
      <c r="H371" s="1390"/>
      <c r="I371" s="1390"/>
      <c r="J371" s="1386"/>
    </row>
    <row r="372" spans="2:10" ht="18" outlineLevel="1" x14ac:dyDescent="0.25">
      <c r="B372" s="1385" t="s">
        <v>3371</v>
      </c>
      <c r="C372" s="1386" t="s">
        <v>3372</v>
      </c>
      <c r="D372" s="1386">
        <v>60000</v>
      </c>
      <c r="E372" s="1388"/>
      <c r="F372" s="1388"/>
      <c r="G372" s="1386" t="s">
        <v>3373</v>
      </c>
      <c r="H372" s="1390"/>
      <c r="I372" s="1390"/>
      <c r="J372" s="1386"/>
    </row>
    <row r="373" spans="2:10" ht="18" outlineLevel="1" x14ac:dyDescent="0.25">
      <c r="B373" s="1385" t="s">
        <v>2375</v>
      </c>
      <c r="C373" s="1386" t="s">
        <v>2376</v>
      </c>
      <c r="D373" s="1386">
        <v>1000</v>
      </c>
      <c r="E373" s="1388"/>
      <c r="F373" s="1388"/>
      <c r="G373" s="1386" t="s">
        <v>2377</v>
      </c>
      <c r="H373" s="1390"/>
      <c r="I373" s="1390"/>
      <c r="J373" s="1386"/>
    </row>
    <row r="374" spans="2:10" ht="18" outlineLevel="1" x14ac:dyDescent="0.25">
      <c r="B374" s="1385" t="s">
        <v>4463</v>
      </c>
      <c r="C374" s="1386" t="s">
        <v>4464</v>
      </c>
      <c r="D374" s="1386">
        <v>7</v>
      </c>
      <c r="E374" s="1388"/>
      <c r="F374" s="1388"/>
      <c r="G374" s="1386" t="s">
        <v>4465</v>
      </c>
      <c r="H374" s="1390"/>
      <c r="I374" s="1390"/>
      <c r="J374" s="1386"/>
    </row>
    <row r="375" spans="2:10" ht="18" outlineLevel="1" x14ac:dyDescent="0.25">
      <c r="B375" s="1385" t="s">
        <v>4466</v>
      </c>
      <c r="C375" s="1386" t="s">
        <v>4467</v>
      </c>
      <c r="D375" s="1386">
        <v>30</v>
      </c>
      <c r="E375" s="1388"/>
      <c r="F375" s="1388"/>
      <c r="G375" s="1386" t="s">
        <v>4468</v>
      </c>
      <c r="H375" s="1390"/>
      <c r="I375" s="1390"/>
      <c r="J375" s="1386"/>
    </row>
    <row r="376" spans="2:10" ht="18" outlineLevel="1" x14ac:dyDescent="0.25">
      <c r="B376" s="1385" t="s">
        <v>4469</v>
      </c>
      <c r="C376" s="1386" t="s">
        <v>4470</v>
      </c>
      <c r="D376" s="1386">
        <v>365</v>
      </c>
      <c r="E376" s="1388"/>
      <c r="F376" s="1388"/>
      <c r="G376" s="1386" t="s">
        <v>4471</v>
      </c>
      <c r="H376" s="1390"/>
      <c r="I376" s="1390"/>
      <c r="J376" s="1386"/>
    </row>
    <row r="377" spans="2:10" ht="18" outlineLevel="1" x14ac:dyDescent="0.25">
      <c r="B377" s="1385" t="s">
        <v>938</v>
      </c>
      <c r="C377" s="1386" t="s">
        <v>939</v>
      </c>
      <c r="D377" s="1386">
        <v>1000</v>
      </c>
      <c r="E377" s="1388"/>
      <c r="F377" s="1388"/>
      <c r="G377" s="1386" t="s">
        <v>1589</v>
      </c>
      <c r="H377" s="1390"/>
      <c r="I377" s="1390"/>
      <c r="J377" s="1386"/>
    </row>
    <row r="378" spans="2:10" ht="18" outlineLevel="1" x14ac:dyDescent="0.25">
      <c r="B378" s="1385" t="s">
        <v>1037</v>
      </c>
      <c r="C378" s="1386" t="s">
        <v>1038</v>
      </c>
      <c r="D378" s="1386">
        <v>1000</v>
      </c>
      <c r="E378" s="1388"/>
      <c r="F378" s="1388"/>
      <c r="G378" s="1386" t="s">
        <v>1590</v>
      </c>
      <c r="H378" s="1390"/>
      <c r="I378" s="1390"/>
      <c r="J378" s="1386"/>
    </row>
    <row r="379" spans="2:10" ht="18" outlineLevel="1" x14ac:dyDescent="0.25">
      <c r="B379" s="1385" t="s">
        <v>4472</v>
      </c>
      <c r="C379" s="1386" t="s">
        <v>4473</v>
      </c>
      <c r="D379" s="1386">
        <v>1000000</v>
      </c>
      <c r="E379" s="1388"/>
      <c r="F379" s="1388"/>
      <c r="G379" s="1386" t="s">
        <v>4474</v>
      </c>
      <c r="H379" s="1390"/>
      <c r="I379" s="1390"/>
      <c r="J379" s="1386"/>
    </row>
    <row r="380" spans="2:10" ht="18" outlineLevel="1" x14ac:dyDescent="0.25">
      <c r="B380" s="1385" t="s">
        <v>940</v>
      </c>
      <c r="C380" s="1386" t="s">
        <v>1591</v>
      </c>
      <c r="D380" s="1386">
        <v>1000</v>
      </c>
      <c r="E380" s="1388"/>
      <c r="F380" s="1388"/>
      <c r="G380" s="1386" t="s">
        <v>1592</v>
      </c>
      <c r="H380" s="1390"/>
      <c r="I380" s="1390"/>
      <c r="J380" s="1386"/>
    </row>
    <row r="381" spans="2:10" ht="18" outlineLevel="1" x14ac:dyDescent="0.25">
      <c r="B381" s="1443" t="s">
        <v>3374</v>
      </c>
      <c r="C381" s="1443" t="s">
        <v>3375</v>
      </c>
      <c r="D381" s="1443">
        <v>1000</v>
      </c>
      <c r="E381" s="1443"/>
      <c r="F381" s="1443"/>
      <c r="G381" s="1443" t="s">
        <v>3376</v>
      </c>
      <c r="H381" s="1443"/>
      <c r="I381" s="1443"/>
      <c r="J381" s="1443"/>
    </row>
    <row r="382" spans="2:10" ht="18" outlineLevel="1" x14ac:dyDescent="0.25">
      <c r="B382" s="1443" t="s">
        <v>4475</v>
      </c>
      <c r="C382" s="1443" t="s">
        <v>3375</v>
      </c>
      <c r="D382" s="1443">
        <v>1000</v>
      </c>
      <c r="E382" s="1443"/>
      <c r="F382" s="1443"/>
      <c r="G382" s="1443" t="s">
        <v>4476</v>
      </c>
      <c r="H382" s="1443"/>
      <c r="I382" s="1443"/>
      <c r="J382" s="1443"/>
    </row>
    <row r="383" spans="2:10" ht="18" outlineLevel="1" x14ac:dyDescent="0.25">
      <c r="B383" s="1385" t="s">
        <v>4477</v>
      </c>
      <c r="C383" s="1386" t="s">
        <v>4478</v>
      </c>
      <c r="D383" s="1386">
        <v>1000000</v>
      </c>
      <c r="E383" s="1388"/>
      <c r="F383" s="1388"/>
      <c r="G383" s="1386" t="s">
        <v>4479</v>
      </c>
      <c r="H383" s="1390"/>
      <c r="I383" s="1390"/>
      <c r="J383" s="1386"/>
    </row>
    <row r="384" spans="2:10" ht="18" outlineLevel="1" x14ac:dyDescent="0.25">
      <c r="B384" s="1385" t="s">
        <v>1039</v>
      </c>
      <c r="C384" s="1386" t="s">
        <v>2017</v>
      </c>
      <c r="D384" s="1386">
        <v>133.32236800000001</v>
      </c>
      <c r="E384" s="1388"/>
      <c r="F384" s="1388"/>
      <c r="G384" s="1386" t="s">
        <v>1593</v>
      </c>
      <c r="H384" s="1390"/>
      <c r="I384" s="1390"/>
      <c r="J384" s="1386"/>
    </row>
    <row r="385" spans="2:10" ht="18" outlineLevel="1" x14ac:dyDescent="0.25">
      <c r="B385" s="1385" t="s">
        <v>1040</v>
      </c>
      <c r="C385" s="1386" t="s">
        <v>2018</v>
      </c>
      <c r="D385" s="1386">
        <v>100000</v>
      </c>
      <c r="E385" s="1388"/>
      <c r="F385" s="1388"/>
      <c r="G385" s="1386" t="s">
        <v>1594</v>
      </c>
      <c r="H385" s="1390"/>
      <c r="I385" s="1390"/>
      <c r="J385" s="1386"/>
    </row>
    <row r="386" spans="2:10" ht="18" outlineLevel="1" x14ac:dyDescent="0.25">
      <c r="B386" s="1385" t="s">
        <v>4480</v>
      </c>
      <c r="C386" s="1386" t="s">
        <v>4481</v>
      </c>
      <c r="D386" s="1386">
        <v>100</v>
      </c>
      <c r="E386" s="1388"/>
      <c r="F386" s="1388"/>
      <c r="G386" s="1386" t="s">
        <v>4482</v>
      </c>
      <c r="H386" s="1390"/>
      <c r="I386" s="1390"/>
      <c r="J386" s="1386"/>
    </row>
    <row r="387" spans="2:10" ht="18" outlineLevel="1" x14ac:dyDescent="0.25">
      <c r="B387" s="1385" t="s">
        <v>4483</v>
      </c>
      <c r="C387" s="1386" t="s">
        <v>4484</v>
      </c>
      <c r="D387" s="1386">
        <v>1000000</v>
      </c>
      <c r="E387" s="1388"/>
      <c r="F387" s="1388"/>
      <c r="G387" s="1386" t="s">
        <v>4485</v>
      </c>
      <c r="H387" s="1390"/>
      <c r="I387" s="1390"/>
      <c r="J387" s="1386"/>
    </row>
    <row r="388" spans="2:10" ht="18" outlineLevel="1" x14ac:dyDescent="0.25">
      <c r="B388" s="1385" t="s">
        <v>4486</v>
      </c>
      <c r="C388" s="1386" t="s">
        <v>4487</v>
      </c>
      <c r="D388" s="1386">
        <v>1000</v>
      </c>
      <c r="E388" s="1388"/>
      <c r="F388" s="1388"/>
      <c r="G388" s="1386" t="s">
        <v>4488</v>
      </c>
      <c r="H388" s="1390"/>
      <c r="I388" s="1390"/>
      <c r="J388" s="1386"/>
    </row>
    <row r="389" spans="2:10" ht="18" outlineLevel="1" x14ac:dyDescent="0.25">
      <c r="B389" s="1385" t="s">
        <v>3377</v>
      </c>
      <c r="C389" s="1386" t="s">
        <v>3378</v>
      </c>
      <c r="D389" s="1386">
        <v>100</v>
      </c>
      <c r="E389" s="1388"/>
      <c r="F389" s="1388"/>
      <c r="G389" s="1386" t="s">
        <v>4489</v>
      </c>
      <c r="H389" s="1390"/>
      <c r="I389" s="1390"/>
      <c r="J389" s="1386"/>
    </row>
    <row r="390" spans="2:10" ht="18" outlineLevel="1" x14ac:dyDescent="0.25">
      <c r="B390" s="1385" t="s">
        <v>1041</v>
      </c>
      <c r="C390" s="1386" t="s">
        <v>2019</v>
      </c>
      <c r="D390" s="1386">
        <v>10000</v>
      </c>
      <c r="E390" s="1388"/>
      <c r="F390" s="1388"/>
      <c r="G390" s="1386" t="s">
        <v>1595</v>
      </c>
      <c r="H390" s="1390"/>
      <c r="I390" s="1390"/>
      <c r="J390" s="1386"/>
    </row>
    <row r="391" spans="2:10" ht="18" outlineLevel="1" x14ac:dyDescent="0.25">
      <c r="B391" s="1385" t="s">
        <v>2020</v>
      </c>
      <c r="C391" s="1386" t="s">
        <v>2021</v>
      </c>
      <c r="D391" s="1386">
        <v>1000000</v>
      </c>
      <c r="E391" s="1388"/>
      <c r="F391" s="1388"/>
      <c r="G391" s="1386" t="s">
        <v>2022</v>
      </c>
      <c r="H391" s="1390"/>
      <c r="I391" s="1390"/>
      <c r="J391" s="1386"/>
    </row>
    <row r="392" spans="2:10" ht="18" outlineLevel="1" x14ac:dyDescent="0.25">
      <c r="B392" s="1385" t="s">
        <v>4490</v>
      </c>
      <c r="C392" s="1386" t="s">
        <v>4491</v>
      </c>
      <c r="D392" s="1386">
        <f>1/3785.411784</f>
        <v>2.6417205235814843E-4</v>
      </c>
      <c r="E392" s="1388"/>
      <c r="F392" s="1388"/>
      <c r="G392" s="1386" t="s">
        <v>4492</v>
      </c>
      <c r="H392" s="1390"/>
      <c r="I392" s="1390"/>
      <c r="J392" s="1386"/>
    </row>
    <row r="393" spans="2:10" ht="18" outlineLevel="1" x14ac:dyDescent="0.25">
      <c r="B393" s="1385" t="s">
        <v>4493</v>
      </c>
      <c r="C393" s="1386" t="s">
        <v>4494</v>
      </c>
      <c r="D393" s="1386">
        <f>1/0.003785411784</f>
        <v>264.17205235814839</v>
      </c>
      <c r="E393" s="1388"/>
      <c r="F393" s="1388"/>
      <c r="G393" s="1386" t="s">
        <v>4495</v>
      </c>
      <c r="H393" s="1390"/>
      <c r="I393" s="1390"/>
      <c r="J393" s="1386"/>
    </row>
    <row r="394" spans="2:10" ht="18" outlineLevel="1" x14ac:dyDescent="0.25">
      <c r="B394" s="1385" t="s">
        <v>4496</v>
      </c>
      <c r="C394" s="1386" t="s">
        <v>4497</v>
      </c>
      <c r="D394" s="1386">
        <v>2.2046226218000002E-3</v>
      </c>
      <c r="E394" s="1388"/>
      <c r="F394" s="1388"/>
      <c r="G394" s="1386" t="s">
        <v>4498</v>
      </c>
      <c r="H394" s="1390"/>
      <c r="I394" s="1390"/>
      <c r="J394" s="1386"/>
    </row>
    <row r="395" spans="2:10" ht="18" outlineLevel="1" x14ac:dyDescent="0.25">
      <c r="B395" s="1385" t="s">
        <v>4499</v>
      </c>
      <c r="C395" s="1386" t="s">
        <v>4500</v>
      </c>
      <c r="D395" s="1388">
        <f>+c_ft_m*c_ft2_m2</f>
        <v>35.314670111696707</v>
      </c>
      <c r="E395" s="1388"/>
      <c r="F395" s="1388"/>
      <c r="G395" s="1386" t="s">
        <v>4501</v>
      </c>
      <c r="H395" s="1390"/>
      <c r="I395" s="1390"/>
      <c r="J395" s="1386"/>
    </row>
    <row r="396" spans="2:10" ht="18" outlineLevel="1" x14ac:dyDescent="0.25">
      <c r="B396" s="1385" t="s">
        <v>4502</v>
      </c>
      <c r="C396" s="1386" t="s">
        <v>4503</v>
      </c>
      <c r="D396" s="1388">
        <f>+c_ft_m^2</f>
        <v>10.7639111056</v>
      </c>
      <c r="E396" s="1388"/>
      <c r="F396" s="1388"/>
      <c r="G396" s="1386" t="s">
        <v>4504</v>
      </c>
      <c r="H396" s="1390"/>
      <c r="I396" s="1390"/>
      <c r="J396" s="1386"/>
    </row>
    <row r="397" spans="2:10" ht="18" outlineLevel="1" x14ac:dyDescent="0.25">
      <c r="B397" s="1385" t="s">
        <v>4505</v>
      </c>
      <c r="C397" s="1386" t="s">
        <v>4506</v>
      </c>
      <c r="D397" s="1386">
        <v>3.28084</v>
      </c>
      <c r="E397" s="1388"/>
      <c r="F397" s="1388"/>
      <c r="G397" s="1386" t="s">
        <v>4507</v>
      </c>
      <c r="H397" s="1390"/>
      <c r="I397" s="1390"/>
      <c r="J397" s="1386"/>
    </row>
    <row r="399" spans="2:10" ht="15.75" thickBot="1" x14ac:dyDescent="0.3">
      <c r="C399" s="1426" t="s">
        <v>956</v>
      </c>
    </row>
    <row r="400" spans="2:10" ht="15.75" thickBot="1" x14ac:dyDescent="0.3">
      <c r="B400" s="1427" t="s">
        <v>0</v>
      </c>
      <c r="C400" s="1428" t="s">
        <v>1</v>
      </c>
      <c r="D400" s="1429" t="s">
        <v>152</v>
      </c>
      <c r="E400" s="1429" t="s">
        <v>471</v>
      </c>
      <c r="F400" s="1429" t="s">
        <v>472</v>
      </c>
      <c r="G400" s="1429" t="s">
        <v>2</v>
      </c>
      <c r="H400" s="1429" t="s">
        <v>300</v>
      </c>
      <c r="I400" s="1429" t="s">
        <v>116</v>
      </c>
      <c r="J400" s="1430" t="s">
        <v>117</v>
      </c>
    </row>
    <row r="401" spans="2:10" ht="18" outlineLevel="1" x14ac:dyDescent="0.25">
      <c r="B401" s="1385" t="s">
        <v>1084</v>
      </c>
      <c r="C401" s="1386" t="s">
        <v>957</v>
      </c>
      <c r="D401" s="1386">
        <v>0</v>
      </c>
      <c r="E401" s="1388"/>
      <c r="F401" s="1388"/>
      <c r="G401" s="1386" t="s">
        <v>2993</v>
      </c>
      <c r="H401" s="1390"/>
      <c r="I401" s="1390"/>
      <c r="J401" s="1386" t="s">
        <v>958</v>
      </c>
    </row>
    <row r="402" spans="2:10" ht="18" outlineLevel="1" x14ac:dyDescent="0.25">
      <c r="B402" s="1385" t="s">
        <v>1085</v>
      </c>
      <c r="C402" s="1386" t="s">
        <v>959</v>
      </c>
      <c r="D402" s="1386">
        <v>-285840</v>
      </c>
      <c r="E402" s="1388"/>
      <c r="F402" s="1388"/>
      <c r="G402" s="1386" t="s">
        <v>2993</v>
      </c>
      <c r="H402" s="1390"/>
      <c r="I402" s="1390"/>
      <c r="J402" s="1386" t="s">
        <v>960</v>
      </c>
    </row>
    <row r="403" spans="2:10" ht="18" outlineLevel="1" x14ac:dyDescent="0.25">
      <c r="B403" s="1385" t="s">
        <v>1086</v>
      </c>
      <c r="C403" s="1386" t="s">
        <v>961</v>
      </c>
      <c r="D403" s="1386">
        <v>-229994</v>
      </c>
      <c r="E403" s="1388"/>
      <c r="F403" s="1388"/>
      <c r="G403" s="1386" t="s">
        <v>2993</v>
      </c>
      <c r="H403" s="1390"/>
      <c r="I403" s="1390"/>
      <c r="J403" s="1386" t="s">
        <v>958</v>
      </c>
    </row>
    <row r="404" spans="2:10" ht="18" outlineLevel="1" x14ac:dyDescent="0.25">
      <c r="B404" s="1385" t="s">
        <v>1087</v>
      </c>
      <c r="C404" s="1386" t="s">
        <v>962</v>
      </c>
      <c r="D404" s="1386">
        <v>-80920</v>
      </c>
      <c r="E404" s="1388"/>
      <c r="F404" s="1388"/>
      <c r="G404" s="1386" t="s">
        <v>2993</v>
      </c>
      <c r="H404" s="1390"/>
      <c r="I404" s="1390"/>
      <c r="J404" s="1386" t="s">
        <v>958</v>
      </c>
    </row>
    <row r="405" spans="2:10" ht="18" outlineLevel="1" x14ac:dyDescent="0.25">
      <c r="B405" s="1385" t="s">
        <v>1088</v>
      </c>
      <c r="C405" s="1386" t="s">
        <v>963</v>
      </c>
      <c r="D405" s="1386">
        <v>-132510</v>
      </c>
      <c r="E405" s="1388"/>
      <c r="F405" s="1388"/>
      <c r="G405" s="1386" t="s">
        <v>2993</v>
      </c>
      <c r="H405" s="1390"/>
      <c r="I405" s="1390"/>
      <c r="J405" s="1386" t="s">
        <v>958</v>
      </c>
    </row>
    <row r="406" spans="2:10" ht="18" outlineLevel="1" x14ac:dyDescent="0.25">
      <c r="B406" s="1385" t="s">
        <v>1089</v>
      </c>
      <c r="C406" s="1386" t="s">
        <v>964</v>
      </c>
      <c r="D406" s="1386">
        <v>-119200</v>
      </c>
      <c r="E406" s="1388"/>
      <c r="F406" s="1388"/>
      <c r="G406" s="1386" t="s">
        <v>2993</v>
      </c>
      <c r="H406" s="1390"/>
      <c r="I406" s="1390"/>
      <c r="J406" s="1386" t="s">
        <v>958</v>
      </c>
    </row>
    <row r="407" spans="2:10" ht="18" outlineLevel="1" x14ac:dyDescent="0.25">
      <c r="B407" s="1385" t="s">
        <v>1090</v>
      </c>
      <c r="C407" s="1386" t="s">
        <v>965</v>
      </c>
      <c r="D407" s="1386">
        <v>-106000</v>
      </c>
      <c r="E407" s="1388"/>
      <c r="F407" s="1388"/>
      <c r="G407" s="1386" t="s">
        <v>2993</v>
      </c>
      <c r="H407" s="1390"/>
      <c r="I407" s="1390"/>
      <c r="J407" s="1386" t="s">
        <v>960</v>
      </c>
    </row>
    <row r="408" spans="2:10" ht="18" outlineLevel="1" x14ac:dyDescent="0.25">
      <c r="B408" s="1385" t="s">
        <v>1091</v>
      </c>
      <c r="C408" s="1386" t="s">
        <v>966</v>
      </c>
      <c r="D408" s="1386">
        <v>-205000</v>
      </c>
      <c r="E408" s="1388"/>
      <c r="F408" s="1388"/>
      <c r="G408" s="1386" t="s">
        <v>2993</v>
      </c>
      <c r="H408" s="1390"/>
      <c r="I408" s="1390"/>
      <c r="J408" s="1386" t="s">
        <v>958</v>
      </c>
    </row>
    <row r="409" spans="2:10" ht="18" outlineLevel="1" x14ac:dyDescent="0.25">
      <c r="B409" s="1385" t="s">
        <v>1092</v>
      </c>
      <c r="C409" s="1386" t="s">
        <v>967</v>
      </c>
      <c r="D409" s="1386">
        <v>-699650</v>
      </c>
      <c r="E409" s="1388"/>
      <c r="F409" s="1388"/>
      <c r="G409" s="1386" t="s">
        <v>2993</v>
      </c>
      <c r="H409" s="1390"/>
      <c r="I409" s="1390"/>
      <c r="J409" s="1386" t="s">
        <v>958</v>
      </c>
    </row>
    <row r="410" spans="2:10" ht="18" outlineLevel="1" x14ac:dyDescent="0.25">
      <c r="B410" s="1385" t="s">
        <v>1093</v>
      </c>
      <c r="C410" s="1386" t="s">
        <v>968</v>
      </c>
      <c r="D410" s="1386">
        <v>-691990</v>
      </c>
      <c r="E410" s="1388"/>
      <c r="F410" s="1388"/>
      <c r="G410" s="1386" t="s">
        <v>2993</v>
      </c>
      <c r="H410" s="1390"/>
      <c r="I410" s="1390"/>
      <c r="J410" s="1386" t="s">
        <v>958</v>
      </c>
    </row>
    <row r="411" spans="2:10" ht="18" outlineLevel="1" x14ac:dyDescent="0.25">
      <c r="B411" s="1385" t="s">
        <v>1094</v>
      </c>
      <c r="C411" s="1386" t="s">
        <v>969</v>
      </c>
      <c r="D411" s="1386">
        <v>-677140</v>
      </c>
      <c r="E411" s="1388"/>
      <c r="F411" s="1388"/>
      <c r="G411" s="1386" t="s">
        <v>2993</v>
      </c>
      <c r="H411" s="1390"/>
      <c r="I411" s="1390"/>
      <c r="J411" s="1386" t="s">
        <v>958</v>
      </c>
    </row>
    <row r="412" spans="2:10" ht="18" outlineLevel="1" x14ac:dyDescent="0.25">
      <c r="B412" s="1385" t="s">
        <v>1095</v>
      </c>
      <c r="C412" s="1386" t="s">
        <v>4508</v>
      </c>
      <c r="D412" s="1386">
        <v>-1299144</v>
      </c>
      <c r="E412" s="1388"/>
      <c r="F412" s="1388"/>
      <c r="G412" s="1386" t="s">
        <v>2993</v>
      </c>
      <c r="H412" s="1390"/>
      <c r="I412" s="1390"/>
      <c r="J412" s="1386" t="s">
        <v>970</v>
      </c>
    </row>
    <row r="413" spans="2:10" ht="18" outlineLevel="1" x14ac:dyDescent="0.25">
      <c r="B413" s="1385" t="s">
        <v>1096</v>
      </c>
      <c r="C413" s="1386" t="s">
        <v>971</v>
      </c>
      <c r="D413" s="1386">
        <v>1296000</v>
      </c>
      <c r="E413" s="1388"/>
      <c r="F413" s="1388"/>
      <c r="G413" s="1386" t="s">
        <v>2993</v>
      </c>
      <c r="H413" s="1390"/>
      <c r="I413" s="1390"/>
      <c r="J413" s="1386" t="s">
        <v>972</v>
      </c>
    </row>
    <row r="414" spans="2:10" ht="18" outlineLevel="1" x14ac:dyDescent="0.25">
      <c r="B414" s="1385" t="s">
        <v>1097</v>
      </c>
      <c r="C414" s="1386" t="s">
        <v>973</v>
      </c>
      <c r="D414" s="1386">
        <v>-1292000</v>
      </c>
      <c r="E414" s="1388"/>
      <c r="F414" s="1388"/>
      <c r="G414" s="1386" t="s">
        <v>2993</v>
      </c>
      <c r="H414" s="1390"/>
      <c r="I414" s="1390"/>
      <c r="J414" s="1386" t="s">
        <v>972</v>
      </c>
    </row>
    <row r="415" spans="2:10" ht="18" outlineLevel="1" x14ac:dyDescent="0.25">
      <c r="B415" s="1385" t="s">
        <v>1098</v>
      </c>
      <c r="C415" s="1386" t="s">
        <v>974</v>
      </c>
      <c r="D415" s="1386">
        <v>-1277400</v>
      </c>
      <c r="E415" s="1388"/>
      <c r="F415" s="1388"/>
      <c r="G415" s="1386" t="s">
        <v>2993</v>
      </c>
      <c r="H415" s="1390"/>
      <c r="I415" s="1390"/>
      <c r="J415" s="1386" t="s">
        <v>958</v>
      </c>
    </row>
    <row r="416" spans="2:10" ht="18" outlineLevel="1" x14ac:dyDescent="0.25">
      <c r="B416" s="1385" t="s">
        <v>1099</v>
      </c>
      <c r="C416" s="1386" t="s">
        <v>975</v>
      </c>
      <c r="D416" s="1386">
        <v>-488453</v>
      </c>
      <c r="E416" s="1388"/>
      <c r="F416" s="1388"/>
      <c r="G416" s="1386" t="s">
        <v>2993</v>
      </c>
      <c r="H416" s="1390"/>
      <c r="I416" s="1390"/>
      <c r="J416" s="1386" t="s">
        <v>960</v>
      </c>
    </row>
    <row r="417" spans="2:10" ht="18" outlineLevel="1" x14ac:dyDescent="0.25">
      <c r="B417" s="1385" t="s">
        <v>1100</v>
      </c>
      <c r="C417" s="1386" t="s">
        <v>976</v>
      </c>
      <c r="D417" s="1386">
        <v>-488871</v>
      </c>
      <c r="E417" s="1388"/>
      <c r="F417" s="1388"/>
      <c r="G417" s="1386" t="s">
        <v>2993</v>
      </c>
      <c r="H417" s="1390"/>
      <c r="I417" s="1390"/>
      <c r="J417" s="1386" t="s">
        <v>960</v>
      </c>
    </row>
    <row r="418" spans="2:10" ht="18" outlineLevel="1" x14ac:dyDescent="0.25">
      <c r="B418" s="1385" t="s">
        <v>1345</v>
      </c>
      <c r="C418" s="1386" t="s">
        <v>1271</v>
      </c>
      <c r="D418" s="1386">
        <v>-39000</v>
      </c>
      <c r="E418" s="1388"/>
      <c r="F418" s="1388"/>
      <c r="G418" s="1386" t="s">
        <v>2993</v>
      </c>
      <c r="H418" s="1390"/>
      <c r="I418" s="1390"/>
      <c r="J418" s="1386" t="s">
        <v>960</v>
      </c>
    </row>
    <row r="419" spans="2:10" ht="18" outlineLevel="1" x14ac:dyDescent="0.25">
      <c r="B419" s="1385" t="s">
        <v>1346</v>
      </c>
      <c r="C419" s="1386" t="s">
        <v>1272</v>
      </c>
      <c r="D419" s="1386">
        <v>-17000</v>
      </c>
      <c r="E419" s="1388"/>
      <c r="F419" s="1388"/>
      <c r="G419" s="1386" t="s">
        <v>2993</v>
      </c>
      <c r="H419" s="1390"/>
      <c r="I419" s="1390"/>
      <c r="J419" s="1386" t="s">
        <v>1273</v>
      </c>
    </row>
    <row r="420" spans="2:10" ht="18" outlineLevel="1" x14ac:dyDescent="0.25">
      <c r="B420" s="1385" t="s">
        <v>1347</v>
      </c>
      <c r="C420" s="1386" t="s">
        <v>1274</v>
      </c>
      <c r="D420" s="1386">
        <v>33000</v>
      </c>
      <c r="E420" s="1388"/>
      <c r="F420" s="1388"/>
      <c r="G420" s="1386" t="s">
        <v>2993</v>
      </c>
      <c r="H420" s="1390"/>
      <c r="I420" s="1390"/>
      <c r="J420" s="1386" t="s">
        <v>960</v>
      </c>
    </row>
    <row r="421" spans="2:10" ht="18" outlineLevel="1" x14ac:dyDescent="0.25">
      <c r="B421" s="1385" t="s">
        <v>1348</v>
      </c>
      <c r="C421" s="1386" t="s">
        <v>1275</v>
      </c>
      <c r="D421" s="1386">
        <v>-909000</v>
      </c>
      <c r="E421" s="1388"/>
      <c r="F421" s="1388"/>
      <c r="G421" s="1386" t="s">
        <v>2993</v>
      </c>
      <c r="H421" s="1390"/>
      <c r="I421" s="1390"/>
      <c r="J421" s="1386" t="s">
        <v>972</v>
      </c>
    </row>
    <row r="422" spans="2:10" ht="18" outlineLevel="1" x14ac:dyDescent="0.25">
      <c r="B422" s="1385" t="s">
        <v>1349</v>
      </c>
      <c r="C422" s="1386" t="s">
        <v>1276</v>
      </c>
      <c r="D422" s="1386">
        <v>-887000</v>
      </c>
      <c r="E422" s="1388"/>
      <c r="F422" s="1388"/>
      <c r="G422" s="1386" t="s">
        <v>2993</v>
      </c>
      <c r="H422" s="1390"/>
      <c r="I422" s="1390"/>
      <c r="J422" s="1386" t="s">
        <v>1277</v>
      </c>
    </row>
    <row r="423" spans="2:10" ht="18" outlineLevel="1" x14ac:dyDescent="0.25">
      <c r="B423" s="1385" t="s">
        <v>1350</v>
      </c>
      <c r="C423" s="1386" t="s">
        <v>1278</v>
      </c>
      <c r="D423" s="1386">
        <v>-909000</v>
      </c>
      <c r="E423" s="1388"/>
      <c r="F423" s="1388"/>
      <c r="G423" s="1386" t="s">
        <v>2993</v>
      </c>
      <c r="H423" s="1390"/>
      <c r="I423" s="1390"/>
      <c r="J423" s="1386" t="s">
        <v>972</v>
      </c>
    </row>
    <row r="424" spans="2:10" ht="18" outlineLevel="1" x14ac:dyDescent="0.25">
      <c r="B424" s="1385" t="s">
        <v>1307</v>
      </c>
      <c r="C424" s="1386" t="s">
        <v>1308</v>
      </c>
      <c r="D424" s="1386">
        <v>-542960</v>
      </c>
      <c r="E424" s="1388"/>
      <c r="F424" s="1388"/>
      <c r="G424" s="1386" t="s">
        <v>2993</v>
      </c>
      <c r="H424" s="1390"/>
      <c r="I424" s="1390"/>
      <c r="J424" s="1386" t="s">
        <v>960</v>
      </c>
    </row>
    <row r="425" spans="2:10" ht="18" outlineLevel="1" x14ac:dyDescent="0.25">
      <c r="B425" s="1385" t="s">
        <v>1309</v>
      </c>
      <c r="C425" s="1386" t="s">
        <v>3379</v>
      </c>
      <c r="D425" s="1386">
        <v>-461960</v>
      </c>
      <c r="E425" s="1388"/>
      <c r="F425" s="1388"/>
      <c r="G425" s="1386" t="s">
        <v>2993</v>
      </c>
      <c r="H425" s="1390"/>
      <c r="I425" s="1390"/>
      <c r="J425" s="1386" t="s">
        <v>960</v>
      </c>
    </row>
    <row r="426" spans="2:10" ht="18" outlineLevel="1" x14ac:dyDescent="0.25">
      <c r="B426" s="1385" t="s">
        <v>1310</v>
      </c>
      <c r="C426" s="1386" t="s">
        <v>1311</v>
      </c>
      <c r="D426" s="1386">
        <v>-239660</v>
      </c>
      <c r="E426" s="1388"/>
      <c r="F426" s="1388"/>
      <c r="G426" s="1386" t="s">
        <v>2993</v>
      </c>
      <c r="H426" s="1390"/>
      <c r="I426" s="1390"/>
      <c r="J426" s="1386" t="s">
        <v>960</v>
      </c>
    </row>
    <row r="428" spans="2:10" ht="15.75" thickBot="1" x14ac:dyDescent="0.3">
      <c r="C428" s="1426" t="s">
        <v>977</v>
      </c>
    </row>
    <row r="429" spans="2:10" ht="15.75" thickBot="1" x14ac:dyDescent="0.3">
      <c r="B429" s="1427" t="s">
        <v>0</v>
      </c>
      <c r="C429" s="1428" t="s">
        <v>1</v>
      </c>
      <c r="D429" s="1429" t="s">
        <v>152</v>
      </c>
      <c r="E429" s="1429" t="s">
        <v>471</v>
      </c>
      <c r="F429" s="1429" t="s">
        <v>472</v>
      </c>
      <c r="G429" s="1429" t="s">
        <v>2</v>
      </c>
      <c r="H429" s="1429" t="s">
        <v>300</v>
      </c>
      <c r="I429" s="1429" t="s">
        <v>116</v>
      </c>
      <c r="J429" s="1430" t="s">
        <v>117</v>
      </c>
    </row>
    <row r="430" spans="2:10" ht="18" x14ac:dyDescent="0.25">
      <c r="B430" s="1385" t="s">
        <v>978</v>
      </c>
      <c r="C430" s="1386" t="s">
        <v>979</v>
      </c>
      <c r="D430" s="1386">
        <v>-286933.08</v>
      </c>
      <c r="E430" s="1388"/>
      <c r="F430" s="1388"/>
      <c r="G430" s="1386" t="s">
        <v>2993</v>
      </c>
      <c r="H430" s="1390"/>
      <c r="I430" s="1390"/>
      <c r="J430" s="1386" t="s">
        <v>980</v>
      </c>
    </row>
    <row r="432" spans="2:10" ht="15.75" thickBot="1" x14ac:dyDescent="0.3">
      <c r="C432" s="1426" t="s">
        <v>2023</v>
      </c>
    </row>
    <row r="433" spans="2:12" ht="15.75" thickBot="1" x14ac:dyDescent="0.3">
      <c r="B433" s="1427" t="s">
        <v>0</v>
      </c>
      <c r="C433" s="1428" t="s">
        <v>1</v>
      </c>
      <c r="D433" s="1429" t="s">
        <v>152</v>
      </c>
      <c r="E433" s="1429" t="s">
        <v>471</v>
      </c>
      <c r="F433" s="1429" t="s">
        <v>472</v>
      </c>
      <c r="G433" s="1429" t="s">
        <v>2</v>
      </c>
      <c r="H433" s="1429" t="s">
        <v>300</v>
      </c>
      <c r="I433" s="1429" t="s">
        <v>116</v>
      </c>
      <c r="J433" s="1430" t="s">
        <v>117</v>
      </c>
      <c r="L433" s="1389" t="s">
        <v>2024</v>
      </c>
    </row>
    <row r="434" spans="2:12" ht="18" outlineLevel="1" x14ac:dyDescent="0.25">
      <c r="B434" s="1385" t="s">
        <v>2025</v>
      </c>
      <c r="C434" s="1386" t="s">
        <v>2026</v>
      </c>
      <c r="D434" s="1386">
        <v>58032.160000000098</v>
      </c>
      <c r="E434" s="1388"/>
      <c r="F434" s="1388"/>
      <c r="G434" s="1386" t="s">
        <v>2993</v>
      </c>
      <c r="H434" s="1390">
        <v>1</v>
      </c>
      <c r="I434" s="1390"/>
      <c r="J434" s="1386" t="s">
        <v>2027</v>
      </c>
      <c r="L434" s="1389">
        <f>(H_OHm+H_H3Op) - 2*H_H2O</f>
        <v>58032.160000000033</v>
      </c>
    </row>
    <row r="435" spans="2:12" ht="18" outlineLevel="1" x14ac:dyDescent="0.25">
      <c r="B435" s="1385" t="s">
        <v>2028</v>
      </c>
      <c r="C435" s="1386" t="s">
        <v>2029</v>
      </c>
      <c r="D435" s="1386">
        <v>5349.0800000000099</v>
      </c>
      <c r="E435" s="1388"/>
      <c r="F435" s="1388"/>
      <c r="G435" s="1386" t="s">
        <v>2993</v>
      </c>
      <c r="H435" s="1390">
        <v>1</v>
      </c>
      <c r="I435" s="1390"/>
      <c r="J435" s="1386" t="s">
        <v>2378</v>
      </c>
      <c r="L435" s="1389">
        <f>(H_NH4p + H_OHm) - (H_NH3 + H_H2O)</f>
        <v>5349.0800000000163</v>
      </c>
    </row>
    <row r="436" spans="2:12" ht="18" outlineLevel="1" x14ac:dyDescent="0.25">
      <c r="B436" s="1385" t="s">
        <v>2379</v>
      </c>
      <c r="C436" s="1386" t="s">
        <v>2380</v>
      </c>
      <c r="D436" s="1386">
        <v>14293.080000000031</v>
      </c>
      <c r="E436" s="1388"/>
      <c r="F436" s="1388"/>
      <c r="G436" s="1386" t="s">
        <v>2993</v>
      </c>
      <c r="H436" s="1390">
        <v>1</v>
      </c>
      <c r="I436" s="1390"/>
      <c r="J436" s="1386" t="s">
        <v>2381</v>
      </c>
      <c r="L436" s="1389">
        <f>(H_H3Op+H_NO2m)-(H_HNO2+H_H2O)</f>
        <v>14293.080000000016</v>
      </c>
    </row>
    <row r="437" spans="2:12" ht="18" outlineLevel="1" x14ac:dyDescent="0.25">
      <c r="B437" s="1385" t="s">
        <v>2030</v>
      </c>
      <c r="C437" s="1386" t="s">
        <v>2031</v>
      </c>
      <c r="D437" s="1386">
        <v>8753.0800000000672</v>
      </c>
      <c r="E437" s="1388"/>
      <c r="F437" s="1388"/>
      <c r="G437" s="1386" t="s">
        <v>2993</v>
      </c>
      <c r="H437" s="1390">
        <v>1</v>
      </c>
      <c r="I437" s="1390"/>
      <c r="J437" s="1386" t="s">
        <v>2032</v>
      </c>
      <c r="L437" s="1389">
        <f>(H_HCO3m + H_H3Op) - (H_H2CO3 + H_H2O)</f>
        <v>8753.0800000000745</v>
      </c>
    </row>
    <row r="438" spans="2:12" ht="18" outlineLevel="1" x14ac:dyDescent="0.25">
      <c r="B438" s="1385" t="s">
        <v>2033</v>
      </c>
      <c r="C438" s="1386" t="s">
        <v>2034</v>
      </c>
      <c r="D438" s="1386">
        <v>15943.080000000009</v>
      </c>
      <c r="E438" s="1388"/>
      <c r="F438" s="1388"/>
      <c r="G438" s="1386" t="s">
        <v>2993</v>
      </c>
      <c r="H438" s="1390">
        <v>1</v>
      </c>
      <c r="I438" s="1390"/>
      <c r="J438" s="1386" t="s">
        <v>2035</v>
      </c>
      <c r="L438" s="1389">
        <f>(H_H3Op + H_CO32m) - (H_HCO3m + H_H2O)</f>
        <v>15943.080000000075</v>
      </c>
    </row>
    <row r="439" spans="2:12" ht="18" outlineLevel="1" x14ac:dyDescent="0.25">
      <c r="B439" s="1385" t="s">
        <v>2036</v>
      </c>
      <c r="C439" s="1386" t="s">
        <v>2037</v>
      </c>
      <c r="D439" s="1386">
        <v>2596237.08</v>
      </c>
      <c r="E439" s="1388"/>
      <c r="F439" s="1388"/>
      <c r="G439" s="1386" t="s">
        <v>2993</v>
      </c>
      <c r="H439" s="1390">
        <v>1</v>
      </c>
      <c r="I439" s="1390"/>
      <c r="J439" s="1386" t="s">
        <v>2038</v>
      </c>
      <c r="L439" s="1389">
        <f>(H_H3Op + H_H2PO4m) - (H_H3PO4 + H_H2O)</f>
        <v>2596237.08</v>
      </c>
    </row>
    <row r="440" spans="2:12" ht="18" outlineLevel="1" x14ac:dyDescent="0.25">
      <c r="B440" s="1385" t="s">
        <v>2039</v>
      </c>
      <c r="C440" s="1386" t="s">
        <v>2040</v>
      </c>
      <c r="D440" s="1386">
        <v>-2586906.92</v>
      </c>
      <c r="E440" s="1388"/>
      <c r="F440" s="1388"/>
      <c r="G440" s="1386" t="s">
        <v>2993</v>
      </c>
      <c r="H440" s="1390">
        <v>1</v>
      </c>
      <c r="I440" s="1390"/>
      <c r="J440" s="1386" t="s">
        <v>2041</v>
      </c>
      <c r="L440" s="1389">
        <f>(H_H3Op + H_HPO42m) - (H_H2PO4m + H_H2O)</f>
        <v>-2586906.92</v>
      </c>
    </row>
    <row r="441" spans="2:12" ht="18" outlineLevel="1" x14ac:dyDescent="0.25">
      <c r="B441" s="1385" t="s">
        <v>2042</v>
      </c>
      <c r="C441" s="1386" t="s">
        <v>2043</v>
      </c>
      <c r="D441" s="1386">
        <v>15693.080000000009</v>
      </c>
      <c r="E441" s="1388"/>
      <c r="F441" s="1388"/>
      <c r="G441" s="1386" t="s">
        <v>2993</v>
      </c>
      <c r="H441" s="1390">
        <v>1</v>
      </c>
      <c r="I441" s="1390"/>
      <c r="J441" s="1386" t="s">
        <v>2044</v>
      </c>
      <c r="L441" s="1389">
        <f>(H_H3Op + H_PO43m) - (H_HPO42m + H_H2O)</f>
        <v>15693.080000000075</v>
      </c>
    </row>
    <row r="442" spans="2:12" ht="18" outlineLevel="1" x14ac:dyDescent="0.25">
      <c r="B442" s="1385" t="s">
        <v>2045</v>
      </c>
      <c r="C442" s="1386" t="s">
        <v>2046</v>
      </c>
      <c r="D442" s="1386">
        <v>675.07999999997992</v>
      </c>
      <c r="E442" s="1388"/>
      <c r="F442" s="1388"/>
      <c r="G442" s="1386" t="s">
        <v>2993</v>
      </c>
      <c r="H442" s="1390">
        <v>1</v>
      </c>
      <c r="I442" s="1390"/>
      <c r="J442" s="1386" t="s">
        <v>2047</v>
      </c>
      <c r="L442" s="1389">
        <f>(H_H3Op + H_Acm) - (H_HAc + H_H2O)</f>
        <v>675.08000000007451</v>
      </c>
    </row>
    <row r="443" spans="2:12" ht="18" outlineLevel="1" x14ac:dyDescent="0.25">
      <c r="B443" s="1444" t="s">
        <v>4509</v>
      </c>
      <c r="C443" s="1444" t="s">
        <v>4510</v>
      </c>
      <c r="D443" s="1444">
        <v>660</v>
      </c>
      <c r="E443" s="1445"/>
      <c r="F443" s="1444"/>
      <c r="G443" s="1446" t="s">
        <v>2993</v>
      </c>
      <c r="H443" s="1447">
        <v>1</v>
      </c>
      <c r="I443" s="1444"/>
      <c r="J443" s="1444" t="s">
        <v>4511</v>
      </c>
    </row>
    <row r="444" spans="2:12" ht="18" outlineLevel="1" x14ac:dyDescent="0.25">
      <c r="B444" s="1444" t="s">
        <v>4512</v>
      </c>
      <c r="C444" s="1444" t="s">
        <v>4513</v>
      </c>
      <c r="D444" s="1444">
        <v>2800</v>
      </c>
      <c r="E444" s="1445"/>
      <c r="F444" s="1444"/>
      <c r="G444" s="1446" t="s">
        <v>2993</v>
      </c>
      <c r="H444" s="1447">
        <v>1</v>
      </c>
      <c r="I444" s="1444"/>
      <c r="J444" s="1444" t="s">
        <v>4511</v>
      </c>
    </row>
    <row r="445" spans="2:12" ht="18" outlineLevel="1" x14ac:dyDescent="0.25">
      <c r="B445" s="1444" t="s">
        <v>4514</v>
      </c>
      <c r="C445" s="1444" t="s">
        <v>4515</v>
      </c>
      <c r="D445" s="1444">
        <v>2887</v>
      </c>
      <c r="E445" s="1445"/>
      <c r="F445" s="1444"/>
      <c r="G445" s="1446" t="s">
        <v>2993</v>
      </c>
      <c r="H445" s="1447">
        <v>1</v>
      </c>
      <c r="I445" s="1444"/>
      <c r="J445" s="1444" t="s">
        <v>4511</v>
      </c>
    </row>
    <row r="446" spans="2:12" ht="18" outlineLevel="1" x14ac:dyDescent="0.25">
      <c r="B446" s="1385" t="s">
        <v>2048</v>
      </c>
      <c r="C446" s="1386" t="s">
        <v>2049</v>
      </c>
      <c r="D446" s="1386">
        <v>23093.080000000042</v>
      </c>
      <c r="E446" s="1388"/>
      <c r="F446" s="1388"/>
      <c r="G446" s="1386" t="s">
        <v>2993</v>
      </c>
      <c r="H446" s="1390">
        <v>1</v>
      </c>
      <c r="I446" s="1390"/>
      <c r="J446" s="1386" t="s">
        <v>2050</v>
      </c>
      <c r="L446" s="1389">
        <f>(H_HSm+H_H3Op)-(H_H2S+H_H2O)</f>
        <v>23093.080000000016</v>
      </c>
    </row>
    <row r="447" spans="2:12" ht="18" outlineLevel="1" x14ac:dyDescent="0.25">
      <c r="B447" s="1385" t="s">
        <v>2051</v>
      </c>
      <c r="C447" s="1386" t="s">
        <v>2052</v>
      </c>
      <c r="D447" s="1386">
        <v>51093.080000000045</v>
      </c>
      <c r="E447" s="1388"/>
      <c r="F447" s="1388"/>
      <c r="G447" s="1386" t="s">
        <v>2993</v>
      </c>
      <c r="H447" s="1390">
        <v>1</v>
      </c>
      <c r="I447" s="1390"/>
      <c r="J447" s="1386" t="s">
        <v>2053</v>
      </c>
      <c r="L447" s="1389">
        <f>(H_H3Op+H_S2m)-(H_HSm+H_H2O)</f>
        <v>51093.080000000016</v>
      </c>
    </row>
    <row r="448" spans="2:12" ht="18" outlineLevel="1" x14ac:dyDescent="0.25">
      <c r="B448" s="1385" t="s">
        <v>2054</v>
      </c>
      <c r="C448" s="1386" t="s">
        <v>2055</v>
      </c>
      <c r="D448" s="1386">
        <v>23093.0800000001</v>
      </c>
      <c r="E448" s="1388"/>
      <c r="F448" s="1388"/>
      <c r="G448" s="1386" t="s">
        <v>2993</v>
      </c>
      <c r="H448" s="1390">
        <v>1</v>
      </c>
      <c r="I448" s="1390"/>
      <c r="J448" s="1386" t="s">
        <v>2056</v>
      </c>
      <c r="L448" s="1389">
        <f>(H_HSO4m+H_H3Op)-(H_H2SO4+H_H2O)</f>
        <v>23093.080000000075</v>
      </c>
    </row>
    <row r="449" spans="2:12" ht="18" outlineLevel="1" x14ac:dyDescent="0.25">
      <c r="B449" s="1385" t="s">
        <v>2057</v>
      </c>
      <c r="C449" s="1386" t="s">
        <v>2058</v>
      </c>
      <c r="D449" s="1386">
        <v>-20906.9199999999</v>
      </c>
      <c r="E449" s="1388"/>
      <c r="F449" s="1388"/>
      <c r="G449" s="1386" t="s">
        <v>2993</v>
      </c>
      <c r="H449" s="1390">
        <v>1</v>
      </c>
      <c r="I449" s="1390"/>
      <c r="J449" s="1386" t="s">
        <v>2059</v>
      </c>
      <c r="L449" s="1389">
        <f>(H_H3Op+H_SO42m)-(H_HSO4m+H_H2O)</f>
        <v>-20906.919999999925</v>
      </c>
    </row>
    <row r="450" spans="2:12" ht="18" outlineLevel="1" x14ac:dyDescent="0.25">
      <c r="B450" s="1385" t="s">
        <v>2060</v>
      </c>
      <c r="C450" s="1386" t="s">
        <v>2061</v>
      </c>
      <c r="D450" s="1386">
        <v>64110</v>
      </c>
      <c r="E450" s="1388"/>
      <c r="F450" s="1388"/>
      <c r="G450" s="1386" t="s">
        <v>2993</v>
      </c>
      <c r="H450" s="1390">
        <v>1</v>
      </c>
      <c r="I450" s="1390"/>
      <c r="J450" s="1386"/>
    </row>
    <row r="451" spans="2:12" ht="18" outlineLevel="1" x14ac:dyDescent="0.25">
      <c r="B451" s="1385" t="s">
        <v>2062</v>
      </c>
      <c r="C451" s="1386" t="s">
        <v>2063</v>
      </c>
      <c r="D451" s="1386">
        <v>16000</v>
      </c>
      <c r="E451" s="1388"/>
      <c r="F451" s="1388"/>
      <c r="G451" s="1386" t="s">
        <v>2993</v>
      </c>
      <c r="H451" s="1390">
        <v>1</v>
      </c>
      <c r="I451" s="1390"/>
      <c r="J451" s="1386"/>
    </row>
    <row r="452" spans="2:12" ht="18" outlineLevel="1" x14ac:dyDescent="0.25">
      <c r="B452" s="1385" t="s">
        <v>2064</v>
      </c>
      <c r="C452" s="1386" t="s">
        <v>2065</v>
      </c>
      <c r="D452" s="1386">
        <v>5400</v>
      </c>
      <c r="E452" s="1388"/>
      <c r="F452" s="1388"/>
      <c r="G452" s="1386" t="s">
        <v>2993</v>
      </c>
      <c r="H452" s="1390">
        <v>1</v>
      </c>
      <c r="I452" s="1390"/>
      <c r="J452" s="1386"/>
    </row>
    <row r="453" spans="2:12" ht="18" outlineLevel="1" x14ac:dyDescent="0.25">
      <c r="B453" s="1385" t="s">
        <v>2066</v>
      </c>
      <c r="C453" s="1386" t="s">
        <v>2067</v>
      </c>
      <c r="D453" s="1386">
        <v>12970.4</v>
      </c>
      <c r="E453" s="1388"/>
      <c r="F453" s="1388"/>
      <c r="G453" s="1386" t="s">
        <v>2993</v>
      </c>
      <c r="H453" s="1390">
        <v>1</v>
      </c>
      <c r="I453" s="1390"/>
      <c r="J453" s="1386"/>
    </row>
    <row r="454" spans="2:12" ht="18" outlineLevel="1" x14ac:dyDescent="0.25">
      <c r="B454" s="1385" t="s">
        <v>2068</v>
      </c>
      <c r="C454" s="1386" t="s">
        <v>2069</v>
      </c>
      <c r="D454" s="1386">
        <v>-3000</v>
      </c>
      <c r="E454" s="1388"/>
      <c r="F454" s="1388"/>
      <c r="G454" s="1386" t="s">
        <v>2993</v>
      </c>
      <c r="H454" s="1390">
        <v>1</v>
      </c>
      <c r="I454" s="1390"/>
      <c r="J454" s="1386"/>
    </row>
    <row r="455" spans="2:12" ht="18" outlineLevel="1" x14ac:dyDescent="0.25">
      <c r="B455" s="1385" t="s">
        <v>2070</v>
      </c>
      <c r="C455" s="1386" t="s">
        <v>2071</v>
      </c>
      <c r="D455" s="1386">
        <v>-6000</v>
      </c>
      <c r="E455" s="1388"/>
      <c r="F455" s="1388"/>
      <c r="G455" s="1386" t="s">
        <v>2993</v>
      </c>
      <c r="H455" s="1390">
        <v>1</v>
      </c>
      <c r="I455" s="1390"/>
      <c r="J455" s="1386"/>
    </row>
    <row r="456" spans="2:12" ht="18" outlineLevel="1" x14ac:dyDescent="0.25">
      <c r="B456" s="1385" t="s">
        <v>2072</v>
      </c>
      <c r="C456" s="1386" t="s">
        <v>2073</v>
      </c>
      <c r="D456" s="1386">
        <v>67810</v>
      </c>
      <c r="E456" s="1388"/>
      <c r="F456" s="1388"/>
      <c r="G456" s="1386" t="s">
        <v>2993</v>
      </c>
      <c r="H456" s="1390">
        <v>1</v>
      </c>
      <c r="I456" s="1390"/>
      <c r="J456" s="1386"/>
    </row>
    <row r="457" spans="2:12" ht="18" outlineLevel="1" x14ac:dyDescent="0.25">
      <c r="B457" s="1385" t="s">
        <v>2074</v>
      </c>
      <c r="C457" s="1386" t="s">
        <v>2075</v>
      </c>
      <c r="D457" s="1386">
        <v>12000</v>
      </c>
      <c r="E457" s="1388"/>
      <c r="F457" s="1388"/>
      <c r="G457" s="1386" t="s">
        <v>2993</v>
      </c>
      <c r="H457" s="1390">
        <v>1</v>
      </c>
      <c r="I457" s="1390"/>
      <c r="J457" s="1386"/>
    </row>
    <row r="458" spans="2:12" ht="18" outlineLevel="1" x14ac:dyDescent="0.25">
      <c r="B458" s="1385" t="s">
        <v>2076</v>
      </c>
      <c r="C458" s="1386" t="s">
        <v>2077</v>
      </c>
      <c r="D458" s="1386">
        <v>-10600</v>
      </c>
      <c r="E458" s="1388"/>
      <c r="F458" s="1388"/>
      <c r="G458" s="1386" t="s">
        <v>2993</v>
      </c>
      <c r="H458" s="1390">
        <v>1</v>
      </c>
      <c r="I458" s="1390"/>
      <c r="J458" s="1386"/>
    </row>
    <row r="459" spans="2:12" ht="18" outlineLevel="1" x14ac:dyDescent="0.25">
      <c r="B459" s="1385" t="s">
        <v>2078</v>
      </c>
      <c r="C459" s="1386" t="s">
        <v>2079</v>
      </c>
      <c r="D459" s="1386">
        <v>-3000</v>
      </c>
      <c r="E459" s="1388"/>
      <c r="F459" s="1388"/>
      <c r="G459" s="1386" t="s">
        <v>2993</v>
      </c>
      <c r="H459" s="1390">
        <v>1</v>
      </c>
      <c r="I459" s="1390"/>
      <c r="J459" s="1386"/>
    </row>
    <row r="460" spans="2:12" ht="18" outlineLevel="1" x14ac:dyDescent="0.25">
      <c r="B460" s="1385" t="s">
        <v>2080</v>
      </c>
      <c r="C460" s="1386" t="s">
        <v>2081</v>
      </c>
      <c r="D460" s="1386">
        <v>12970.4</v>
      </c>
      <c r="E460" s="1388"/>
      <c r="F460" s="1388"/>
      <c r="G460" s="1386" t="s">
        <v>2993</v>
      </c>
      <c r="H460" s="1390">
        <v>1</v>
      </c>
      <c r="I460" s="1390"/>
      <c r="J460" s="1386"/>
    </row>
    <row r="461" spans="2:12" ht="18" outlineLevel="1" x14ac:dyDescent="0.25">
      <c r="B461" s="1385" t="s">
        <v>2082</v>
      </c>
      <c r="C461" s="1386" t="s">
        <v>2083</v>
      </c>
      <c r="D461" s="1386">
        <v>21256.1</v>
      </c>
      <c r="E461" s="1388"/>
      <c r="F461" s="1388"/>
      <c r="G461" s="1386" t="s">
        <v>2993</v>
      </c>
      <c r="H461" s="1390">
        <v>1</v>
      </c>
      <c r="I461" s="1390"/>
      <c r="J461" s="1386"/>
    </row>
    <row r="462" spans="2:12" ht="18" outlineLevel="1" x14ac:dyDescent="0.25">
      <c r="B462" s="1385" t="s">
        <v>2084</v>
      </c>
      <c r="C462" s="1386" t="s">
        <v>2085</v>
      </c>
      <c r="D462" s="1386">
        <v>0</v>
      </c>
      <c r="E462" s="1388"/>
      <c r="F462" s="1388"/>
      <c r="G462" s="1386" t="s">
        <v>2993</v>
      </c>
      <c r="H462" s="1390">
        <v>1</v>
      </c>
      <c r="I462" s="1390"/>
      <c r="J462" s="1386"/>
    </row>
    <row r="464" spans="2:12" ht="15.75" thickBot="1" x14ac:dyDescent="0.3">
      <c r="C464" s="1426" t="s">
        <v>3380</v>
      </c>
    </row>
    <row r="465" spans="2:12" ht="15.75" thickBot="1" x14ac:dyDescent="0.3">
      <c r="B465" s="1427" t="s">
        <v>0</v>
      </c>
      <c r="C465" s="1428" t="s">
        <v>1</v>
      </c>
      <c r="D465" s="1429" t="s">
        <v>152</v>
      </c>
      <c r="E465" s="1429" t="s">
        <v>471</v>
      </c>
      <c r="F465" s="1429" t="s">
        <v>472</v>
      </c>
      <c r="G465" s="1429" t="s">
        <v>2</v>
      </c>
      <c r="H465" s="1429" t="s">
        <v>300</v>
      </c>
      <c r="I465" s="1429" t="s">
        <v>116</v>
      </c>
      <c r="J465" s="1430" t="s">
        <v>117</v>
      </c>
      <c r="L465" s="1389" t="s">
        <v>2024</v>
      </c>
    </row>
    <row r="466" spans="2:12" ht="18" outlineLevel="1" x14ac:dyDescent="0.25">
      <c r="B466" s="1385" t="s">
        <v>3156</v>
      </c>
      <c r="C466" s="1386" t="s">
        <v>2994</v>
      </c>
      <c r="D466" s="1386">
        <v>2.5000000000000001E-5</v>
      </c>
      <c r="E466" s="1388" t="s">
        <v>1215</v>
      </c>
      <c r="F466" s="1388" t="s">
        <v>1252</v>
      </c>
      <c r="G466" s="1386" t="s">
        <v>3157</v>
      </c>
      <c r="H466" s="1390">
        <v>2</v>
      </c>
      <c r="I466" s="1390"/>
      <c r="J466" s="1386" t="s">
        <v>2995</v>
      </c>
    </row>
    <row r="467" spans="2:12" ht="18" outlineLevel="1" x14ac:dyDescent="0.25">
      <c r="B467" s="1385" t="s">
        <v>3158</v>
      </c>
      <c r="C467" s="1386" t="s">
        <v>2994</v>
      </c>
      <c r="D467" s="1386">
        <v>2.5000000000000001E-5</v>
      </c>
      <c r="E467" s="1388" t="s">
        <v>1215</v>
      </c>
      <c r="F467" s="1388" t="s">
        <v>1252</v>
      </c>
      <c r="G467" s="1386" t="s">
        <v>3157</v>
      </c>
      <c r="H467" s="1390">
        <v>2</v>
      </c>
      <c r="I467" s="1390"/>
      <c r="J467" s="1386" t="s">
        <v>2995</v>
      </c>
    </row>
    <row r="468" spans="2:12" ht="18" outlineLevel="1" x14ac:dyDescent="0.25">
      <c r="B468" s="1385" t="s">
        <v>3159</v>
      </c>
      <c r="C468" s="1386" t="s">
        <v>2994</v>
      </c>
      <c r="D468" s="1386">
        <v>2.5000000000000001E-5</v>
      </c>
      <c r="E468" s="1388" t="s">
        <v>1215</v>
      </c>
      <c r="F468" s="1388" t="s">
        <v>1252</v>
      </c>
      <c r="G468" s="1386" t="s">
        <v>3157</v>
      </c>
      <c r="H468" s="1390">
        <v>2</v>
      </c>
      <c r="I468" s="1390"/>
      <c r="J468" s="1386" t="s">
        <v>2995</v>
      </c>
    </row>
    <row r="469" spans="2:12" ht="18" outlineLevel="1" x14ac:dyDescent="0.25">
      <c r="B469" s="1385" t="s">
        <v>3160</v>
      </c>
      <c r="C469" s="1386" t="s">
        <v>2996</v>
      </c>
      <c r="D469" s="1386">
        <v>1.24E-5</v>
      </c>
      <c r="E469" s="1388" t="s">
        <v>1215</v>
      </c>
      <c r="F469" s="1388" t="s">
        <v>1252</v>
      </c>
      <c r="G469" s="1386" t="s">
        <v>3157</v>
      </c>
      <c r="H469" s="1390">
        <v>2</v>
      </c>
      <c r="I469" s="1390"/>
      <c r="J469" s="1386" t="s">
        <v>2995</v>
      </c>
    </row>
    <row r="470" spans="2:12" ht="18" outlineLevel="1" x14ac:dyDescent="0.25">
      <c r="B470" s="1385" t="s">
        <v>3161</v>
      </c>
      <c r="C470" s="1386" t="s">
        <v>2997</v>
      </c>
      <c r="D470" s="1386">
        <v>1.24E-5</v>
      </c>
      <c r="E470" s="1388" t="s">
        <v>1215</v>
      </c>
      <c r="F470" s="1388" t="s">
        <v>1252</v>
      </c>
      <c r="G470" s="1386" t="s">
        <v>3157</v>
      </c>
      <c r="H470" s="1390">
        <v>2</v>
      </c>
      <c r="I470" s="1390"/>
      <c r="J470" s="1386" t="s">
        <v>2995</v>
      </c>
    </row>
    <row r="471" spans="2:12" ht="18" outlineLevel="1" x14ac:dyDescent="0.25">
      <c r="B471" s="1385" t="s">
        <v>3162</v>
      </c>
      <c r="C471" s="1386" t="s">
        <v>2998</v>
      </c>
      <c r="D471" s="1386">
        <v>1.24E-5</v>
      </c>
      <c r="E471" s="1388" t="s">
        <v>1215</v>
      </c>
      <c r="F471" s="1388" t="s">
        <v>1252</v>
      </c>
      <c r="G471" s="1386" t="s">
        <v>3157</v>
      </c>
      <c r="H471" s="1390">
        <v>2</v>
      </c>
      <c r="I471" s="1390"/>
      <c r="J471" s="1386" t="s">
        <v>2995</v>
      </c>
    </row>
    <row r="472" spans="2:12" ht="18" outlineLevel="1" x14ac:dyDescent="0.25">
      <c r="B472" s="1385" t="s">
        <v>3163</v>
      </c>
      <c r="C472" s="1386" t="s">
        <v>2996</v>
      </c>
      <c r="D472" s="1386">
        <v>1.24E-5</v>
      </c>
      <c r="E472" s="1388" t="s">
        <v>1215</v>
      </c>
      <c r="F472" s="1388" t="s">
        <v>1252</v>
      </c>
      <c r="G472" s="1386" t="s">
        <v>3157</v>
      </c>
      <c r="H472" s="1390">
        <v>2</v>
      </c>
      <c r="I472" s="1390"/>
      <c r="J472" s="1386" t="s">
        <v>2995</v>
      </c>
    </row>
    <row r="473" spans="2:12" ht="18" outlineLevel="1" x14ac:dyDescent="0.25">
      <c r="B473" s="1385" t="s">
        <v>4799</v>
      </c>
      <c r="C473" s="1386" t="s">
        <v>4800</v>
      </c>
      <c r="D473" s="1386">
        <v>1.24E-5</v>
      </c>
      <c r="E473" s="1388" t="s">
        <v>1215</v>
      </c>
      <c r="F473" s="1388" t="s">
        <v>1252</v>
      </c>
      <c r="G473" s="1386" t="s">
        <v>3157</v>
      </c>
      <c r="H473" s="1390">
        <v>2</v>
      </c>
      <c r="I473" s="1390"/>
      <c r="J473" s="1386" t="s">
        <v>2995</v>
      </c>
    </row>
    <row r="474" spans="2:12" ht="18" outlineLevel="1" x14ac:dyDescent="0.25">
      <c r="B474" s="1385" t="s">
        <v>3164</v>
      </c>
      <c r="C474" s="1386" t="s">
        <v>2999</v>
      </c>
      <c r="D474" s="1386">
        <v>1.24E-5</v>
      </c>
      <c r="E474" s="1388" t="s">
        <v>1215</v>
      </c>
      <c r="F474" s="1388" t="s">
        <v>1252</v>
      </c>
      <c r="G474" s="1386" t="s">
        <v>3157</v>
      </c>
      <c r="H474" s="1390">
        <v>2</v>
      </c>
      <c r="I474" s="1390"/>
      <c r="J474" s="1386" t="s">
        <v>2995</v>
      </c>
    </row>
    <row r="475" spans="2:12" ht="18" outlineLevel="1" x14ac:dyDescent="0.25">
      <c r="B475" s="1385" t="s">
        <v>3165</v>
      </c>
      <c r="C475" s="1386" t="s">
        <v>2999</v>
      </c>
      <c r="D475" s="1386">
        <v>1.24E-5</v>
      </c>
      <c r="E475" s="1388" t="s">
        <v>1215</v>
      </c>
      <c r="F475" s="1388" t="s">
        <v>1252</v>
      </c>
      <c r="G475" s="1386" t="s">
        <v>3157</v>
      </c>
      <c r="H475" s="1390">
        <v>2</v>
      </c>
      <c r="I475" s="1390"/>
      <c r="J475" s="1386" t="s">
        <v>2995</v>
      </c>
    </row>
    <row r="476" spans="2:12" ht="18" outlineLevel="1" x14ac:dyDescent="0.25">
      <c r="B476" s="1385" t="s">
        <v>3166</v>
      </c>
      <c r="C476" s="1386" t="s">
        <v>3000</v>
      </c>
      <c r="D476" s="1386">
        <v>1.24E-5</v>
      </c>
      <c r="E476" s="1388" t="s">
        <v>1215</v>
      </c>
      <c r="F476" s="1388" t="s">
        <v>1252</v>
      </c>
      <c r="G476" s="1386" t="s">
        <v>3157</v>
      </c>
      <c r="H476" s="1390">
        <v>2</v>
      </c>
      <c r="I476" s="1390"/>
      <c r="J476" s="1386" t="s">
        <v>2995</v>
      </c>
    </row>
    <row r="477" spans="2:12" ht="18" outlineLevel="1" x14ac:dyDescent="0.25">
      <c r="B477" s="1385" t="s">
        <v>3167</v>
      </c>
      <c r="C477" s="1386" t="s">
        <v>3001</v>
      </c>
      <c r="D477" s="1386">
        <v>1.0000000000000001E-5</v>
      </c>
      <c r="E477" s="1388" t="s">
        <v>1215</v>
      </c>
      <c r="F477" s="1388" t="s">
        <v>1252</v>
      </c>
      <c r="G477" s="1386" t="s">
        <v>3157</v>
      </c>
      <c r="H477" s="1390">
        <v>2</v>
      </c>
      <c r="I477" s="1390"/>
      <c r="J477" s="1386"/>
    </row>
    <row r="478" spans="2:12" ht="18" outlineLevel="1" x14ac:dyDescent="0.25">
      <c r="B478" s="1385" t="s">
        <v>3168</v>
      </c>
      <c r="C478" s="1386" t="s">
        <v>3001</v>
      </c>
      <c r="D478" s="1386">
        <v>1.0000000000000001E-5</v>
      </c>
      <c r="E478" s="1388" t="s">
        <v>1215</v>
      </c>
      <c r="F478" s="1388" t="s">
        <v>1252</v>
      </c>
      <c r="G478" s="1386" t="s">
        <v>3157</v>
      </c>
      <c r="H478" s="1390">
        <v>2</v>
      </c>
      <c r="I478" s="1390"/>
      <c r="J478" s="1386"/>
    </row>
    <row r="479" spans="2:12" ht="18" outlineLevel="1" x14ac:dyDescent="0.25">
      <c r="B479" s="1385" t="s">
        <v>3200</v>
      </c>
      <c r="C479" s="1386" t="s">
        <v>3032</v>
      </c>
      <c r="D479" s="1386">
        <v>2.5000000000000002E-6</v>
      </c>
      <c r="E479" s="1388" t="s">
        <v>1215</v>
      </c>
      <c r="F479" s="1388" t="s">
        <v>1252</v>
      </c>
      <c r="G479" s="1386" t="s">
        <v>3157</v>
      </c>
      <c r="H479" s="1390">
        <v>2</v>
      </c>
      <c r="I479" s="1390"/>
      <c r="J479" s="1386" t="s">
        <v>2995</v>
      </c>
    </row>
    <row r="480" spans="2:12" ht="18" outlineLevel="1" x14ac:dyDescent="0.25">
      <c r="B480" s="1385" t="s">
        <v>3201</v>
      </c>
      <c r="C480" s="1386" t="s">
        <v>3033</v>
      </c>
      <c r="D480" s="1386">
        <v>2.5000000000000002E-6</v>
      </c>
      <c r="E480" s="1388" t="s">
        <v>1215</v>
      </c>
      <c r="F480" s="1388" t="s">
        <v>1252</v>
      </c>
      <c r="G480" s="1386" t="s">
        <v>3157</v>
      </c>
      <c r="H480" s="1390">
        <v>2</v>
      </c>
      <c r="I480" s="1390"/>
      <c r="J480" s="1386" t="s">
        <v>2995</v>
      </c>
    </row>
    <row r="481" spans="2:10" ht="18" outlineLevel="1" x14ac:dyDescent="0.25">
      <c r="B481" s="1385" t="s">
        <v>3169</v>
      </c>
      <c r="C481" s="1386" t="s">
        <v>3002</v>
      </c>
      <c r="D481" s="1386">
        <v>2.0000000000000002E-5</v>
      </c>
      <c r="E481" s="1388" t="s">
        <v>1215</v>
      </c>
      <c r="F481" s="1388" t="s">
        <v>1252</v>
      </c>
      <c r="G481" s="1386" t="s">
        <v>3157</v>
      </c>
      <c r="H481" s="1390">
        <v>2</v>
      </c>
      <c r="I481" s="1390"/>
      <c r="J481" s="1386" t="s">
        <v>3003</v>
      </c>
    </row>
    <row r="482" spans="2:10" ht="18" outlineLevel="1" x14ac:dyDescent="0.25">
      <c r="B482" s="1385" t="s">
        <v>3170</v>
      </c>
      <c r="C482" s="1386" t="s">
        <v>3002</v>
      </c>
      <c r="D482" s="1386">
        <v>2.0000000000000002E-5</v>
      </c>
      <c r="E482" s="1388" t="s">
        <v>1215</v>
      </c>
      <c r="F482" s="1388" t="s">
        <v>1252</v>
      </c>
      <c r="G482" s="1386" t="s">
        <v>3157</v>
      </c>
      <c r="H482" s="1390">
        <v>2</v>
      </c>
      <c r="I482" s="1390"/>
      <c r="J482" s="1386" t="s">
        <v>3003</v>
      </c>
    </row>
    <row r="483" spans="2:10" ht="18" outlineLevel="1" x14ac:dyDescent="0.25">
      <c r="B483" s="1385" t="s">
        <v>3171</v>
      </c>
      <c r="C483" s="1386" t="s">
        <v>3002</v>
      </c>
      <c r="D483" s="1386">
        <v>2.0000000000000002E-5</v>
      </c>
      <c r="E483" s="1388" t="s">
        <v>1215</v>
      </c>
      <c r="F483" s="1388" t="s">
        <v>1252</v>
      </c>
      <c r="G483" s="1386" t="s">
        <v>3157</v>
      </c>
      <c r="H483" s="1390">
        <v>2</v>
      </c>
      <c r="I483" s="1390"/>
      <c r="J483" s="1386" t="s">
        <v>3003</v>
      </c>
    </row>
    <row r="484" spans="2:10" ht="18" outlineLevel="1" x14ac:dyDescent="0.25">
      <c r="B484" s="1385" t="s">
        <v>3172</v>
      </c>
      <c r="C484" s="1386" t="s">
        <v>3004</v>
      </c>
      <c r="D484" s="1386">
        <v>2.0000000000000002E-5</v>
      </c>
      <c r="E484" s="1388" t="s">
        <v>1215</v>
      </c>
      <c r="F484" s="1388" t="s">
        <v>2256</v>
      </c>
      <c r="G484" s="1386" t="s">
        <v>3157</v>
      </c>
      <c r="H484" s="1390">
        <v>2</v>
      </c>
      <c r="I484" s="1390"/>
      <c r="J484" s="1386" t="s">
        <v>3005</v>
      </c>
    </row>
    <row r="485" spans="2:10" ht="18" outlineLevel="1" x14ac:dyDescent="0.25">
      <c r="B485" s="1385" t="s">
        <v>3173</v>
      </c>
      <c r="C485" s="1386" t="s">
        <v>3006</v>
      </c>
      <c r="D485" s="1386">
        <v>1.0000000000000001E-5</v>
      </c>
      <c r="E485" s="1388" t="s">
        <v>1215</v>
      </c>
      <c r="F485" s="1388" t="s">
        <v>2256</v>
      </c>
      <c r="G485" s="1386" t="s">
        <v>3157</v>
      </c>
      <c r="H485" s="1390">
        <v>2</v>
      </c>
      <c r="I485" s="1390"/>
      <c r="J485" s="1386" t="s">
        <v>2995</v>
      </c>
    </row>
    <row r="486" spans="2:10" ht="18" outlineLevel="1" x14ac:dyDescent="0.25">
      <c r="B486" s="1385" t="s">
        <v>3174</v>
      </c>
      <c r="C486" s="1386" t="s">
        <v>3007</v>
      </c>
      <c r="D486" s="1386">
        <v>1.24E-5</v>
      </c>
      <c r="E486" s="1388" t="s">
        <v>1215</v>
      </c>
      <c r="F486" s="1388" t="s">
        <v>2256</v>
      </c>
      <c r="G486" s="1386" t="s">
        <v>3157</v>
      </c>
      <c r="H486" s="1390">
        <v>2</v>
      </c>
      <c r="I486" s="1390"/>
      <c r="J486" s="1386" t="s">
        <v>2995</v>
      </c>
    </row>
    <row r="487" spans="2:10" ht="18" outlineLevel="1" x14ac:dyDescent="0.25">
      <c r="B487" s="1385" t="s">
        <v>3175</v>
      </c>
      <c r="C487" s="1386" t="s">
        <v>3008</v>
      </c>
      <c r="D487" s="1386">
        <v>1.9000000000000001E-5</v>
      </c>
      <c r="E487" s="1388" t="s">
        <v>1215</v>
      </c>
      <c r="F487" s="1388" t="s">
        <v>2256</v>
      </c>
      <c r="G487" s="1386" t="s">
        <v>3157</v>
      </c>
      <c r="H487" s="1390">
        <v>2</v>
      </c>
      <c r="I487" s="1390"/>
      <c r="J487" s="1386" t="s">
        <v>3009</v>
      </c>
    </row>
    <row r="488" spans="2:10" ht="18" outlineLevel="1" x14ac:dyDescent="0.25">
      <c r="B488" s="1385" t="s">
        <v>3176</v>
      </c>
      <c r="C488" s="1386" t="s">
        <v>3010</v>
      </c>
      <c r="D488" s="1386">
        <v>1.24E-5</v>
      </c>
      <c r="E488" s="1388" t="s">
        <v>1215</v>
      </c>
      <c r="F488" s="1388" t="s">
        <v>2256</v>
      </c>
      <c r="G488" s="1386" t="s">
        <v>3157</v>
      </c>
      <c r="H488" s="1390">
        <v>2</v>
      </c>
      <c r="I488" s="1390"/>
      <c r="J488" s="1386" t="s">
        <v>3011</v>
      </c>
    </row>
    <row r="489" spans="2:10" ht="18" outlineLevel="1" x14ac:dyDescent="0.25">
      <c r="B489" s="1385" t="s">
        <v>3177</v>
      </c>
      <c r="C489" s="1386" t="s">
        <v>3012</v>
      </c>
      <c r="D489" s="1386">
        <v>1.24E-5</v>
      </c>
      <c r="E489" s="1388" t="s">
        <v>1215</v>
      </c>
      <c r="F489" s="1388" t="s">
        <v>2256</v>
      </c>
      <c r="G489" s="1386" t="s">
        <v>3157</v>
      </c>
      <c r="H489" s="1390">
        <v>2</v>
      </c>
      <c r="I489" s="1390"/>
      <c r="J489" s="1386" t="s">
        <v>3011</v>
      </c>
    </row>
    <row r="490" spans="2:10" ht="18" outlineLevel="1" x14ac:dyDescent="0.25">
      <c r="B490" s="1385" t="s">
        <v>3178</v>
      </c>
      <c r="C490" s="1386" t="s">
        <v>3001</v>
      </c>
      <c r="D490" s="1386">
        <v>1.0000000000000001E-5</v>
      </c>
      <c r="E490" s="1388" t="s">
        <v>1215</v>
      </c>
      <c r="F490" s="1388" t="s">
        <v>2256</v>
      </c>
      <c r="G490" s="1386" t="s">
        <v>3157</v>
      </c>
      <c r="H490" s="1390">
        <v>2</v>
      </c>
      <c r="I490" s="1390"/>
      <c r="J490" s="1386" t="s">
        <v>2995</v>
      </c>
    </row>
    <row r="491" spans="2:10" ht="18" outlineLevel="1" x14ac:dyDescent="0.25">
      <c r="B491" s="1385" t="s">
        <v>4801</v>
      </c>
      <c r="C491" s="1386" t="s">
        <v>3006</v>
      </c>
      <c r="D491" s="1386">
        <v>1.0000000000000001E-5</v>
      </c>
      <c r="E491" s="1388" t="s">
        <v>1215</v>
      </c>
      <c r="F491" s="1388" t="s">
        <v>1252</v>
      </c>
      <c r="G491" s="1386" t="s">
        <v>3157</v>
      </c>
      <c r="H491" s="1390">
        <v>2</v>
      </c>
      <c r="I491" s="1390"/>
      <c r="J491" s="1386"/>
    </row>
    <row r="492" spans="2:10" ht="18" outlineLevel="1" x14ac:dyDescent="0.25">
      <c r="B492" s="1385" t="s">
        <v>4516</v>
      </c>
      <c r="C492" s="1386" t="s">
        <v>4517</v>
      </c>
      <c r="D492" s="1386">
        <v>1.0000000000000001E-5</v>
      </c>
      <c r="E492" s="1388" t="s">
        <v>1215</v>
      </c>
      <c r="F492" s="1388" t="s">
        <v>2256</v>
      </c>
      <c r="G492" s="1386" t="s">
        <v>3157</v>
      </c>
      <c r="H492" s="1390">
        <v>2</v>
      </c>
      <c r="I492" s="1390"/>
      <c r="J492" s="1386"/>
    </row>
    <row r="493" spans="2:10" ht="18" outlineLevel="1" x14ac:dyDescent="0.25">
      <c r="B493" s="1385" t="s">
        <v>3180</v>
      </c>
      <c r="C493" s="1386" t="s">
        <v>3014</v>
      </c>
      <c r="D493" s="1386">
        <v>1.0000000000000001E-5</v>
      </c>
      <c r="E493" s="1388" t="s">
        <v>1215</v>
      </c>
      <c r="F493" s="1388" t="s">
        <v>2256</v>
      </c>
      <c r="G493" s="1386" t="s">
        <v>3157</v>
      </c>
      <c r="H493" s="1390">
        <v>2</v>
      </c>
      <c r="I493" s="1390"/>
      <c r="J493" s="1386"/>
    </row>
    <row r="494" spans="2:10" ht="18" outlineLevel="1" x14ac:dyDescent="0.25">
      <c r="B494" s="1385" t="s">
        <v>3179</v>
      </c>
      <c r="C494" s="1386" t="s">
        <v>3013</v>
      </c>
      <c r="D494" s="1386">
        <v>1.0000000000000001E-5</v>
      </c>
      <c r="E494" s="1388" t="s">
        <v>1215</v>
      </c>
      <c r="F494" s="1388" t="s">
        <v>2256</v>
      </c>
      <c r="G494" s="1386" t="s">
        <v>3157</v>
      </c>
      <c r="H494" s="1390">
        <v>2</v>
      </c>
      <c r="I494" s="1390"/>
      <c r="J494" s="1386"/>
    </row>
    <row r="495" spans="2:10" ht="18" outlineLevel="1" x14ac:dyDescent="0.25">
      <c r="B495" s="1385" t="s">
        <v>4518</v>
      </c>
      <c r="C495" s="1386" t="s">
        <v>3006</v>
      </c>
      <c r="D495" s="1386">
        <v>1.0000000000000001E-5</v>
      </c>
      <c r="E495" s="1388" t="s">
        <v>1215</v>
      </c>
      <c r="F495" s="1388" t="s">
        <v>1252</v>
      </c>
      <c r="G495" s="1386" t="s">
        <v>3157</v>
      </c>
      <c r="H495" s="1390">
        <v>2</v>
      </c>
      <c r="I495" s="1390"/>
      <c r="J495" s="1386"/>
    </row>
    <row r="496" spans="2:10" ht="18" outlineLevel="1" x14ac:dyDescent="0.25">
      <c r="B496" s="1385" t="s">
        <v>4519</v>
      </c>
      <c r="C496" s="1386" t="s">
        <v>4520</v>
      </c>
      <c r="D496" s="1386">
        <v>1.0000000000000001E-5</v>
      </c>
      <c r="E496" s="1388" t="s">
        <v>1215</v>
      </c>
      <c r="F496" s="1388" t="s">
        <v>2256</v>
      </c>
      <c r="G496" s="1386" t="s">
        <v>3157</v>
      </c>
      <c r="H496" s="1390">
        <v>2</v>
      </c>
      <c r="I496" s="1390"/>
      <c r="J496" s="1386"/>
    </row>
    <row r="497" spans="2:10" ht="18" outlineLevel="1" x14ac:dyDescent="0.25">
      <c r="B497" s="1385" t="s">
        <v>3181</v>
      </c>
      <c r="C497" s="1386" t="s">
        <v>3015</v>
      </c>
      <c r="D497" s="1386">
        <v>1.24E-5</v>
      </c>
      <c r="E497" s="1388" t="s">
        <v>1215</v>
      </c>
      <c r="F497" s="1388" t="s">
        <v>1252</v>
      </c>
      <c r="G497" s="1386" t="s">
        <v>3157</v>
      </c>
      <c r="H497" s="1390">
        <v>2</v>
      </c>
      <c r="I497" s="1390"/>
      <c r="J497" s="1386" t="s">
        <v>3011</v>
      </c>
    </row>
    <row r="498" spans="2:10" ht="18" outlineLevel="1" x14ac:dyDescent="0.25">
      <c r="B498" s="1385" t="s">
        <v>3182</v>
      </c>
      <c r="C498" s="1386" t="s">
        <v>3015</v>
      </c>
      <c r="D498" s="1386">
        <v>1.24E-5</v>
      </c>
      <c r="E498" s="1388" t="s">
        <v>1215</v>
      </c>
      <c r="F498" s="1388" t="s">
        <v>1252</v>
      </c>
      <c r="G498" s="1386" t="s">
        <v>3157</v>
      </c>
      <c r="H498" s="1390">
        <v>2</v>
      </c>
      <c r="I498" s="1390"/>
      <c r="J498" s="1386" t="s">
        <v>3011</v>
      </c>
    </row>
    <row r="499" spans="2:10" ht="18" outlineLevel="1" x14ac:dyDescent="0.25">
      <c r="B499" s="1385" t="s">
        <v>3183</v>
      </c>
      <c r="C499" s="1386" t="s">
        <v>3007</v>
      </c>
      <c r="D499" s="1386">
        <v>1.24E-5</v>
      </c>
      <c r="E499" s="1388" t="s">
        <v>1215</v>
      </c>
      <c r="F499" s="1388" t="s">
        <v>1252</v>
      </c>
      <c r="G499" s="1386" t="s">
        <v>3157</v>
      </c>
      <c r="H499" s="1390">
        <v>2</v>
      </c>
      <c r="I499" s="1390"/>
      <c r="J499" s="1386" t="s">
        <v>2995</v>
      </c>
    </row>
    <row r="500" spans="2:10" ht="18" outlineLevel="1" x14ac:dyDescent="0.25">
      <c r="B500" s="1385" t="s">
        <v>3184</v>
      </c>
      <c r="C500" s="1386" t="s">
        <v>3007</v>
      </c>
      <c r="D500" s="1386">
        <v>1.24E-5</v>
      </c>
      <c r="E500" s="1388" t="s">
        <v>1215</v>
      </c>
      <c r="F500" s="1388" t="s">
        <v>1252</v>
      </c>
      <c r="G500" s="1386" t="s">
        <v>3157</v>
      </c>
      <c r="H500" s="1390">
        <v>2</v>
      </c>
      <c r="I500" s="1390"/>
      <c r="J500" s="1386" t="s">
        <v>2995</v>
      </c>
    </row>
    <row r="501" spans="2:10" ht="18" outlineLevel="1" x14ac:dyDescent="0.25">
      <c r="B501" s="1385" t="s">
        <v>3185</v>
      </c>
      <c r="C501" s="1386" t="s">
        <v>3016</v>
      </c>
      <c r="D501" s="1386">
        <v>1.24E-5</v>
      </c>
      <c r="E501" s="1388" t="s">
        <v>1215</v>
      </c>
      <c r="F501" s="1388" t="s">
        <v>1252</v>
      </c>
      <c r="G501" s="1386" t="s">
        <v>3157</v>
      </c>
      <c r="H501" s="1390">
        <v>2</v>
      </c>
      <c r="I501" s="1390"/>
      <c r="J501" s="1386" t="s">
        <v>3011</v>
      </c>
    </row>
    <row r="502" spans="2:10" ht="18" outlineLevel="1" x14ac:dyDescent="0.25">
      <c r="B502" s="1385" t="s">
        <v>3186</v>
      </c>
      <c r="C502" s="1386" t="s">
        <v>3017</v>
      </c>
      <c r="D502" s="1386">
        <v>2.5000000000000001E-5</v>
      </c>
      <c r="E502" s="1388" t="s">
        <v>1215</v>
      </c>
      <c r="F502" s="1388" t="s">
        <v>1252</v>
      </c>
      <c r="G502" s="1386" t="s">
        <v>3157</v>
      </c>
      <c r="H502" s="1390">
        <v>2</v>
      </c>
      <c r="I502" s="1390"/>
      <c r="J502" s="1386" t="s">
        <v>3018</v>
      </c>
    </row>
    <row r="503" spans="2:10" ht="18" outlineLevel="1" x14ac:dyDescent="0.25">
      <c r="B503" s="1385" t="s">
        <v>4521</v>
      </c>
      <c r="C503" s="1386" t="s">
        <v>3017</v>
      </c>
      <c r="D503" s="1386">
        <v>2.5000000000000001E-5</v>
      </c>
      <c r="E503" s="1388" t="s">
        <v>1215</v>
      </c>
      <c r="F503" s="1388" t="s">
        <v>1252</v>
      </c>
      <c r="G503" s="1386" t="s">
        <v>3157</v>
      </c>
      <c r="H503" s="1390">
        <v>2</v>
      </c>
      <c r="I503" s="1390"/>
      <c r="J503" s="1386" t="s">
        <v>3018</v>
      </c>
    </row>
    <row r="504" spans="2:10" ht="18" outlineLevel="1" x14ac:dyDescent="0.25">
      <c r="B504" s="1385" t="s">
        <v>3187</v>
      </c>
      <c r="C504" s="1386" t="s">
        <v>3019</v>
      </c>
      <c r="D504" s="1386">
        <v>2.5000000000000001E-5</v>
      </c>
      <c r="E504" s="1388" t="s">
        <v>1215</v>
      </c>
      <c r="F504" s="1388" t="s">
        <v>1252</v>
      </c>
      <c r="G504" s="1386" t="s">
        <v>3157</v>
      </c>
      <c r="H504" s="1390">
        <v>2</v>
      </c>
      <c r="I504" s="1390"/>
      <c r="J504" s="1386" t="s">
        <v>2995</v>
      </c>
    </row>
    <row r="505" spans="2:10" ht="18" outlineLevel="1" x14ac:dyDescent="0.25">
      <c r="B505" s="1385" t="s">
        <v>3188</v>
      </c>
      <c r="C505" s="1386" t="s">
        <v>3020</v>
      </c>
      <c r="D505" s="1386">
        <v>2.5000000000000001E-5</v>
      </c>
      <c r="E505" s="1388" t="s">
        <v>1215</v>
      </c>
      <c r="F505" s="1388" t="s">
        <v>1252</v>
      </c>
      <c r="G505" s="1386" t="s">
        <v>3157</v>
      </c>
      <c r="H505" s="1390">
        <v>2</v>
      </c>
      <c r="I505" s="1390"/>
      <c r="J505" s="1386" t="s">
        <v>2995</v>
      </c>
    </row>
    <row r="506" spans="2:10" ht="18" outlineLevel="1" x14ac:dyDescent="0.25">
      <c r="B506" s="1385" t="s">
        <v>3189</v>
      </c>
      <c r="C506" s="1386" t="s">
        <v>3021</v>
      </c>
      <c r="D506" s="1386">
        <v>1.0000000000000001E-5</v>
      </c>
      <c r="E506" s="1388" t="s">
        <v>1215</v>
      </c>
      <c r="F506" s="1388" t="s">
        <v>1252</v>
      </c>
      <c r="G506" s="1386" t="s">
        <v>3157</v>
      </c>
      <c r="H506" s="1390">
        <v>2</v>
      </c>
      <c r="I506" s="1390"/>
      <c r="J506" s="1386" t="s">
        <v>2995</v>
      </c>
    </row>
    <row r="507" spans="2:10" ht="18" outlineLevel="1" x14ac:dyDescent="0.25">
      <c r="B507" s="1385" t="s">
        <v>3190</v>
      </c>
      <c r="C507" s="1386" t="s">
        <v>3022</v>
      </c>
      <c r="D507" s="1386">
        <v>1.9000000000000001E-5</v>
      </c>
      <c r="E507" s="1388" t="s">
        <v>1215</v>
      </c>
      <c r="F507" s="1388" t="s">
        <v>1252</v>
      </c>
      <c r="G507" s="1386" t="s">
        <v>3157</v>
      </c>
      <c r="H507" s="1390">
        <v>2</v>
      </c>
      <c r="I507" s="1390"/>
      <c r="J507" s="1386" t="s">
        <v>2995</v>
      </c>
    </row>
    <row r="508" spans="2:10" ht="18" outlineLevel="1" x14ac:dyDescent="0.25">
      <c r="B508" s="1385" t="s">
        <v>3191</v>
      </c>
      <c r="C508" s="1386" t="s">
        <v>3023</v>
      </c>
      <c r="D508" s="1386">
        <v>1.9000000000000001E-5</v>
      </c>
      <c r="E508" s="1388" t="s">
        <v>1215</v>
      </c>
      <c r="F508" s="1388" t="s">
        <v>1252</v>
      </c>
      <c r="G508" s="1386" t="s">
        <v>3157</v>
      </c>
      <c r="H508" s="1390">
        <v>2</v>
      </c>
      <c r="I508" s="1390"/>
      <c r="J508" s="1386" t="s">
        <v>2995</v>
      </c>
    </row>
    <row r="509" spans="2:10" ht="18" outlineLevel="1" x14ac:dyDescent="0.25">
      <c r="B509" s="1385" t="s">
        <v>3192</v>
      </c>
      <c r="C509" s="1386" t="s">
        <v>3024</v>
      </c>
      <c r="D509" s="1386">
        <v>1.9000000000000001E-5</v>
      </c>
      <c r="E509" s="1388" t="s">
        <v>1215</v>
      </c>
      <c r="F509" s="1388" t="s">
        <v>1252</v>
      </c>
      <c r="G509" s="1386" t="s">
        <v>3157</v>
      </c>
      <c r="H509" s="1390">
        <v>2</v>
      </c>
      <c r="I509" s="1390"/>
      <c r="J509" s="1386" t="s">
        <v>2995</v>
      </c>
    </row>
    <row r="510" spans="2:10" ht="18" outlineLevel="1" x14ac:dyDescent="0.25">
      <c r="B510" s="1385" t="s">
        <v>3193</v>
      </c>
      <c r="C510" s="1386" t="s">
        <v>3025</v>
      </c>
      <c r="D510" s="1386">
        <v>1.9000000000000001E-5</v>
      </c>
      <c r="E510" s="1388" t="s">
        <v>1215</v>
      </c>
      <c r="F510" s="1388" t="s">
        <v>1252</v>
      </c>
      <c r="G510" s="1386" t="s">
        <v>3157</v>
      </c>
      <c r="H510" s="1390">
        <v>2</v>
      </c>
      <c r="I510" s="1390"/>
      <c r="J510" s="1386" t="s">
        <v>2995</v>
      </c>
    </row>
    <row r="511" spans="2:10" ht="18" outlineLevel="1" x14ac:dyDescent="0.25">
      <c r="B511" s="1385" t="s">
        <v>3194</v>
      </c>
      <c r="C511" s="1386" t="s">
        <v>3026</v>
      </c>
      <c r="D511" s="1386">
        <v>1.9000000000000001E-5</v>
      </c>
      <c r="E511" s="1388" t="s">
        <v>1215</v>
      </c>
      <c r="F511" s="1388" t="s">
        <v>1252</v>
      </c>
      <c r="G511" s="1386" t="s">
        <v>3157</v>
      </c>
      <c r="H511" s="1390">
        <v>2</v>
      </c>
      <c r="I511" s="1390"/>
      <c r="J511" s="1386" t="s">
        <v>2995</v>
      </c>
    </row>
    <row r="512" spans="2:10" ht="18" outlineLevel="1" x14ac:dyDescent="0.25">
      <c r="B512" s="1385" t="s">
        <v>3195</v>
      </c>
      <c r="C512" s="1386" t="s">
        <v>3027</v>
      </c>
      <c r="D512" s="1386">
        <v>1.9000000000000001E-5</v>
      </c>
      <c r="E512" s="1388" t="s">
        <v>1215</v>
      </c>
      <c r="F512" s="1388" t="s">
        <v>1252</v>
      </c>
      <c r="G512" s="1386" t="s">
        <v>3157</v>
      </c>
      <c r="H512" s="1390">
        <v>2</v>
      </c>
      <c r="I512" s="1390"/>
      <c r="J512" s="1386" t="s">
        <v>2995</v>
      </c>
    </row>
    <row r="513" spans="2:10" ht="18" outlineLevel="1" x14ac:dyDescent="0.25">
      <c r="B513" s="1385" t="s">
        <v>3196</v>
      </c>
      <c r="C513" s="1386" t="s">
        <v>3028</v>
      </c>
      <c r="D513" s="1386">
        <v>1.9000000000000001E-5</v>
      </c>
      <c r="E513" s="1388" t="s">
        <v>1215</v>
      </c>
      <c r="F513" s="1388" t="s">
        <v>1252</v>
      </c>
      <c r="G513" s="1386" t="s">
        <v>3157</v>
      </c>
      <c r="H513" s="1390">
        <v>2</v>
      </c>
      <c r="I513" s="1390"/>
      <c r="J513" s="1386" t="s">
        <v>2995</v>
      </c>
    </row>
    <row r="514" spans="2:10" ht="18" outlineLevel="1" x14ac:dyDescent="0.25">
      <c r="B514" s="1385" t="s">
        <v>3197</v>
      </c>
      <c r="C514" s="1386" t="s">
        <v>3029</v>
      </c>
      <c r="D514" s="1386">
        <v>1.9000000000000001E-5</v>
      </c>
      <c r="E514" s="1388" t="s">
        <v>1215</v>
      </c>
      <c r="F514" s="1388" t="s">
        <v>1252</v>
      </c>
      <c r="G514" s="1386" t="s">
        <v>3157</v>
      </c>
      <c r="H514" s="1390">
        <v>2</v>
      </c>
      <c r="I514" s="1390"/>
      <c r="J514" s="1386" t="s">
        <v>2995</v>
      </c>
    </row>
    <row r="515" spans="2:10" ht="18" outlineLevel="1" x14ac:dyDescent="0.25">
      <c r="B515" s="1385" t="s">
        <v>3198</v>
      </c>
      <c r="C515" s="1386" t="s">
        <v>3030</v>
      </c>
      <c r="D515" s="1386">
        <v>1.0000000000000001E-5</v>
      </c>
      <c r="E515" s="1388" t="s">
        <v>1215</v>
      </c>
      <c r="F515" s="1388" t="s">
        <v>2256</v>
      </c>
      <c r="G515" s="1386" t="s">
        <v>3157</v>
      </c>
      <c r="H515" s="1390"/>
      <c r="I515" s="1390"/>
      <c r="J515" s="1386"/>
    </row>
    <row r="516" spans="2:10" ht="18" outlineLevel="1" x14ac:dyDescent="0.25">
      <c r="B516" s="1385" t="s">
        <v>4522</v>
      </c>
      <c r="C516" s="1386" t="s">
        <v>3030</v>
      </c>
      <c r="D516" s="1386">
        <v>1.0000000000000001E-5</v>
      </c>
      <c r="E516" s="1388" t="s">
        <v>1215</v>
      </c>
      <c r="F516" s="1388" t="s">
        <v>2256</v>
      </c>
      <c r="G516" s="1386" t="s">
        <v>3157</v>
      </c>
      <c r="H516" s="1390"/>
      <c r="I516" s="1390"/>
      <c r="J516" s="1386"/>
    </row>
    <row r="517" spans="2:10" ht="18" outlineLevel="1" x14ac:dyDescent="0.25">
      <c r="B517" s="1385" t="s">
        <v>3199</v>
      </c>
      <c r="C517" s="1386" t="s">
        <v>3031</v>
      </c>
      <c r="D517" s="1386">
        <v>1.9000000000000001E-5</v>
      </c>
      <c r="E517" s="1388" t="s">
        <v>1215</v>
      </c>
      <c r="F517" s="1388" t="s">
        <v>2256</v>
      </c>
      <c r="G517" s="1386" t="s">
        <v>3157</v>
      </c>
      <c r="H517" s="1390">
        <v>2</v>
      </c>
      <c r="I517" s="1390"/>
      <c r="J517" s="1386" t="s">
        <v>2995</v>
      </c>
    </row>
  </sheetData>
  <conditionalFormatting sqref="E219:F219">
    <cfRule type="cellIs" dxfId="87" priority="22" stopIfTrue="1" operator="notEqual">
      <formula>INDIRECT("Dummy_for_Comparison3!"&amp;ADDRESS(ROW(),COLUMN()))</formula>
    </cfRule>
  </conditionalFormatting>
  <conditionalFormatting sqref="E503:F503">
    <cfRule type="cellIs" dxfId="86" priority="26" stopIfTrue="1" operator="notEqual">
      <formula>INDIRECT("Dummy_for_Comparison3!"&amp;ADDRESS(ROW(),COLUMN()))</formula>
    </cfRule>
  </conditionalFormatting>
  <conditionalFormatting sqref="E495:F495">
    <cfRule type="cellIs" dxfId="85" priority="25" stopIfTrue="1" operator="notEqual">
      <formula>INDIRECT("Dummy_for_Comparison3!"&amp;ADDRESS(ROW(),COLUMN()))</formula>
    </cfRule>
  </conditionalFormatting>
  <conditionalFormatting sqref="E516:F516">
    <cfRule type="cellIs" dxfId="84" priority="24" stopIfTrue="1" operator="notEqual">
      <formula>INDIRECT("Dummy_for_Comparison3!"&amp;ADDRESS(ROW(),COLUMN()))</formula>
    </cfRule>
  </conditionalFormatting>
  <conditionalFormatting sqref="E218:F218">
    <cfRule type="cellIs" dxfId="83" priority="23" stopIfTrue="1" operator="notEqual">
      <formula>INDIRECT("Dummy_for_Comparison3!"&amp;ADDRESS(ROW(),COLUMN()))</formula>
    </cfRule>
  </conditionalFormatting>
  <conditionalFormatting sqref="E251:F251">
    <cfRule type="cellIs" dxfId="82" priority="20" stopIfTrue="1" operator="notEqual">
      <formula>INDIRECT("Dummy_for_Comparison3!"&amp;ADDRESS(ROW(),COLUMN()))</formula>
    </cfRule>
  </conditionalFormatting>
  <conditionalFormatting sqref="E386:F386">
    <cfRule type="cellIs" dxfId="81" priority="19" stopIfTrue="1" operator="notEqual">
      <formula>INDIRECT("Dummy_for_Comparison3!"&amp;ADDRESS(ROW(),COLUMN()))</formula>
    </cfRule>
  </conditionalFormatting>
  <conditionalFormatting sqref="E227:F227">
    <cfRule type="cellIs" dxfId="80" priority="18" stopIfTrue="1" operator="notEqual">
      <formula>INDIRECT("Dummy_for_Comparison3!"&amp;ADDRESS(ROW(),COLUMN()))</formula>
    </cfRule>
  </conditionalFormatting>
  <conditionalFormatting sqref="E246:F246">
    <cfRule type="cellIs" dxfId="79" priority="17" stopIfTrue="1" operator="notEqual">
      <formula>INDIRECT("Dummy_for_Comparison3!"&amp;ADDRESS(ROW(),COLUMN()))</formula>
    </cfRule>
  </conditionalFormatting>
  <conditionalFormatting sqref="E239:F239">
    <cfRule type="cellIs" dxfId="78" priority="16" stopIfTrue="1" operator="notEqual">
      <formula>INDIRECT("Dummy_for_Comparison3!"&amp;ADDRESS(ROW(),COLUMN()))</formula>
    </cfRule>
  </conditionalFormatting>
  <conditionalFormatting sqref="E263:F263">
    <cfRule type="cellIs" dxfId="77" priority="15" stopIfTrue="1" operator="notEqual">
      <formula>INDIRECT("Dummy_for_Comparison3!"&amp;ADDRESS(ROW(),COLUMN()))</formula>
    </cfRule>
  </conditionalFormatting>
  <conditionalFormatting sqref="E264:F264">
    <cfRule type="cellIs" dxfId="76" priority="14" stopIfTrue="1" operator="notEqual">
      <formula>INDIRECT("Dummy_for_Comparison3!"&amp;ADDRESS(ROW(),COLUMN()))</formula>
    </cfRule>
  </conditionalFormatting>
  <conditionalFormatting sqref="E268:F268">
    <cfRule type="cellIs" dxfId="75" priority="13" stopIfTrue="1" operator="notEqual">
      <formula>INDIRECT("Dummy_for_Comparison3!"&amp;ADDRESS(ROW(),COLUMN()))</formula>
    </cfRule>
  </conditionalFormatting>
  <conditionalFormatting sqref="E30:F30">
    <cfRule type="cellIs" dxfId="74" priority="12" stopIfTrue="1" operator="notEqual">
      <formula>INDIRECT("Dummy_for_Comparison3!"&amp;ADDRESS(ROW(),COLUMN()))</formula>
    </cfRule>
  </conditionalFormatting>
  <conditionalFormatting sqref="E492:F494">
    <cfRule type="cellIs" dxfId="73" priority="11" stopIfTrue="1" operator="notEqual">
      <formula>INDIRECT("Dummy_for_Comparison3!"&amp;ADDRESS(ROW(),COLUMN()))</formula>
    </cfRule>
  </conditionalFormatting>
  <conditionalFormatting sqref="E496:F496">
    <cfRule type="cellIs" dxfId="72" priority="10" stopIfTrue="1" operator="notEqual">
      <formula>INDIRECT("Dummy_for_Comparison3!"&amp;ADDRESS(ROW(),COLUMN()))</formula>
    </cfRule>
  </conditionalFormatting>
  <conditionalFormatting sqref="E217:F217">
    <cfRule type="cellIs" dxfId="71" priority="9" stopIfTrue="1" operator="notEqual">
      <formula>INDIRECT("Dummy_for_Comparison3!"&amp;ADDRESS(ROW(),COLUMN()))</formula>
    </cfRule>
  </conditionalFormatting>
  <conditionalFormatting sqref="E316:F316">
    <cfRule type="cellIs" dxfId="70" priority="8" stopIfTrue="1" operator="notEqual">
      <formula>INDIRECT("Dummy_for_Comparison3!"&amp;ADDRESS(ROW(),COLUMN()))</formula>
    </cfRule>
  </conditionalFormatting>
  <conditionalFormatting sqref="E31:F32">
    <cfRule type="cellIs" dxfId="69" priority="7" stopIfTrue="1" operator="notEqual">
      <formula>INDIRECT("Dummy_for_Comparison3!"&amp;ADDRESS(ROW(),COLUMN()))</formula>
    </cfRule>
  </conditionalFormatting>
  <conditionalFormatting sqref="E367:F367">
    <cfRule type="cellIs" dxfId="68" priority="6" stopIfTrue="1" operator="notEqual">
      <formula>INDIRECT("Dummy_for_Comparison3!"&amp;ADDRESS(ROW(),COLUMN()))</formula>
    </cfRule>
  </conditionalFormatting>
  <conditionalFormatting sqref="E383:F383">
    <cfRule type="cellIs" dxfId="67" priority="5" stopIfTrue="1" operator="notEqual">
      <formula>INDIRECT("Dummy_for_Comparison3!"&amp;ADDRESS(ROW(),COLUMN()))</formula>
    </cfRule>
  </conditionalFormatting>
  <conditionalFormatting sqref="E366:F366">
    <cfRule type="cellIs" dxfId="66" priority="4" stopIfTrue="1" operator="notEqual">
      <formula>INDIRECT("Dummy_for_Comparison3!"&amp;ADDRESS(ROW(),COLUMN()))</formula>
    </cfRule>
  </conditionalFormatting>
  <conditionalFormatting sqref="E443:F445">
    <cfRule type="cellIs" dxfId="65" priority="3" stopIfTrue="1" operator="notEqual">
      <formula>INDIRECT("Dummy_for_Comparison3!"&amp;ADDRESS(ROW(),COLUMN()))</formula>
    </cfRule>
  </conditionalFormatting>
  <conditionalFormatting sqref="B293:J309">
    <cfRule type="cellIs" dxfId="64" priority="2" stopIfTrue="1" operator="notEqual">
      <formula>INDIRECT("Dummy_for_Comparison3!"&amp;ADDRESS(ROW(),COLUMN()))</formula>
    </cfRule>
  </conditionalFormatting>
  <conditionalFormatting sqref="E473:F473">
    <cfRule type="cellIs" dxfId="63" priority="1" stopIfTrue="1" operator="notEqual">
      <formula>INDIRECT("Dummy_for_Comparison3!"&amp;ADDRESS(ROW(),COLUMN()))</formula>
    </cfRule>
  </conditionalFormatting>
  <conditionalFormatting sqref="E226:F226">
    <cfRule type="cellIs" dxfId="62" priority="21" stopIfTrue="1" operator="notEqual">
      <formula>INDIRECT("Dummy_for_Comparison3!"&amp;ADDRESS(ROW(),COLUMN()))</formula>
    </cfRule>
  </conditionalFormatting>
  <conditionalFormatting sqref="E37:F37">
    <cfRule type="cellIs" dxfId="61" priority="63" stopIfTrue="1" operator="notEqual">
      <formula>INDIRECT("Dummy_for_Comparison3!"&amp;ADDRESS(ROW(),COLUMN()))</formula>
    </cfRule>
  </conditionalFormatting>
  <conditionalFormatting sqref="E6:F21 E26:F29 E38:F42 E47:F52 E61:F70 E79:F195 E200:F208 E213:F216 E282:F289 E314:F315 E325:F339 E344:F348 E361:F362 E435:F442 E384:F385 E258:F262 E389:F391 E379:F380 E364:F365 E377:F377 E220:F238 E252:F255 E387:F387 E265:F267 E247:F250 E269:F277 E240:F245 E33:F33 E317:F320 E368:F373 E446:F462">
    <cfRule type="cellIs" dxfId="60" priority="65" stopIfTrue="1" operator="notEqual">
      <formula>INDIRECT("Dummy_for_Comparison3!"&amp;ADDRESS(ROW(),COLUMN()))</formula>
    </cfRule>
  </conditionalFormatting>
  <conditionalFormatting sqref="E25:F25">
    <cfRule type="cellIs" dxfId="59" priority="64" stopIfTrue="1" operator="notEqual">
      <formula>INDIRECT("Dummy_for_Comparison3!"&amp;ADDRESS(ROW(),COLUMN()))</formula>
    </cfRule>
  </conditionalFormatting>
  <conditionalFormatting sqref="E46:F46 E504:F515 E517:F517 E497:F502 E466:F472 E402:F426 E474:F494 E56:F56">
    <cfRule type="cellIs" dxfId="58" priority="62" stopIfTrue="1" operator="notEqual">
      <formula>INDIRECT("Dummy_for_Comparison3!"&amp;ADDRESS(ROW(),COLUMN()))</formula>
    </cfRule>
  </conditionalFormatting>
  <conditionalFormatting sqref="E60:F60">
    <cfRule type="cellIs" dxfId="57" priority="61" stopIfTrue="1" operator="notEqual">
      <formula>INDIRECT("Dummy_for_Comparison3!"&amp;ADDRESS(ROW(),COLUMN()))</formula>
    </cfRule>
  </conditionalFormatting>
  <conditionalFormatting sqref="E74:F74">
    <cfRule type="cellIs" dxfId="56" priority="60" stopIfTrue="1" operator="notEqual">
      <formula>INDIRECT("Dummy_for_Comparison3!"&amp;ADDRESS(ROW(),COLUMN()))</formula>
    </cfRule>
  </conditionalFormatting>
  <conditionalFormatting sqref="E78:F78">
    <cfRule type="cellIs" dxfId="55" priority="59" stopIfTrue="1" operator="notEqual">
      <formula>INDIRECT("Dummy_for_Comparison3!"&amp;ADDRESS(ROW(),COLUMN()))</formula>
    </cfRule>
  </conditionalFormatting>
  <conditionalFormatting sqref="E199:F199">
    <cfRule type="cellIs" dxfId="54" priority="58" stopIfTrue="1" operator="notEqual">
      <formula>INDIRECT("Dummy_for_Comparison3!"&amp;ADDRESS(ROW(),COLUMN()))</formula>
    </cfRule>
  </conditionalFormatting>
  <conditionalFormatting sqref="E212:F212">
    <cfRule type="cellIs" dxfId="53" priority="57" stopIfTrue="1" operator="notEqual">
      <formula>INDIRECT("Dummy_for_Comparison3!"&amp;ADDRESS(ROW(),COLUMN()))</formula>
    </cfRule>
  </conditionalFormatting>
  <conditionalFormatting sqref="E281:F281">
    <cfRule type="cellIs" dxfId="52" priority="56" stopIfTrue="1" operator="notEqual">
      <formula>INDIRECT("Dummy_for_Comparison3!"&amp;ADDRESS(ROW(),COLUMN()))</formula>
    </cfRule>
  </conditionalFormatting>
  <conditionalFormatting sqref="E313:F313">
    <cfRule type="cellIs" dxfId="51" priority="55" stopIfTrue="1" operator="notEqual">
      <formula>INDIRECT("Dummy_for_Comparison3!"&amp;ADDRESS(ROW(),COLUMN()))</formula>
    </cfRule>
  </conditionalFormatting>
  <conditionalFormatting sqref="E324:F324">
    <cfRule type="cellIs" dxfId="50" priority="54" stopIfTrue="1" operator="notEqual">
      <formula>INDIRECT("Dummy_for_Comparison3!"&amp;ADDRESS(ROW(),COLUMN()))</formula>
    </cfRule>
  </conditionalFormatting>
  <conditionalFormatting sqref="E343:F343">
    <cfRule type="cellIs" dxfId="49" priority="53" stopIfTrue="1" operator="notEqual">
      <formula>INDIRECT("Dummy_for_Comparison3!"&amp;ADDRESS(ROW(),COLUMN()))</formula>
    </cfRule>
  </conditionalFormatting>
  <conditionalFormatting sqref="E352:F352">
    <cfRule type="cellIs" dxfId="48" priority="52" stopIfTrue="1" operator="notEqual">
      <formula>INDIRECT("Dummy_for_Comparison3!"&amp;ADDRESS(ROW(),COLUMN()))</formula>
    </cfRule>
  </conditionalFormatting>
  <conditionalFormatting sqref="E356:F356">
    <cfRule type="cellIs" dxfId="47" priority="51" stopIfTrue="1" operator="notEqual">
      <formula>INDIRECT("Dummy_for_Comparison3!"&amp;ADDRESS(ROW(),COLUMN()))</formula>
    </cfRule>
  </conditionalFormatting>
  <conditionalFormatting sqref="E360:F360">
    <cfRule type="cellIs" dxfId="46" priority="50" stopIfTrue="1" operator="notEqual">
      <formula>INDIRECT("Dummy_for_Comparison3!"&amp;ADDRESS(ROW(),COLUMN()))</formula>
    </cfRule>
  </conditionalFormatting>
  <conditionalFormatting sqref="E401:F401">
    <cfRule type="cellIs" dxfId="45" priority="49" stopIfTrue="1" operator="notEqual">
      <formula>INDIRECT("Dummy_for_Comparison3!"&amp;ADDRESS(ROW(),COLUMN()))</formula>
    </cfRule>
  </conditionalFormatting>
  <conditionalFormatting sqref="E430:F430">
    <cfRule type="cellIs" dxfId="44" priority="48" stopIfTrue="1" operator="notEqual">
      <formula>INDIRECT("Dummy_for_Comparison3!"&amp;ADDRESS(ROW(),COLUMN()))</formula>
    </cfRule>
  </conditionalFormatting>
  <conditionalFormatting sqref="E434:F434">
    <cfRule type="cellIs" dxfId="43" priority="47" stopIfTrue="1" operator="notEqual">
      <formula>INDIRECT("Dummy_for_Comparison3!"&amp;ADDRESS(ROW(),COLUMN()))</formula>
    </cfRule>
  </conditionalFormatting>
  <conditionalFormatting sqref="E256:F256">
    <cfRule type="cellIs" dxfId="42" priority="46" stopIfTrue="1" operator="notEqual">
      <formula>INDIRECT("Dummy_for_Comparison3!"&amp;ADDRESS(ROW(),COLUMN()))</formula>
    </cfRule>
  </conditionalFormatting>
  <conditionalFormatting sqref="E5:F5">
    <cfRule type="cellIs" dxfId="41" priority="45" stopIfTrue="1" operator="notEqual">
      <formula>INDIRECT("Dummy_for_Comparison3!"&amp;ADDRESS(ROW(),COLUMN()))</formula>
    </cfRule>
  </conditionalFormatting>
  <conditionalFormatting sqref="E4:F4">
    <cfRule type="cellIs" dxfId="40" priority="44" stopIfTrue="1" operator="notEqual">
      <formula>INDIRECT("Dummy_for_Comparison3!"&amp;ADDRESS(ROW(),COLUMN()))</formula>
    </cfRule>
  </conditionalFormatting>
  <conditionalFormatting sqref="E393:F393">
    <cfRule type="cellIs" dxfId="39" priority="43" stopIfTrue="1" operator="notEqual">
      <formula>INDIRECT("Dummy_for_Comparison3!"&amp;ADDRESS(ROW(),COLUMN()))</formula>
    </cfRule>
  </conditionalFormatting>
  <conditionalFormatting sqref="E392:F392">
    <cfRule type="cellIs" dxfId="38" priority="42" stopIfTrue="1" operator="notEqual">
      <formula>INDIRECT("Dummy_for_Comparison3!"&amp;ADDRESS(ROW(),COLUMN()))</formula>
    </cfRule>
  </conditionalFormatting>
  <conditionalFormatting sqref="E394:F394">
    <cfRule type="cellIs" dxfId="37" priority="41" stopIfTrue="1" operator="notEqual">
      <formula>INDIRECT("Dummy_for_Comparison3!"&amp;ADDRESS(ROW(),COLUMN()))</formula>
    </cfRule>
  </conditionalFormatting>
  <conditionalFormatting sqref="F396">
    <cfRule type="cellIs" dxfId="36" priority="40" stopIfTrue="1" operator="notEqual">
      <formula>INDIRECT("Dummy_for_Comparison3!"&amp;ADDRESS(ROW(),COLUMN()))</formula>
    </cfRule>
  </conditionalFormatting>
  <conditionalFormatting sqref="D396">
    <cfRule type="cellIs" dxfId="35" priority="39" stopIfTrue="1" operator="notEqual">
      <formula>INDIRECT("Dummy_for_Comparison3!"&amp;ADDRESS(ROW(),COLUMN()))</formula>
    </cfRule>
  </conditionalFormatting>
  <conditionalFormatting sqref="E397:F397">
    <cfRule type="cellIs" dxfId="34" priority="38" stopIfTrue="1" operator="notEqual">
      <formula>INDIRECT("Dummy_for_Comparison3!"&amp;ADDRESS(ROW(),COLUMN()))</formula>
    </cfRule>
  </conditionalFormatting>
  <conditionalFormatting sqref="E396">
    <cfRule type="cellIs" dxfId="33" priority="37" stopIfTrue="1" operator="notEqual">
      <formula>INDIRECT("Dummy_for_Comparison3!"&amp;ADDRESS(ROW(),COLUMN()))</formula>
    </cfRule>
  </conditionalFormatting>
  <conditionalFormatting sqref="E388:F388">
    <cfRule type="cellIs" dxfId="32" priority="36" stopIfTrue="1" operator="notEqual">
      <formula>INDIRECT("Dummy_for_Comparison3!"&amp;ADDRESS(ROW(),COLUMN()))</formula>
    </cfRule>
  </conditionalFormatting>
  <conditionalFormatting sqref="E378:F378">
    <cfRule type="cellIs" dxfId="31" priority="35" stopIfTrue="1" operator="notEqual">
      <formula>INDIRECT("Dummy_for_Comparison3!"&amp;ADDRESS(ROW(),COLUMN()))</formula>
    </cfRule>
  </conditionalFormatting>
  <conditionalFormatting sqref="E363:F363">
    <cfRule type="cellIs" dxfId="30" priority="34" stopIfTrue="1" operator="notEqual">
      <formula>INDIRECT("Dummy_for_Comparison3!"&amp;ADDRESS(ROW(),COLUMN()))</formula>
    </cfRule>
  </conditionalFormatting>
  <conditionalFormatting sqref="F395">
    <cfRule type="cellIs" dxfId="29" priority="33" stopIfTrue="1" operator="notEqual">
      <formula>INDIRECT("Dummy_for_Comparison3!"&amp;ADDRESS(ROW(),COLUMN()))</formula>
    </cfRule>
  </conditionalFormatting>
  <conditionalFormatting sqref="D395">
    <cfRule type="cellIs" dxfId="28" priority="32" stopIfTrue="1" operator="notEqual">
      <formula>INDIRECT("Dummy_for_Comparison3!"&amp;ADDRESS(ROW(),COLUMN()))</formula>
    </cfRule>
  </conditionalFormatting>
  <conditionalFormatting sqref="E395">
    <cfRule type="cellIs" dxfId="27" priority="31" stopIfTrue="1" operator="notEqual">
      <formula>INDIRECT("Dummy_for_Comparison3!"&amp;ADDRESS(ROW(),COLUMN()))</formula>
    </cfRule>
  </conditionalFormatting>
  <conditionalFormatting sqref="E257:F257">
    <cfRule type="cellIs" dxfId="26" priority="30" stopIfTrue="1" operator="notEqual">
      <formula>INDIRECT("Dummy_for_Comparison3!"&amp;ADDRESS(ROW(),COLUMN()))</formula>
    </cfRule>
  </conditionalFormatting>
  <conditionalFormatting sqref="E374:F374">
    <cfRule type="cellIs" dxfId="25" priority="29" stopIfTrue="1" operator="notEqual">
      <formula>INDIRECT("Dummy_for_Comparison3!"&amp;ADDRESS(ROW(),COLUMN()))</formula>
    </cfRule>
  </conditionalFormatting>
  <conditionalFormatting sqref="E375:F375">
    <cfRule type="cellIs" dxfId="24" priority="28" stopIfTrue="1" operator="notEqual">
      <formula>INDIRECT("Dummy_for_Comparison3!"&amp;ADDRESS(ROW(),COLUMN()))</formula>
    </cfRule>
  </conditionalFormatting>
  <conditionalFormatting sqref="E376:F376">
    <cfRule type="cellIs" dxfId="23" priority="27" stopIfTrue="1" operator="notEqual">
      <formula>INDIRECT("Dummy_for_Comparison3!"&amp;ADDRESS(ROW(),COLUMN()))</formula>
    </cfRule>
  </conditionalFormatting>
  <hyperlinks>
    <hyperlink ref="J18" r:id="rId1" xr:uid="{00000000-0004-0000-0B00-000000000000}"/>
    <hyperlink ref="J19" r:id="rId2" xr:uid="{00000000-0004-0000-0B00-000001000000}"/>
    <hyperlink ref="J20" r:id="rId3" xr:uid="{00000000-0004-0000-0B00-000002000000}"/>
    <hyperlink ref="J21" r:id="rId4" xr:uid="{00000000-0004-0000-0B00-000003000000}"/>
    <hyperlink ref="J14" r:id="rId5" xr:uid="{00000000-0004-0000-0B00-000004000000}"/>
    <hyperlink ref="J15" r:id="rId6" xr:uid="{00000000-0004-0000-0B00-000005000000}"/>
    <hyperlink ref="J16" r:id="rId7" xr:uid="{00000000-0004-0000-0B00-000006000000}"/>
    <hyperlink ref="J17" r:id="rId8" xr:uid="{00000000-0004-0000-0B00-000007000000}"/>
    <hyperlink ref="J424" r:id="rId9" xr:uid="{00000000-0004-0000-0B00-000008000000}"/>
    <hyperlink ref="J7" r:id="rId10" xr:uid="{00000000-0004-0000-0B00-000009000000}"/>
  </hyperlinks>
  <pageMargins left="0.7" right="0.7" top="0.75" bottom="0.75" header="0.3" footer="0.3"/>
  <pageSetup orientation="portrait"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8"/>
  <dimension ref="B1:F8"/>
  <sheetViews>
    <sheetView showGridLines="0" workbookViewId="0">
      <selection activeCell="B4" sqref="B4:D8"/>
    </sheetView>
  </sheetViews>
  <sheetFormatPr baseColWidth="10" defaultColWidth="9.140625" defaultRowHeight="15" x14ac:dyDescent="0.25"/>
  <cols>
    <col min="2" max="2" width="24.28515625" customWidth="1"/>
    <col min="3" max="3" width="23.28515625" customWidth="1"/>
    <col min="4" max="4" width="22.140625" customWidth="1"/>
  </cols>
  <sheetData>
    <row r="1" spans="2:6" s="45" customFormat="1" ht="58.5" customHeight="1" thickBot="1" x14ac:dyDescent="0.3"/>
    <row r="2" spans="2:6" ht="15.75" thickBot="1" x14ac:dyDescent="0.3">
      <c r="C2" s="62" t="s">
        <v>133</v>
      </c>
      <c r="D2" s="1"/>
    </row>
    <row r="3" spans="2:6" ht="20.25" customHeight="1" x14ac:dyDescent="0.25">
      <c r="B3" s="53" t="s">
        <v>0</v>
      </c>
      <c r="C3" s="53" t="s">
        <v>1</v>
      </c>
      <c r="D3" s="75" t="s">
        <v>5</v>
      </c>
      <c r="E3" s="75" t="s">
        <v>116</v>
      </c>
      <c r="F3" s="69" t="s">
        <v>2</v>
      </c>
    </row>
    <row r="4" spans="2:6" x14ac:dyDescent="0.25">
      <c r="B4" s="76"/>
      <c r="C4" s="72"/>
      <c r="D4" s="73"/>
      <c r="E4" s="6"/>
      <c r="F4" s="6"/>
    </row>
    <row r="5" spans="2:6" x14ac:dyDescent="0.25">
      <c r="B5" s="76"/>
      <c r="C5" s="72"/>
      <c r="D5" s="72"/>
      <c r="E5" s="6"/>
      <c r="F5" s="6"/>
    </row>
    <row r="6" spans="2:6" x14ac:dyDescent="0.25">
      <c r="B6" s="76"/>
      <c r="C6" s="72"/>
      <c r="D6" s="72"/>
      <c r="E6" s="72"/>
      <c r="F6" s="72"/>
    </row>
    <row r="7" spans="2:6" x14ac:dyDescent="0.25">
      <c r="B7" s="76"/>
      <c r="C7" s="72"/>
      <c r="D7" s="72"/>
      <c r="E7" s="72"/>
      <c r="F7" s="72"/>
    </row>
    <row r="8" spans="2:6" x14ac:dyDescent="0.25">
      <c r="B8" s="76"/>
      <c r="C8" s="72"/>
      <c r="D8" s="72"/>
      <c r="E8" s="72"/>
      <c r="F8" s="72"/>
    </row>
  </sheetData>
  <phoneticPr fontId="30" type="noConversion"/>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0"/>
  <dimension ref="B1:G4"/>
  <sheetViews>
    <sheetView showGridLines="0" zoomScale="110" zoomScaleNormal="110" workbookViewId="0">
      <selection activeCell="C10" sqref="C10"/>
    </sheetView>
  </sheetViews>
  <sheetFormatPr baseColWidth="10" defaultColWidth="9.140625" defaultRowHeight="15" x14ac:dyDescent="0.25"/>
  <cols>
    <col min="1" max="1" width="3.140625" customWidth="1"/>
    <col min="2" max="2" width="10.28515625" customWidth="1"/>
    <col min="3" max="3" width="26.28515625" customWidth="1"/>
    <col min="4" max="4" width="30" customWidth="1"/>
    <col min="5" max="5" width="12.28515625" customWidth="1"/>
    <col min="6" max="6" width="9.85546875" customWidth="1"/>
    <col min="7" max="7" width="20.85546875" customWidth="1"/>
  </cols>
  <sheetData>
    <row r="1" spans="2:7" s="45" customFormat="1" ht="44.25" customHeight="1" thickBot="1" x14ac:dyDescent="0.3"/>
    <row r="2" spans="2:7" ht="16.5" customHeight="1" thickBot="1" x14ac:dyDescent="0.3">
      <c r="B2" s="4"/>
      <c r="C2" s="62"/>
      <c r="D2" s="61"/>
      <c r="E2" s="4"/>
      <c r="F2" s="4"/>
      <c r="G2" s="4"/>
    </row>
    <row r="3" spans="2:7" ht="13.5" customHeight="1" thickBot="1" x14ac:dyDescent="0.3">
      <c r="B3" s="63"/>
      <c r="C3" s="64" t="s">
        <v>1</v>
      </c>
      <c r="D3" s="64" t="s">
        <v>5</v>
      </c>
      <c r="E3" s="66" t="s">
        <v>2</v>
      </c>
      <c r="F3" s="67" t="s">
        <v>116</v>
      </c>
      <c r="G3" s="65" t="s">
        <v>117</v>
      </c>
    </row>
    <row r="4" spans="2:7" ht="20.25" customHeight="1" x14ac:dyDescent="0.25">
      <c r="B4" s="42"/>
      <c r="C4" s="42"/>
      <c r="D4" s="41"/>
      <c r="E4" s="43"/>
      <c r="F4" s="44"/>
      <c r="G4" s="44"/>
    </row>
  </sheetData>
  <phoneticPr fontId="3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2"/>
  <dimension ref="A1:BU18"/>
  <sheetViews>
    <sheetView workbookViewId="0">
      <selection activeCell="B10" sqref="B10:G18"/>
    </sheetView>
  </sheetViews>
  <sheetFormatPr baseColWidth="10" defaultColWidth="9.140625" defaultRowHeight="15" x14ac:dyDescent="0.25"/>
  <cols>
    <col min="1" max="1" width="9.140625" style="10"/>
    <col min="2" max="7" width="16.28515625" style="10" customWidth="1"/>
    <col min="8" max="73" width="9.140625" style="10"/>
  </cols>
  <sheetData>
    <row r="1" spans="2:7" ht="15.75" thickBot="1" x14ac:dyDescent="0.3"/>
    <row r="2" spans="2:7" x14ac:dyDescent="0.25">
      <c r="B2" s="11"/>
      <c r="C2" s="12"/>
      <c r="D2" s="12"/>
      <c r="E2" s="12"/>
      <c r="F2" s="12"/>
      <c r="G2" s="13"/>
    </row>
    <row r="3" spans="2:7" x14ac:dyDescent="0.25">
      <c r="B3" s="2513" t="s">
        <v>109</v>
      </c>
      <c r="C3" s="2514"/>
      <c r="D3" s="2514"/>
      <c r="E3" s="2514"/>
      <c r="F3" s="2514"/>
      <c r="G3" s="2515"/>
    </row>
    <row r="4" spans="2:7" x14ac:dyDescent="0.25">
      <c r="B4" s="2513"/>
      <c r="C4" s="2514"/>
      <c r="D4" s="2514"/>
      <c r="E4" s="2514"/>
      <c r="F4" s="2514"/>
      <c r="G4" s="2515"/>
    </row>
    <row r="5" spans="2:7" x14ac:dyDescent="0.25">
      <c r="B5" s="2513"/>
      <c r="C5" s="2514"/>
      <c r="D5" s="2514"/>
      <c r="E5" s="2514"/>
      <c r="F5" s="2514"/>
      <c r="G5" s="2515"/>
    </row>
    <row r="6" spans="2:7" x14ac:dyDescent="0.25">
      <c r="B6" s="2513"/>
      <c r="C6" s="2514"/>
      <c r="D6" s="2514"/>
      <c r="E6" s="2514"/>
      <c r="F6" s="2514"/>
      <c r="G6" s="2515"/>
    </row>
    <row r="7" spans="2:7" x14ac:dyDescent="0.25">
      <c r="B7" s="2513"/>
      <c r="C7" s="2514"/>
      <c r="D7" s="2514"/>
      <c r="E7" s="2514"/>
      <c r="F7" s="2514"/>
      <c r="G7" s="2515"/>
    </row>
    <row r="8" spans="2:7" ht="15.75" thickBot="1" x14ac:dyDescent="0.3">
      <c r="B8" s="2516"/>
      <c r="C8" s="2517"/>
      <c r="D8" s="2517"/>
      <c r="E8" s="2517"/>
      <c r="F8" s="2517"/>
      <c r="G8" s="2518"/>
    </row>
    <row r="10" spans="2:7" x14ac:dyDescent="0.25">
      <c r="B10" s="2519"/>
      <c r="C10" s="2519"/>
      <c r="D10" s="2519"/>
      <c r="E10" s="2519"/>
      <c r="F10" s="2519"/>
      <c r="G10" s="2519"/>
    </row>
    <row r="11" spans="2:7" x14ac:dyDescent="0.25">
      <c r="B11" s="2519"/>
      <c r="C11" s="2519"/>
      <c r="D11" s="2519"/>
      <c r="E11" s="2519"/>
      <c r="F11" s="2519"/>
      <c r="G11" s="2519"/>
    </row>
    <row r="12" spans="2:7" x14ac:dyDescent="0.25">
      <c r="B12" s="2519"/>
      <c r="C12" s="2519"/>
      <c r="D12" s="2519"/>
      <c r="E12" s="2519"/>
      <c r="F12" s="2519"/>
      <c r="G12" s="2519"/>
    </row>
    <row r="13" spans="2:7" x14ac:dyDescent="0.25">
      <c r="B13" s="2519"/>
      <c r="C13" s="2519"/>
      <c r="D13" s="2519"/>
      <c r="E13" s="2519"/>
      <c r="F13" s="2519"/>
      <c r="G13" s="2519"/>
    </row>
    <row r="14" spans="2:7" x14ac:dyDescent="0.25">
      <c r="B14" s="2519"/>
      <c r="C14" s="2519"/>
      <c r="D14" s="2519"/>
      <c r="E14" s="2519"/>
      <c r="F14" s="2519"/>
      <c r="G14" s="2519"/>
    </row>
    <row r="15" spans="2:7" x14ac:dyDescent="0.25">
      <c r="B15" s="2519"/>
      <c r="C15" s="2519"/>
      <c r="D15" s="2519"/>
      <c r="E15" s="2519"/>
      <c r="F15" s="2519"/>
      <c r="G15" s="2519"/>
    </row>
    <row r="16" spans="2:7" x14ac:dyDescent="0.25">
      <c r="B16" s="2519"/>
      <c r="C16" s="2519"/>
      <c r="D16" s="2519"/>
      <c r="E16" s="2519"/>
      <c r="F16" s="2519"/>
      <c r="G16" s="2519"/>
    </row>
    <row r="17" spans="2:7" x14ac:dyDescent="0.25">
      <c r="B17" s="2519"/>
      <c r="C17" s="2519"/>
      <c r="D17" s="2519"/>
      <c r="E17" s="2519"/>
      <c r="F17" s="2519"/>
      <c r="G17" s="2519"/>
    </row>
    <row r="18" spans="2:7" x14ac:dyDescent="0.25">
      <c r="B18" s="2519"/>
      <c r="C18" s="2519"/>
      <c r="D18" s="2519"/>
      <c r="E18" s="2519"/>
      <c r="F18" s="2519"/>
      <c r="G18" s="2519"/>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1"/>
  <dimension ref="A1:C9"/>
  <sheetViews>
    <sheetView workbookViewId="0">
      <selection activeCell="A10" sqref="A10"/>
    </sheetView>
  </sheetViews>
  <sheetFormatPr baseColWidth="10" defaultColWidth="9.140625" defaultRowHeight="15" x14ac:dyDescent="0.25"/>
  <cols>
    <col min="1" max="1" width="14.140625" bestFit="1" customWidth="1"/>
    <col min="2" max="2" width="4" bestFit="1" customWidth="1"/>
    <col min="3" max="3" width="12.85546875" bestFit="1" customWidth="1"/>
  </cols>
  <sheetData>
    <row r="1" spans="1:3" x14ac:dyDescent="0.25">
      <c r="A1" t="s">
        <v>107</v>
      </c>
      <c r="B1" s="9">
        <v>387</v>
      </c>
    </row>
    <row r="2" spans="1:3" x14ac:dyDescent="0.25">
      <c r="A2" t="s">
        <v>108</v>
      </c>
      <c r="B2" s="9">
        <v>441</v>
      </c>
    </row>
    <row r="3" spans="1:3" x14ac:dyDescent="0.25">
      <c r="A3" t="s">
        <v>110</v>
      </c>
      <c r="B3">
        <v>517</v>
      </c>
    </row>
    <row r="4" spans="1:3" x14ac:dyDescent="0.25">
      <c r="A4" t="s">
        <v>113</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H124"/>
  <sheetViews>
    <sheetView showGridLines="0" topLeftCell="C1" workbookViewId="0">
      <selection activeCell="D4" sqref="D4"/>
    </sheetView>
  </sheetViews>
  <sheetFormatPr baseColWidth="10" defaultColWidth="8.7109375" defaultRowHeight="15" x14ac:dyDescent="0.25"/>
  <cols>
    <col min="1" max="1" width="5.7109375" customWidth="1"/>
    <col min="2" max="2" width="51.28515625" customWidth="1"/>
    <col min="3" max="3" width="52" customWidth="1"/>
    <col min="4" max="4" width="71.28515625" style="660" customWidth="1"/>
    <col min="5" max="5" width="17.7109375" customWidth="1"/>
    <col min="6" max="6" width="9.28515625" customWidth="1"/>
    <col min="7" max="7" width="2.7109375" customWidth="1"/>
    <col min="8" max="8" width="56.7109375" style="14" customWidth="1"/>
  </cols>
  <sheetData>
    <row r="1" spans="1:8" s="514" customFormat="1" x14ac:dyDescent="0.25">
      <c r="D1" s="658"/>
    </row>
    <row r="2" spans="1:8" s="514" customFormat="1" ht="15.75" thickBot="1" x14ac:dyDescent="0.3">
      <c r="C2" s="636" t="s">
        <v>781</v>
      </c>
      <c r="D2" s="658"/>
    </row>
    <row r="3" spans="1:8" s="514" customFormat="1" ht="15.75" thickBot="1" x14ac:dyDescent="0.3">
      <c r="B3" s="637" t="s">
        <v>0</v>
      </c>
      <c r="C3" s="638" t="s">
        <v>1</v>
      </c>
      <c r="D3" s="659" t="s">
        <v>5</v>
      </c>
      <c r="E3" s="639" t="s">
        <v>116</v>
      </c>
      <c r="F3" s="639" t="s">
        <v>2</v>
      </c>
      <c r="H3" s="639" t="s">
        <v>4586</v>
      </c>
    </row>
    <row r="4" spans="1:8" s="514" customFormat="1" x14ac:dyDescent="0.25">
      <c r="B4" s="515" t="s">
        <v>165</v>
      </c>
      <c r="C4" s="516" t="s">
        <v>166</v>
      </c>
      <c r="D4" s="1387" t="s">
        <v>5010</v>
      </c>
      <c r="E4" s="517"/>
      <c r="F4" s="517"/>
      <c r="H4" s="518"/>
    </row>
    <row r="5" spans="1:8" s="514" customFormat="1" x14ac:dyDescent="0.25">
      <c r="B5" s="515" t="s">
        <v>168</v>
      </c>
      <c r="C5" s="516" t="s">
        <v>169</v>
      </c>
      <c r="D5" s="640" t="s">
        <v>170</v>
      </c>
      <c r="E5" s="517"/>
      <c r="F5" s="517"/>
      <c r="H5" s="518"/>
    </row>
    <row r="6" spans="1:8" s="514" customFormat="1" x14ac:dyDescent="0.25">
      <c r="B6" s="515" t="s">
        <v>268</v>
      </c>
      <c r="C6" s="516" t="s">
        <v>269</v>
      </c>
      <c r="D6" s="640" t="s">
        <v>775</v>
      </c>
      <c r="E6" s="517"/>
      <c r="F6" s="517"/>
      <c r="H6" s="518"/>
    </row>
    <row r="7" spans="1:8" s="514" customFormat="1" x14ac:dyDescent="0.25">
      <c r="B7" s="515" t="s">
        <v>270</v>
      </c>
      <c r="C7" s="516" t="s">
        <v>271</v>
      </c>
      <c r="D7" s="640" t="s">
        <v>1374</v>
      </c>
      <c r="E7" s="517"/>
      <c r="F7" s="517"/>
      <c r="H7" s="518"/>
    </row>
    <row r="8" spans="1:8" s="514" customFormat="1" x14ac:dyDescent="0.25">
      <c r="B8" s="515" t="s">
        <v>171</v>
      </c>
      <c r="C8" s="516" t="s">
        <v>172</v>
      </c>
      <c r="D8" s="640" t="s">
        <v>173</v>
      </c>
      <c r="E8" s="517"/>
      <c r="F8" s="517"/>
      <c r="H8" s="518"/>
    </row>
    <row r="9" spans="1:8" s="514" customFormat="1" x14ac:dyDescent="0.25">
      <c r="B9" s="515" t="s">
        <v>4645</v>
      </c>
      <c r="C9" s="516" t="s">
        <v>4646</v>
      </c>
      <c r="D9" s="640" t="s">
        <v>4647</v>
      </c>
      <c r="E9" s="517"/>
      <c r="F9" s="517"/>
      <c r="H9" s="518"/>
    </row>
    <row r="10" spans="1:8" s="1389" customFormat="1" x14ac:dyDescent="0.25">
      <c r="A10" s="514"/>
      <c r="B10" s="1385" t="s">
        <v>4727</v>
      </c>
      <c r="C10" s="1386" t="s">
        <v>4728</v>
      </c>
      <c r="D10" s="1387" t="s">
        <v>4729</v>
      </c>
      <c r="E10" s="1388"/>
      <c r="F10" s="1388"/>
      <c r="H10" s="1390"/>
    </row>
    <row r="11" spans="1:8" s="514" customFormat="1" x14ac:dyDescent="0.25">
      <c r="B11" s="515" t="s">
        <v>1375</v>
      </c>
      <c r="C11" s="516" t="s">
        <v>175</v>
      </c>
      <c r="D11" s="640" t="s">
        <v>4682</v>
      </c>
      <c r="E11" s="517"/>
      <c r="F11" s="517"/>
      <c r="H11" s="518"/>
    </row>
    <row r="12" spans="1:8" s="514" customFormat="1" x14ac:dyDescent="0.25">
      <c r="B12" s="515" t="s">
        <v>1376</v>
      </c>
      <c r="C12" s="516" t="s">
        <v>178</v>
      </c>
      <c r="D12" s="640" t="s">
        <v>4683</v>
      </c>
      <c r="E12" s="517"/>
      <c r="F12" s="517"/>
      <c r="H12" s="518"/>
    </row>
    <row r="13" spans="1:8" s="514" customFormat="1" x14ac:dyDescent="0.25">
      <c r="B13" s="515" t="s">
        <v>4648</v>
      </c>
      <c r="C13" s="516" t="s">
        <v>4649</v>
      </c>
      <c r="D13" s="640" t="s">
        <v>1135</v>
      </c>
      <c r="E13" s="517"/>
      <c r="F13" s="517"/>
      <c r="H13" s="518"/>
    </row>
    <row r="14" spans="1:8" s="514" customFormat="1" x14ac:dyDescent="0.25">
      <c r="B14" s="515" t="s">
        <v>4650</v>
      </c>
      <c r="C14" s="516" t="s">
        <v>4651</v>
      </c>
      <c r="D14" s="640" t="s">
        <v>1136</v>
      </c>
      <c r="E14" s="517"/>
      <c r="F14" s="517"/>
      <c r="H14" s="518"/>
    </row>
    <row r="15" spans="1:8" s="514" customFormat="1" x14ac:dyDescent="0.25">
      <c r="B15" s="515" t="s">
        <v>1226</v>
      </c>
      <c r="C15" s="516" t="s">
        <v>1137</v>
      </c>
      <c r="D15" s="640" t="s">
        <v>1227</v>
      </c>
      <c r="E15" s="517"/>
      <c r="F15" s="517"/>
      <c r="H15" s="518"/>
    </row>
    <row r="16" spans="1:8" s="514" customFormat="1" x14ac:dyDescent="0.25">
      <c r="B16" s="515" t="s">
        <v>1138</v>
      </c>
      <c r="C16" s="516" t="s">
        <v>1139</v>
      </c>
      <c r="D16" s="640" t="s">
        <v>1140</v>
      </c>
      <c r="E16" s="517"/>
      <c r="F16" s="517"/>
      <c r="H16" s="518"/>
    </row>
    <row r="17" spans="2:8" s="514" customFormat="1" x14ac:dyDescent="0.25">
      <c r="B17" s="515" t="s">
        <v>180</v>
      </c>
      <c r="C17" s="516" t="s">
        <v>181</v>
      </c>
      <c r="D17" s="640" t="s">
        <v>182</v>
      </c>
      <c r="E17" s="517"/>
      <c r="F17" s="517"/>
      <c r="H17" s="518"/>
    </row>
    <row r="18" spans="2:8" s="514" customFormat="1" x14ac:dyDescent="0.25">
      <c r="B18" s="515" t="s">
        <v>183</v>
      </c>
      <c r="C18" s="516" t="s">
        <v>184</v>
      </c>
      <c r="D18" s="640" t="s">
        <v>779</v>
      </c>
      <c r="E18" s="517"/>
      <c r="F18" s="517"/>
      <c r="H18" s="518"/>
    </row>
    <row r="19" spans="2:8" s="514" customFormat="1" x14ac:dyDescent="0.25">
      <c r="B19" s="515" t="s">
        <v>151</v>
      </c>
      <c r="C19" s="516" t="s">
        <v>149</v>
      </c>
      <c r="D19" s="640" t="s">
        <v>150</v>
      </c>
      <c r="E19" s="517"/>
      <c r="F19" s="517"/>
      <c r="H19" s="518"/>
    </row>
    <row r="20" spans="2:8" s="514" customFormat="1" x14ac:dyDescent="0.25">
      <c r="B20" s="515" t="s">
        <v>776</v>
      </c>
      <c r="C20" s="516" t="s">
        <v>777</v>
      </c>
      <c r="D20" s="640" t="s">
        <v>780</v>
      </c>
      <c r="E20" s="517"/>
      <c r="F20" s="517"/>
      <c r="H20" s="518" t="s">
        <v>782</v>
      </c>
    </row>
    <row r="21" spans="2:8" s="514" customFormat="1" x14ac:dyDescent="0.25">
      <c r="B21" s="515" t="s">
        <v>1404</v>
      </c>
      <c r="C21" s="516" t="s">
        <v>1405</v>
      </c>
      <c r="D21" s="640" t="s">
        <v>4587</v>
      </c>
      <c r="E21" s="517"/>
      <c r="F21" s="517"/>
      <c r="H21" s="518"/>
    </row>
    <row r="22" spans="2:8" s="514" customFormat="1" ht="18" x14ac:dyDescent="0.25">
      <c r="B22" s="515" t="s">
        <v>1379</v>
      </c>
      <c r="C22" s="516" t="s">
        <v>1380</v>
      </c>
      <c r="D22" s="640" t="s">
        <v>1381</v>
      </c>
      <c r="E22" s="517"/>
      <c r="F22" s="517"/>
      <c r="H22" s="518"/>
    </row>
    <row r="23" spans="2:8" s="514" customFormat="1" ht="18" x14ac:dyDescent="0.25">
      <c r="B23" s="515" t="s">
        <v>1382</v>
      </c>
      <c r="C23" s="516" t="s">
        <v>1383</v>
      </c>
      <c r="D23" s="640" t="s">
        <v>1384</v>
      </c>
      <c r="E23" s="517"/>
      <c r="F23" s="517"/>
      <c r="H23" s="518"/>
    </row>
    <row r="24" spans="2:8" s="514" customFormat="1" ht="18" x14ac:dyDescent="0.25">
      <c r="B24" s="515" t="s">
        <v>1385</v>
      </c>
      <c r="C24" s="516" t="s">
        <v>778</v>
      </c>
      <c r="D24" s="640" t="s">
        <v>1386</v>
      </c>
      <c r="E24" s="517"/>
      <c r="F24" s="517"/>
      <c r="H24" s="518"/>
    </row>
    <row r="25" spans="2:8" s="514" customFormat="1" ht="18" x14ac:dyDescent="0.25">
      <c r="B25" s="515" t="s">
        <v>1387</v>
      </c>
      <c r="C25" s="516" t="s">
        <v>1388</v>
      </c>
      <c r="D25" s="640" t="s">
        <v>1389</v>
      </c>
      <c r="E25" s="517"/>
      <c r="F25" s="517"/>
      <c r="H25" s="518"/>
    </row>
    <row r="26" spans="2:8" s="514" customFormat="1" ht="18" x14ac:dyDescent="0.25">
      <c r="B26" s="515" t="s">
        <v>1390</v>
      </c>
      <c r="C26" s="516" t="s">
        <v>1391</v>
      </c>
      <c r="D26" s="640" t="s">
        <v>1392</v>
      </c>
      <c r="E26" s="517"/>
      <c r="F26" s="517"/>
      <c r="H26" s="518"/>
    </row>
    <row r="27" spans="2:8" s="514" customFormat="1" ht="18" x14ac:dyDescent="0.25">
      <c r="B27" s="515" t="s">
        <v>1393</v>
      </c>
      <c r="C27" s="516" t="s">
        <v>1394</v>
      </c>
      <c r="D27" s="640" t="s">
        <v>1395</v>
      </c>
      <c r="E27" s="517"/>
      <c r="F27" s="517"/>
      <c r="H27" s="518"/>
    </row>
    <row r="28" spans="2:8" s="514" customFormat="1" ht="18" x14ac:dyDescent="0.25">
      <c r="B28" s="515" t="s">
        <v>1396</v>
      </c>
      <c r="C28" s="516" t="s">
        <v>1397</v>
      </c>
      <c r="D28" s="640" t="s">
        <v>1398</v>
      </c>
      <c r="E28" s="517"/>
      <c r="F28" s="517"/>
      <c r="H28" s="518"/>
    </row>
    <row r="29" spans="2:8" s="514" customFormat="1" ht="18" x14ac:dyDescent="0.25">
      <c r="B29" s="515" t="s">
        <v>4588</v>
      </c>
      <c r="C29" s="516" t="s">
        <v>4589</v>
      </c>
      <c r="D29" s="640" t="s">
        <v>4590</v>
      </c>
      <c r="E29" s="517"/>
      <c r="F29" s="517"/>
      <c r="H29" s="518"/>
    </row>
    <row r="30" spans="2:8" s="514" customFormat="1" ht="18" x14ac:dyDescent="0.25">
      <c r="B30" s="515" t="s">
        <v>4591</v>
      </c>
      <c r="C30" s="516" t="s">
        <v>4592</v>
      </c>
      <c r="D30" s="640" t="s">
        <v>4593</v>
      </c>
      <c r="E30" s="517"/>
      <c r="F30" s="517"/>
      <c r="H30" s="518"/>
    </row>
    <row r="31" spans="2:8" s="514" customFormat="1" x14ac:dyDescent="0.25">
      <c r="D31" s="658"/>
    </row>
    <row r="32" spans="2:8" s="514" customFormat="1" ht="15.75" thickBot="1" x14ac:dyDescent="0.3">
      <c r="C32" s="636" t="s">
        <v>1399</v>
      </c>
      <c r="D32" s="658"/>
    </row>
    <row r="33" spans="2:8" s="514" customFormat="1" ht="15.75" thickBot="1" x14ac:dyDescent="0.3">
      <c r="B33" s="637" t="s">
        <v>0</v>
      </c>
      <c r="C33" s="638" t="s">
        <v>1</v>
      </c>
      <c r="D33" s="659" t="s">
        <v>5</v>
      </c>
      <c r="E33" s="639" t="s">
        <v>116</v>
      </c>
      <c r="F33" s="639" t="s">
        <v>2</v>
      </c>
      <c r="H33" s="639" t="s">
        <v>1400</v>
      </c>
    </row>
    <row r="34" spans="2:8" s="514" customFormat="1" x14ac:dyDescent="0.25">
      <c r="B34" s="515" t="s">
        <v>1401</v>
      </c>
      <c r="C34" s="516" t="s">
        <v>1402</v>
      </c>
      <c r="D34" s="640" t="s">
        <v>1403</v>
      </c>
      <c r="E34" s="517"/>
      <c r="F34" s="517"/>
      <c r="H34" s="518"/>
    </row>
    <row r="35" spans="2:8" s="514" customFormat="1" ht="120" x14ac:dyDescent="0.25">
      <c r="B35" s="515" t="s">
        <v>1377</v>
      </c>
      <c r="C35" s="516" t="s">
        <v>1378</v>
      </c>
      <c r="D35" s="640" t="s">
        <v>4594</v>
      </c>
      <c r="E35" s="517"/>
      <c r="F35" s="517"/>
      <c r="H35" s="518"/>
    </row>
    <row r="36" spans="2:8" s="514" customFormat="1" x14ac:dyDescent="0.25">
      <c r="B36" s="515" t="s">
        <v>1406</v>
      </c>
      <c r="C36" s="516" t="s">
        <v>1407</v>
      </c>
      <c r="D36" s="640" t="s">
        <v>1408</v>
      </c>
      <c r="E36" s="517"/>
      <c r="F36" s="517"/>
      <c r="H36" s="518"/>
    </row>
    <row r="37" spans="2:8" s="514" customFormat="1" x14ac:dyDescent="0.25">
      <c r="B37" s="515" t="s">
        <v>1409</v>
      </c>
      <c r="C37" s="516" t="s">
        <v>1410</v>
      </c>
      <c r="D37" s="640" t="s">
        <v>1411</v>
      </c>
      <c r="E37" s="517"/>
      <c r="F37" s="517"/>
      <c r="H37" s="518"/>
    </row>
    <row r="38" spans="2:8" s="514" customFormat="1" x14ac:dyDescent="0.25">
      <c r="B38" s="515" t="s">
        <v>1412</v>
      </c>
      <c r="C38" s="516" t="s">
        <v>1413</v>
      </c>
      <c r="D38" s="640" t="s">
        <v>1414</v>
      </c>
      <c r="E38" s="517"/>
      <c r="F38" s="517"/>
      <c r="H38" s="518"/>
    </row>
    <row r="39" spans="2:8" s="514" customFormat="1" x14ac:dyDescent="0.25">
      <c r="B39" s="515" t="s">
        <v>1415</v>
      </c>
      <c r="C39" s="516" t="s">
        <v>1416</v>
      </c>
      <c r="D39" s="640" t="s">
        <v>1417</v>
      </c>
      <c r="E39" s="517"/>
      <c r="F39" s="517"/>
      <c r="H39" s="518"/>
    </row>
    <row r="40" spans="2:8" s="514" customFormat="1" x14ac:dyDescent="0.25">
      <c r="B40" s="515" t="s">
        <v>1418</v>
      </c>
      <c r="C40" s="516" t="s">
        <v>1419</v>
      </c>
      <c r="D40" s="640" t="s">
        <v>1420</v>
      </c>
      <c r="E40" s="517"/>
      <c r="F40" s="517"/>
      <c r="H40" s="518"/>
    </row>
    <row r="41" spans="2:8" s="514" customFormat="1" x14ac:dyDescent="0.25">
      <c r="B41" s="515" t="s">
        <v>4595</v>
      </c>
      <c r="C41" s="516" t="s">
        <v>4596</v>
      </c>
      <c r="D41" s="640" t="s">
        <v>4597</v>
      </c>
      <c r="E41" s="517"/>
      <c r="F41" s="517"/>
      <c r="H41" s="518"/>
    </row>
    <row r="42" spans="2:8" s="514" customFormat="1" ht="90" x14ac:dyDescent="0.25">
      <c r="B42" s="515" t="s">
        <v>1421</v>
      </c>
      <c r="C42" s="516" t="s">
        <v>1422</v>
      </c>
      <c r="D42" s="640" t="s">
        <v>4598</v>
      </c>
      <c r="E42" s="517"/>
      <c r="F42" s="517"/>
      <c r="H42" s="518"/>
    </row>
    <row r="43" spans="2:8" s="514" customFormat="1" x14ac:dyDescent="0.25">
      <c r="B43" s="515" t="s">
        <v>1423</v>
      </c>
      <c r="C43" s="516" t="s">
        <v>1424</v>
      </c>
      <c r="D43" s="640" t="s">
        <v>1425</v>
      </c>
      <c r="E43" s="517"/>
      <c r="F43" s="517"/>
      <c r="H43" s="518"/>
    </row>
    <row r="44" spans="2:8" s="514" customFormat="1" x14ac:dyDescent="0.25">
      <c r="B44" s="515" t="s">
        <v>4599</v>
      </c>
      <c r="C44" s="516"/>
      <c r="D44" s="640" t="s">
        <v>1425</v>
      </c>
      <c r="E44" s="517" t="s">
        <v>4600</v>
      </c>
      <c r="F44" s="517"/>
      <c r="H44" s="518"/>
    </row>
    <row r="45" spans="2:8" s="514" customFormat="1" ht="90" x14ac:dyDescent="0.25">
      <c r="B45" s="515" t="s">
        <v>1426</v>
      </c>
      <c r="C45" s="516" t="s">
        <v>1427</v>
      </c>
      <c r="D45" s="640" t="s">
        <v>4601</v>
      </c>
      <c r="E45" s="517"/>
      <c r="F45" s="517"/>
      <c r="H45" s="518"/>
    </row>
    <row r="46" spans="2:8" s="514" customFormat="1" ht="270" x14ac:dyDescent="0.25">
      <c r="B46" s="515" t="s">
        <v>4602</v>
      </c>
      <c r="C46" s="516" t="s">
        <v>4603</v>
      </c>
      <c r="D46" s="640" t="s">
        <v>4604</v>
      </c>
      <c r="E46" s="517"/>
      <c r="F46" s="517"/>
      <c r="H46" s="518"/>
    </row>
    <row r="47" spans="2:8" s="514" customFormat="1" ht="90" x14ac:dyDescent="0.25">
      <c r="B47" s="515" t="s">
        <v>1428</v>
      </c>
      <c r="C47" s="516" t="s">
        <v>1429</v>
      </c>
      <c r="D47" s="640" t="s">
        <v>4605</v>
      </c>
      <c r="E47" s="517"/>
      <c r="F47" s="517"/>
      <c r="H47" s="518"/>
    </row>
    <row r="48" spans="2:8" s="514" customFormat="1" ht="90" x14ac:dyDescent="0.25">
      <c r="B48" s="515" t="s">
        <v>1430</v>
      </c>
      <c r="C48" s="516" t="s">
        <v>1431</v>
      </c>
      <c r="D48" s="640" t="s">
        <v>4606</v>
      </c>
      <c r="E48" s="517"/>
      <c r="F48" s="517"/>
      <c r="H48" s="518"/>
    </row>
    <row r="49" spans="2:8" s="514" customFormat="1" ht="90" x14ac:dyDescent="0.25">
      <c r="B49" s="515" t="s">
        <v>1432</v>
      </c>
      <c r="C49" s="516" t="s">
        <v>1433</v>
      </c>
      <c r="D49" s="640" t="s">
        <v>4607</v>
      </c>
      <c r="E49" s="517"/>
      <c r="F49" s="517"/>
      <c r="H49" s="518"/>
    </row>
    <row r="50" spans="2:8" s="514" customFormat="1" ht="105" x14ac:dyDescent="0.25">
      <c r="B50" s="515" t="s">
        <v>4608</v>
      </c>
      <c r="C50" s="516" t="s">
        <v>4609</v>
      </c>
      <c r="D50" s="640" t="s">
        <v>4610</v>
      </c>
      <c r="E50" s="517"/>
      <c r="F50" s="517"/>
      <c r="H50" s="518"/>
    </row>
    <row r="51" spans="2:8" s="514" customFormat="1" ht="90" x14ac:dyDescent="0.25">
      <c r="B51" s="515" t="s">
        <v>4611</v>
      </c>
      <c r="C51" s="516" t="s">
        <v>4612</v>
      </c>
      <c r="D51" s="640" t="s">
        <v>4613</v>
      </c>
      <c r="E51" s="517"/>
      <c r="F51" s="517"/>
      <c r="H51" s="518"/>
    </row>
    <row r="52" spans="2:8" s="514" customFormat="1" x14ac:dyDescent="0.25">
      <c r="B52" s="515" t="s">
        <v>1434</v>
      </c>
      <c r="C52" s="516" t="s">
        <v>1435</v>
      </c>
      <c r="D52" s="640" t="s">
        <v>1436</v>
      </c>
      <c r="E52" s="517"/>
      <c r="F52" s="517"/>
      <c r="H52" s="518"/>
    </row>
    <row r="53" spans="2:8" s="514" customFormat="1" x14ac:dyDescent="0.25">
      <c r="B53" s="515" t="s">
        <v>1437</v>
      </c>
      <c r="C53" s="516" t="s">
        <v>1438</v>
      </c>
      <c r="D53" s="640" t="s">
        <v>1439</v>
      </c>
      <c r="E53" s="517"/>
      <c r="F53" s="517"/>
      <c r="H53" s="518"/>
    </row>
    <row r="54" spans="2:8" s="514" customFormat="1" x14ac:dyDescent="0.25">
      <c r="B54" s="515" t="s">
        <v>1440</v>
      </c>
      <c r="C54" s="516" t="s">
        <v>1441</v>
      </c>
      <c r="D54" s="640" t="s">
        <v>1442</v>
      </c>
      <c r="E54" s="517"/>
      <c r="F54" s="517"/>
      <c r="H54" s="518"/>
    </row>
    <row r="55" spans="2:8" s="514" customFormat="1" x14ac:dyDescent="0.25">
      <c r="B55" s="515" t="s">
        <v>1443</v>
      </c>
      <c r="C55" s="516" t="s">
        <v>1444</v>
      </c>
      <c r="D55" s="640" t="s">
        <v>1445</v>
      </c>
      <c r="E55" s="517"/>
      <c r="F55" s="517"/>
      <c r="H55" s="518"/>
    </row>
    <row r="56" spans="2:8" s="514" customFormat="1" x14ac:dyDescent="0.25">
      <c r="B56" s="515" t="s">
        <v>1446</v>
      </c>
      <c r="C56" s="516" t="s">
        <v>1447</v>
      </c>
      <c r="D56" s="640" t="s">
        <v>1448</v>
      </c>
      <c r="E56" s="517"/>
      <c r="F56" s="517"/>
      <c r="H56" s="518"/>
    </row>
    <row r="57" spans="2:8" s="514" customFormat="1" x14ac:dyDescent="0.25">
      <c r="B57" s="515" t="s">
        <v>1449</v>
      </c>
      <c r="C57" s="516" t="s">
        <v>1450</v>
      </c>
      <c r="D57" s="640" t="s">
        <v>1451</v>
      </c>
      <c r="E57" s="517"/>
      <c r="F57" s="517"/>
      <c r="H57" s="518"/>
    </row>
    <row r="58" spans="2:8" s="514" customFormat="1" x14ac:dyDescent="0.25">
      <c r="B58" s="515" t="s">
        <v>1452</v>
      </c>
      <c r="C58" s="516" t="s">
        <v>1453</v>
      </c>
      <c r="D58" s="640" t="s">
        <v>1454</v>
      </c>
      <c r="E58" s="517"/>
      <c r="F58" s="517"/>
      <c r="H58" s="518"/>
    </row>
    <row r="59" spans="2:8" s="514" customFormat="1" x14ac:dyDescent="0.25">
      <c r="B59" s="515" t="s">
        <v>1455</v>
      </c>
      <c r="C59" s="516" t="s">
        <v>1456</v>
      </c>
      <c r="D59" s="640" t="s">
        <v>1457</v>
      </c>
      <c r="E59" s="517"/>
      <c r="F59" s="517"/>
      <c r="H59" s="518"/>
    </row>
    <row r="60" spans="2:8" s="514" customFormat="1" x14ac:dyDescent="0.25">
      <c r="B60" s="515" t="s">
        <v>1458</v>
      </c>
      <c r="C60" s="516" t="s">
        <v>1459</v>
      </c>
      <c r="D60" s="640" t="s">
        <v>1460</v>
      </c>
      <c r="E60" s="517"/>
      <c r="F60" s="517"/>
      <c r="H60" s="518"/>
    </row>
    <row r="61" spans="2:8" s="514" customFormat="1" x14ac:dyDescent="0.25">
      <c r="B61" s="515" t="s">
        <v>1461</v>
      </c>
      <c r="C61" s="516" t="s">
        <v>1462</v>
      </c>
      <c r="D61" s="640" t="s">
        <v>1463</v>
      </c>
      <c r="E61" s="517"/>
      <c r="F61" s="517"/>
      <c r="H61" s="518"/>
    </row>
    <row r="62" spans="2:8" s="514" customFormat="1" x14ac:dyDescent="0.25">
      <c r="D62" s="658"/>
    </row>
    <row r="63" spans="2:8" s="514" customFormat="1" ht="15.75" thickBot="1" x14ac:dyDescent="0.3">
      <c r="C63" s="636"/>
      <c r="D63" s="658"/>
    </row>
    <row r="64" spans="2:8" s="514" customFormat="1" ht="15.75" thickBot="1" x14ac:dyDescent="0.3">
      <c r="B64" s="637"/>
      <c r="C64" s="638" t="s">
        <v>1464</v>
      </c>
      <c r="D64" s="659"/>
      <c r="E64" s="639"/>
      <c r="F64" s="639"/>
      <c r="H64" s="639"/>
    </row>
    <row r="65" spans="2:8" s="514" customFormat="1" x14ac:dyDescent="0.25">
      <c r="B65" s="515" t="s">
        <v>0</v>
      </c>
      <c r="C65" s="516" t="s">
        <v>1</v>
      </c>
      <c r="D65" s="640" t="s">
        <v>5</v>
      </c>
      <c r="E65" s="517" t="s">
        <v>116</v>
      </c>
      <c r="F65" s="517" t="s">
        <v>2</v>
      </c>
      <c r="H65" s="518" t="s">
        <v>1465</v>
      </c>
    </row>
    <row r="66" spans="2:8" s="514" customFormat="1" x14ac:dyDescent="0.25">
      <c r="B66" s="515" t="s">
        <v>1466</v>
      </c>
      <c r="C66" s="516" t="s">
        <v>375</v>
      </c>
      <c r="D66" s="640" t="s">
        <v>1467</v>
      </c>
      <c r="E66" s="517"/>
      <c r="F66" s="517"/>
      <c r="H66" s="518"/>
    </row>
    <row r="67" spans="2:8" s="514" customFormat="1" x14ac:dyDescent="0.25">
      <c r="B67" s="515" t="s">
        <v>190</v>
      </c>
      <c r="C67" s="516" t="s">
        <v>376</v>
      </c>
      <c r="D67" s="640" t="s">
        <v>192</v>
      </c>
      <c r="E67" s="517"/>
      <c r="F67" s="517"/>
      <c r="H67" s="518"/>
    </row>
    <row r="68" spans="2:8" s="514" customFormat="1" x14ac:dyDescent="0.25">
      <c r="B68" s="515" t="s">
        <v>1468</v>
      </c>
      <c r="C68" s="516" t="s">
        <v>376</v>
      </c>
      <c r="D68" s="640" t="s">
        <v>1469</v>
      </c>
      <c r="E68" s="517"/>
      <c r="F68" s="517"/>
      <c r="H68" s="518"/>
    </row>
    <row r="69" spans="2:8" s="514" customFormat="1" x14ac:dyDescent="0.25">
      <c r="B69" s="515" t="s">
        <v>1470</v>
      </c>
      <c r="C69" s="516" t="s">
        <v>376</v>
      </c>
      <c r="D69" s="640" t="s">
        <v>1471</v>
      </c>
      <c r="E69" s="517"/>
      <c r="F69" s="517"/>
      <c r="H69" s="518"/>
    </row>
    <row r="70" spans="2:8" s="514" customFormat="1" x14ac:dyDescent="0.25">
      <c r="B70" s="515" t="s">
        <v>1472</v>
      </c>
      <c r="C70" s="516" t="s">
        <v>376</v>
      </c>
      <c r="D70" s="640" t="s">
        <v>1473</v>
      </c>
      <c r="E70" s="517"/>
      <c r="F70" s="517"/>
      <c r="H70" s="518"/>
    </row>
    <row r="71" spans="2:8" s="514" customFormat="1" x14ac:dyDescent="0.25">
      <c r="B71" s="515" t="s">
        <v>1474</v>
      </c>
      <c r="C71" s="516" t="s">
        <v>376</v>
      </c>
      <c r="D71" s="640" t="s">
        <v>1475</v>
      </c>
      <c r="E71" s="517"/>
      <c r="F71" s="517"/>
      <c r="H71" s="518"/>
    </row>
    <row r="72" spans="2:8" s="514" customFormat="1" x14ac:dyDescent="0.25">
      <c r="B72" s="515" t="s">
        <v>1476</v>
      </c>
      <c r="C72" s="516" t="s">
        <v>376</v>
      </c>
      <c r="D72" s="640" t="s">
        <v>1477</v>
      </c>
      <c r="E72" s="517"/>
      <c r="F72" s="517"/>
      <c r="H72" s="518"/>
    </row>
    <row r="73" spans="2:8" s="514" customFormat="1" x14ac:dyDescent="0.25">
      <c r="B73" s="515" t="s">
        <v>1478</v>
      </c>
      <c r="C73" s="516" t="s">
        <v>376</v>
      </c>
      <c r="D73" s="640" t="s">
        <v>1479</v>
      </c>
      <c r="E73" s="517"/>
      <c r="F73" s="517"/>
      <c r="H73" s="518"/>
    </row>
    <row r="74" spans="2:8" s="514" customFormat="1" x14ac:dyDescent="0.25">
      <c r="B74" s="515" t="s">
        <v>1480</v>
      </c>
      <c r="C74" s="516" t="s">
        <v>376</v>
      </c>
      <c r="D74" s="640" t="s">
        <v>1481</v>
      </c>
      <c r="E74" s="517"/>
      <c r="F74" s="517"/>
      <c r="H74" s="518"/>
    </row>
    <row r="75" spans="2:8" s="514" customFormat="1" x14ac:dyDescent="0.25">
      <c r="B75" s="515" t="s">
        <v>1482</v>
      </c>
      <c r="C75" s="516" t="s">
        <v>376</v>
      </c>
      <c r="D75" s="640" t="s">
        <v>1483</v>
      </c>
      <c r="E75" s="517"/>
      <c r="F75" s="517"/>
      <c r="H75" s="518"/>
    </row>
    <row r="76" spans="2:8" s="514" customFormat="1" x14ac:dyDescent="0.25">
      <c r="B76" s="515" t="s">
        <v>1484</v>
      </c>
      <c r="C76" s="516" t="s">
        <v>376</v>
      </c>
      <c r="D76" s="640" t="s">
        <v>1485</v>
      </c>
      <c r="E76" s="517"/>
      <c r="F76" s="517"/>
      <c r="H76" s="518"/>
    </row>
    <row r="77" spans="2:8" s="514" customFormat="1" x14ac:dyDescent="0.25">
      <c r="B77" s="515" t="s">
        <v>1486</v>
      </c>
      <c r="C77" s="516" t="s">
        <v>376</v>
      </c>
      <c r="D77" s="640" t="s">
        <v>1487</v>
      </c>
      <c r="E77" s="517"/>
      <c r="F77" s="517"/>
      <c r="H77" s="518"/>
    </row>
    <row r="78" spans="2:8" s="514" customFormat="1" x14ac:dyDescent="0.25">
      <c r="B78" s="515" t="s">
        <v>1488</v>
      </c>
      <c r="C78" s="516" t="s">
        <v>376</v>
      </c>
      <c r="D78" s="640" t="s">
        <v>1489</v>
      </c>
      <c r="E78" s="517"/>
      <c r="F78" s="517"/>
      <c r="H78" s="518"/>
    </row>
    <row r="79" spans="2:8" s="514" customFormat="1" x14ac:dyDescent="0.25">
      <c r="B79" s="515" t="s">
        <v>1490</v>
      </c>
      <c r="C79" s="516" t="s">
        <v>376</v>
      </c>
      <c r="D79" s="640" t="s">
        <v>1491</v>
      </c>
      <c r="E79" s="517"/>
      <c r="F79" s="517"/>
      <c r="H79" s="518"/>
    </row>
    <row r="80" spans="2:8" s="514" customFormat="1" x14ac:dyDescent="0.25">
      <c r="B80" s="515" t="s">
        <v>1492</v>
      </c>
      <c r="C80" s="516" t="s">
        <v>376</v>
      </c>
      <c r="D80" s="640" t="s">
        <v>1493</v>
      </c>
      <c r="E80" s="517"/>
      <c r="F80" s="517"/>
      <c r="H80" s="518"/>
    </row>
    <row r="81" spans="2:8" s="514" customFormat="1" x14ac:dyDescent="0.25">
      <c r="B81" s="515" t="s">
        <v>1494</v>
      </c>
      <c r="C81" s="516" t="s">
        <v>376</v>
      </c>
      <c r="D81" s="640" t="s">
        <v>1495</v>
      </c>
      <c r="E81" s="517"/>
      <c r="F81" s="517"/>
      <c r="H81" s="518"/>
    </row>
    <row r="82" spans="2:8" s="514" customFormat="1" x14ac:dyDescent="0.25">
      <c r="B82" s="515" t="s">
        <v>1496</v>
      </c>
      <c r="C82" s="516" t="s">
        <v>376</v>
      </c>
      <c r="D82" s="640" t="s">
        <v>1497</v>
      </c>
      <c r="E82" s="517"/>
      <c r="F82" s="517"/>
      <c r="H82" s="518"/>
    </row>
    <row r="83" spans="2:8" s="514" customFormat="1" x14ac:dyDescent="0.25">
      <c r="B83" s="515" t="s">
        <v>1498</v>
      </c>
      <c r="C83" s="516" t="s">
        <v>376</v>
      </c>
      <c r="D83" s="640" t="s">
        <v>1499</v>
      </c>
      <c r="E83" s="517"/>
      <c r="F83" s="517"/>
      <c r="H83" s="518"/>
    </row>
    <row r="84" spans="2:8" s="514" customFormat="1" x14ac:dyDescent="0.25">
      <c r="B84" s="515" t="s">
        <v>1500</v>
      </c>
      <c r="C84" s="516" t="s">
        <v>376</v>
      </c>
      <c r="D84" s="640" t="s">
        <v>1501</v>
      </c>
      <c r="E84" s="517"/>
      <c r="F84" s="517"/>
      <c r="H84" s="518"/>
    </row>
    <row r="85" spans="2:8" s="514" customFormat="1" x14ac:dyDescent="0.25">
      <c r="B85" s="515" t="s">
        <v>1502</v>
      </c>
      <c r="C85" s="516" t="s">
        <v>376</v>
      </c>
      <c r="D85" s="640" t="s">
        <v>1503</v>
      </c>
      <c r="E85" s="517"/>
      <c r="F85" s="517"/>
      <c r="H85" s="518"/>
    </row>
    <row r="86" spans="2:8" s="514" customFormat="1" x14ac:dyDescent="0.25">
      <c r="B86" s="515" t="s">
        <v>193</v>
      </c>
      <c r="C86" s="516" t="s">
        <v>1504</v>
      </c>
      <c r="D86" s="640" t="s">
        <v>195</v>
      </c>
      <c r="E86" s="517"/>
      <c r="F86" s="517"/>
      <c r="H86" s="518"/>
    </row>
    <row r="87" spans="2:8" s="514" customFormat="1" x14ac:dyDescent="0.25">
      <c r="B87" s="515" t="s">
        <v>196</v>
      </c>
      <c r="C87" s="516" t="s">
        <v>1505</v>
      </c>
      <c r="D87" s="640" t="s">
        <v>198</v>
      </c>
      <c r="E87" s="517"/>
      <c r="F87" s="517"/>
      <c r="H87" s="518"/>
    </row>
    <row r="88" spans="2:8" s="514" customFormat="1" x14ac:dyDescent="0.25">
      <c r="B88" s="515" t="s">
        <v>199</v>
      </c>
      <c r="C88" s="516" t="s">
        <v>1506</v>
      </c>
      <c r="D88" s="640" t="s">
        <v>201</v>
      </c>
      <c r="E88" s="517"/>
      <c r="F88" s="517"/>
      <c r="H88" s="518"/>
    </row>
    <row r="89" spans="2:8" s="514" customFormat="1" x14ac:dyDescent="0.25">
      <c r="B89" s="515" t="s">
        <v>202</v>
      </c>
      <c r="C89" s="516" t="s">
        <v>203</v>
      </c>
      <c r="D89" s="640" t="s">
        <v>204</v>
      </c>
      <c r="E89" s="517"/>
      <c r="F89" s="517"/>
      <c r="H89" s="518" t="s">
        <v>782</v>
      </c>
    </row>
    <row r="90" spans="2:8" s="514" customFormat="1" x14ac:dyDescent="0.25">
      <c r="B90" s="515" t="s">
        <v>1507</v>
      </c>
      <c r="C90" s="516" t="s">
        <v>1508</v>
      </c>
      <c r="D90" s="640" t="s">
        <v>1509</v>
      </c>
      <c r="E90" s="517"/>
      <c r="F90" s="517"/>
      <c r="H90" s="518"/>
    </row>
    <row r="91" spans="2:8" s="514" customFormat="1" x14ac:dyDescent="0.25">
      <c r="B91" s="515" t="s">
        <v>205</v>
      </c>
      <c r="C91" s="516" t="s">
        <v>206</v>
      </c>
      <c r="D91" s="640" t="s">
        <v>207</v>
      </c>
      <c r="E91" s="517"/>
      <c r="F91" s="517"/>
      <c r="H91" s="518"/>
    </row>
    <row r="92" spans="2:8" s="514" customFormat="1" x14ac:dyDescent="0.25">
      <c r="B92" s="515" t="s">
        <v>1510</v>
      </c>
      <c r="C92" s="516" t="s">
        <v>1511</v>
      </c>
      <c r="D92" s="640" t="s">
        <v>1512</v>
      </c>
      <c r="E92" s="517"/>
      <c r="F92" s="517"/>
      <c r="H92" s="518"/>
    </row>
    <row r="93" spans="2:8" s="514" customFormat="1" x14ac:dyDescent="0.25">
      <c r="B93" s="515" t="s">
        <v>1513</v>
      </c>
      <c r="C93" s="516" t="s">
        <v>1514</v>
      </c>
      <c r="D93" s="640" t="s">
        <v>1515</v>
      </c>
      <c r="E93" s="517"/>
      <c r="F93" s="517"/>
      <c r="H93" s="518"/>
    </row>
    <row r="94" spans="2:8" s="514" customFormat="1" x14ac:dyDescent="0.25">
      <c r="B94" s="515" t="s">
        <v>1516</v>
      </c>
      <c r="C94" s="516" t="s">
        <v>1517</v>
      </c>
      <c r="D94" s="640" t="s">
        <v>1518</v>
      </c>
      <c r="E94" s="517"/>
      <c r="F94" s="517"/>
      <c r="H94" s="518"/>
    </row>
    <row r="95" spans="2:8" s="514" customFormat="1" x14ac:dyDescent="0.25">
      <c r="D95" s="658"/>
    </row>
    <row r="96" spans="2:8" s="514" customFormat="1" ht="15.75" thickBot="1" x14ac:dyDescent="0.3">
      <c r="C96" s="636" t="s">
        <v>1519</v>
      </c>
      <c r="D96" s="658" t="s">
        <v>1520</v>
      </c>
      <c r="H96" s="514" t="s">
        <v>1521</v>
      </c>
    </row>
    <row r="97" spans="2:8" s="514" customFormat="1" ht="15.75" thickBot="1" x14ac:dyDescent="0.3">
      <c r="B97" s="637" t="s">
        <v>0</v>
      </c>
      <c r="C97" s="638" t="s">
        <v>1</v>
      </c>
      <c r="D97" s="659" t="s">
        <v>5</v>
      </c>
      <c r="E97" s="639" t="s">
        <v>1522</v>
      </c>
      <c r="F97" s="639"/>
      <c r="H97" s="639"/>
    </row>
    <row r="98" spans="2:8" s="514" customFormat="1" x14ac:dyDescent="0.25">
      <c r="B98" s="515" t="s">
        <v>1523</v>
      </c>
      <c r="C98" s="516" t="s">
        <v>1524</v>
      </c>
      <c r="D98" s="640" t="s">
        <v>1523</v>
      </c>
      <c r="E98" s="517"/>
      <c r="F98" s="517"/>
      <c r="H98" s="518"/>
    </row>
    <row r="99" spans="2:8" s="514" customFormat="1" x14ac:dyDescent="0.25">
      <c r="B99" s="515" t="s">
        <v>1525</v>
      </c>
      <c r="C99" s="516" t="s">
        <v>1526</v>
      </c>
      <c r="D99" s="640" t="s">
        <v>1525</v>
      </c>
      <c r="E99" s="517"/>
      <c r="F99" s="517"/>
      <c r="H99" s="518"/>
    </row>
    <row r="100" spans="2:8" s="514" customFormat="1" x14ac:dyDescent="0.25">
      <c r="B100" s="515" t="s">
        <v>1527</v>
      </c>
      <c r="C100" s="516" t="s">
        <v>1528</v>
      </c>
      <c r="D100" s="640" t="s">
        <v>1527</v>
      </c>
      <c r="E100" s="517"/>
      <c r="F100" s="517"/>
      <c r="H100" s="518"/>
    </row>
    <row r="101" spans="2:8" s="514" customFormat="1" x14ac:dyDescent="0.25">
      <c r="B101" s="515" t="s">
        <v>1529</v>
      </c>
      <c r="C101" s="516" t="s">
        <v>1530</v>
      </c>
      <c r="D101" s="640" t="s">
        <v>1529</v>
      </c>
      <c r="E101" s="517"/>
      <c r="F101" s="517"/>
      <c r="H101" s="518"/>
    </row>
    <row r="102" spans="2:8" s="514" customFormat="1" x14ac:dyDescent="0.25">
      <c r="B102" s="515" t="s">
        <v>1531</v>
      </c>
      <c r="C102" s="516" t="s">
        <v>1532</v>
      </c>
      <c r="D102" s="640" t="s">
        <v>1531</v>
      </c>
      <c r="E102" s="517"/>
      <c r="F102" s="517"/>
      <c r="H102" s="518"/>
    </row>
    <row r="103" spans="2:8" s="514" customFormat="1" x14ac:dyDescent="0.25">
      <c r="B103" s="515" t="s">
        <v>1533</v>
      </c>
      <c r="C103" s="516" t="s">
        <v>1534</v>
      </c>
      <c r="D103" s="640" t="s">
        <v>1533</v>
      </c>
      <c r="E103" s="517"/>
      <c r="F103" s="517"/>
      <c r="H103" s="518"/>
    </row>
    <row r="104" spans="2:8" s="514" customFormat="1" x14ac:dyDescent="0.25">
      <c r="B104" s="515" t="s">
        <v>1535</v>
      </c>
      <c r="C104" s="516" t="s">
        <v>1536</v>
      </c>
      <c r="D104" s="640" t="s">
        <v>1535</v>
      </c>
      <c r="E104" s="517"/>
      <c r="F104" s="517"/>
      <c r="H104" s="518"/>
    </row>
    <row r="105" spans="2:8" s="514" customFormat="1" x14ac:dyDescent="0.25">
      <c r="B105" s="515" t="s">
        <v>1537</v>
      </c>
      <c r="C105" s="516" t="s">
        <v>1538</v>
      </c>
      <c r="D105" s="640" t="s">
        <v>1537</v>
      </c>
      <c r="E105" s="517"/>
      <c r="F105" s="517"/>
      <c r="H105" s="518"/>
    </row>
    <row r="106" spans="2:8" s="514" customFormat="1" x14ac:dyDescent="0.25">
      <c r="B106" s="515" t="s">
        <v>1539</v>
      </c>
      <c r="C106" s="516" t="s">
        <v>1540</v>
      </c>
      <c r="D106" s="640" t="s">
        <v>1539</v>
      </c>
      <c r="E106" s="517"/>
      <c r="F106" s="517"/>
      <c r="H106" s="518"/>
    </row>
    <row r="107" spans="2:8" s="514" customFormat="1" x14ac:dyDescent="0.25">
      <c r="B107" s="515" t="s">
        <v>1541</v>
      </c>
      <c r="C107" s="516" t="s">
        <v>1542</v>
      </c>
      <c r="D107" s="640" t="s">
        <v>1541</v>
      </c>
      <c r="E107" s="517"/>
      <c r="F107" s="517"/>
      <c r="H107" s="518"/>
    </row>
    <row r="108" spans="2:8" s="514" customFormat="1" x14ac:dyDescent="0.25">
      <c r="B108" s="515" t="s">
        <v>1543</v>
      </c>
      <c r="C108" s="516" t="s">
        <v>1544</v>
      </c>
      <c r="D108" s="640" t="s">
        <v>1543</v>
      </c>
      <c r="E108" s="517" t="s">
        <v>1545</v>
      </c>
      <c r="F108" s="517"/>
      <c r="H108" s="518"/>
    </row>
    <row r="109" spans="2:8" s="514" customFormat="1" x14ac:dyDescent="0.25">
      <c r="B109" s="515" t="s">
        <v>1546</v>
      </c>
      <c r="C109" s="516" t="s">
        <v>1547</v>
      </c>
      <c r="D109" s="640" t="s">
        <v>1546</v>
      </c>
      <c r="E109" s="517"/>
      <c r="F109" s="517"/>
      <c r="H109" s="518"/>
    </row>
    <row r="110" spans="2:8" s="514" customFormat="1" x14ac:dyDescent="0.25">
      <c r="B110" s="515" t="s">
        <v>1548</v>
      </c>
      <c r="C110" s="516" t="s">
        <v>1549</v>
      </c>
      <c r="D110" s="640" t="s">
        <v>1548</v>
      </c>
      <c r="E110" s="517"/>
      <c r="F110" s="517"/>
      <c r="H110" s="518"/>
    </row>
    <row r="111" spans="2:8" s="514" customFormat="1" x14ac:dyDescent="0.25">
      <c r="B111" s="515" t="s">
        <v>1550</v>
      </c>
      <c r="C111" s="516" t="s">
        <v>1551</v>
      </c>
      <c r="D111" s="640" t="s">
        <v>1550</v>
      </c>
      <c r="E111" s="517"/>
      <c r="F111" s="517"/>
      <c r="H111" s="518"/>
    </row>
    <row r="112" spans="2:8" s="514" customFormat="1" x14ac:dyDescent="0.25">
      <c r="B112" s="515" t="s">
        <v>1552</v>
      </c>
      <c r="C112" s="516" t="s">
        <v>1553</v>
      </c>
      <c r="D112" s="640" t="s">
        <v>1552</v>
      </c>
      <c r="E112" s="517"/>
      <c r="F112" s="517"/>
      <c r="H112" s="518"/>
    </row>
    <row r="113" spans="2:8" s="514" customFormat="1" x14ac:dyDescent="0.25">
      <c r="B113" s="515" t="s">
        <v>1554</v>
      </c>
      <c r="C113" s="516" t="s">
        <v>1555</v>
      </c>
      <c r="D113" s="640" t="s">
        <v>1554</v>
      </c>
      <c r="E113" s="517"/>
      <c r="F113" s="517"/>
      <c r="H113" s="518"/>
    </row>
    <row r="114" spans="2:8" s="514" customFormat="1" x14ac:dyDescent="0.25">
      <c r="B114" s="515" t="s">
        <v>1556</v>
      </c>
      <c r="C114" s="516" t="s">
        <v>1557</v>
      </c>
      <c r="D114" s="640" t="s">
        <v>1556</v>
      </c>
      <c r="E114" s="517"/>
      <c r="F114" s="517"/>
      <c r="H114" s="518"/>
    </row>
    <row r="115" spans="2:8" s="514" customFormat="1" x14ac:dyDescent="0.25">
      <c r="B115" s="515" t="s">
        <v>1558</v>
      </c>
      <c r="C115" s="516" t="s">
        <v>1559</v>
      </c>
      <c r="D115" s="640" t="s">
        <v>1558</v>
      </c>
      <c r="E115" s="517"/>
      <c r="F115" s="517"/>
      <c r="H115" s="518"/>
    </row>
    <row r="116" spans="2:8" s="514" customFormat="1" x14ac:dyDescent="0.25">
      <c r="B116" s="515" t="s">
        <v>1560</v>
      </c>
      <c r="C116" s="516" t="s">
        <v>1561</v>
      </c>
      <c r="D116" s="640" t="s">
        <v>1560</v>
      </c>
      <c r="E116" s="517"/>
      <c r="F116" s="517"/>
      <c r="H116" s="518"/>
    </row>
    <row r="117" spans="2:8" s="514" customFormat="1" x14ac:dyDescent="0.25">
      <c r="B117" s="515" t="s">
        <v>1562</v>
      </c>
      <c r="C117" s="516" t="s">
        <v>1563</v>
      </c>
      <c r="D117" s="640" t="s">
        <v>1562</v>
      </c>
      <c r="E117" s="517"/>
      <c r="F117" s="517"/>
      <c r="H117" s="518"/>
    </row>
    <row r="118" spans="2:8" s="514" customFormat="1" x14ac:dyDescent="0.25">
      <c r="B118" s="515" t="s">
        <v>1564</v>
      </c>
      <c r="C118" s="516" t="s">
        <v>1504</v>
      </c>
      <c r="D118" s="640" t="s">
        <v>1564</v>
      </c>
      <c r="E118" s="517" t="s">
        <v>1565</v>
      </c>
      <c r="F118" s="517"/>
      <c r="H118" s="518"/>
    </row>
    <row r="119" spans="2:8" s="514" customFormat="1" x14ac:dyDescent="0.25">
      <c r="B119" s="515" t="s">
        <v>197</v>
      </c>
      <c r="C119" s="516" t="s">
        <v>1566</v>
      </c>
      <c r="D119" s="640" t="s">
        <v>197</v>
      </c>
      <c r="E119" s="517"/>
      <c r="F119" s="517"/>
      <c r="H119" s="518"/>
    </row>
    <row r="120" spans="2:8" s="514" customFormat="1" x14ac:dyDescent="0.25">
      <c r="B120" s="515" t="s">
        <v>1567</v>
      </c>
      <c r="C120" s="516" t="s">
        <v>1568</v>
      </c>
      <c r="D120" s="640" t="s">
        <v>1567</v>
      </c>
      <c r="E120" s="517"/>
      <c r="F120" s="517"/>
      <c r="H120" s="518"/>
    </row>
    <row r="121" spans="2:8" s="514" customFormat="1" x14ac:dyDescent="0.25">
      <c r="B121" s="515" t="s">
        <v>1569</v>
      </c>
      <c r="C121" s="516" t="s">
        <v>1570</v>
      </c>
      <c r="D121" s="640" t="s">
        <v>1569</v>
      </c>
      <c r="E121" s="517"/>
      <c r="F121" s="517"/>
      <c r="H121" s="518"/>
    </row>
    <row r="122" spans="2:8" s="514" customFormat="1" x14ac:dyDescent="0.25">
      <c r="B122" s="515" t="s">
        <v>1571</v>
      </c>
      <c r="C122" s="516" t="s">
        <v>1572</v>
      </c>
      <c r="D122" s="640" t="s">
        <v>1571</v>
      </c>
      <c r="E122" s="517"/>
      <c r="F122" s="517"/>
      <c r="H122" s="518"/>
    </row>
    <row r="123" spans="2:8" s="514" customFormat="1" x14ac:dyDescent="0.25">
      <c r="B123" s="515" t="s">
        <v>1573</v>
      </c>
      <c r="C123" s="516" t="s">
        <v>1574</v>
      </c>
      <c r="D123" s="640" t="s">
        <v>1573</v>
      </c>
      <c r="E123" s="517"/>
      <c r="F123" s="517"/>
      <c r="H123" s="518"/>
    </row>
    <row r="124" spans="2:8" s="514" customFormat="1" x14ac:dyDescent="0.25">
      <c r="B124" s="515" t="s">
        <v>1575</v>
      </c>
      <c r="C124" s="516" t="s">
        <v>1576</v>
      </c>
      <c r="D124" s="640" t="s">
        <v>1575</v>
      </c>
      <c r="E124" s="517"/>
      <c r="F124" s="517"/>
      <c r="H124" s="518"/>
    </row>
  </sheetData>
  <conditionalFormatting sqref="E6:F8 E22:F30 E34:F61 E15:F20">
    <cfRule type="cellIs" dxfId="22" priority="10" stopIfTrue="1" operator="notEqual">
      <formula>INDIRECT("Dummy_for_Comparison3!"&amp;ADDRESS(ROW(),COLUMN()))</formula>
    </cfRule>
  </conditionalFormatting>
  <conditionalFormatting sqref="E5:F5">
    <cfRule type="cellIs" dxfId="21" priority="9" stopIfTrue="1" operator="notEqual">
      <formula>INDIRECT("Dummy_for_Comparison3!"&amp;ADDRESS(ROW(),COLUMN()))</formula>
    </cfRule>
  </conditionalFormatting>
  <conditionalFormatting sqref="E4:F4">
    <cfRule type="cellIs" dxfId="20" priority="8" stopIfTrue="1" operator="notEqual">
      <formula>INDIRECT("Dummy_for_Comparison3!"&amp;ADDRESS(ROW(),COLUMN()))</formula>
    </cfRule>
  </conditionalFormatting>
  <conditionalFormatting sqref="E66:F94 E99:F124">
    <cfRule type="cellIs" dxfId="19" priority="7" stopIfTrue="1" operator="notEqual">
      <formula>INDIRECT("Dummy_for_Comparison3!"&amp;ADDRESS(ROW(),COLUMN()))</formula>
    </cfRule>
  </conditionalFormatting>
  <conditionalFormatting sqref="E65:F65">
    <cfRule type="cellIs" dxfId="18" priority="6" stopIfTrue="1" operator="notEqual">
      <formula>INDIRECT("Dummy_for_Comparison3!"&amp;ADDRESS(ROW(),COLUMN()))</formula>
    </cfRule>
  </conditionalFormatting>
  <conditionalFormatting sqref="E98:F98">
    <cfRule type="cellIs" dxfId="17" priority="5" stopIfTrue="1" operator="notEqual">
      <formula>INDIRECT("Dummy_for_Comparison3!"&amp;ADDRESS(ROW(),COLUMN()))</formula>
    </cfRule>
  </conditionalFormatting>
  <conditionalFormatting sqref="E21:F21">
    <cfRule type="cellIs" dxfId="16" priority="4" stopIfTrue="1" operator="notEqual">
      <formula>INDIRECT("Dummy_for_Comparison3!"&amp;ADDRESS(ROW(),COLUMN()))</formula>
    </cfRule>
  </conditionalFormatting>
  <conditionalFormatting sqref="E11:F14">
    <cfRule type="cellIs" dxfId="15" priority="3" stopIfTrue="1" operator="notEqual">
      <formula>INDIRECT("Dummy_for_Comparison3!"&amp;ADDRESS(ROW(),COLUMN()))</formula>
    </cfRule>
  </conditionalFormatting>
  <conditionalFormatting sqref="E9:F9">
    <cfRule type="cellIs" dxfId="14" priority="2" stopIfTrue="1" operator="notEqual">
      <formula>INDIRECT("Dummy_for_Comparison3!"&amp;ADDRESS(ROW(),COLUMN()))</formula>
    </cfRule>
  </conditionalFormatting>
  <conditionalFormatting sqref="E10:F10">
    <cfRule type="cellIs" dxfId="13" priority="1" stopIfTrue="1" operator="notEqual">
      <formula>INDIRECT("Dummy_for_Comparison3!"&amp;ADDRESS(ROW(),COLUMN()))</formula>
    </cfRule>
  </conditionalFormatting>
  <hyperlinks>
    <hyperlink ref="B98" r:id="rId1" display="http://www.cplusplus.com/reference/cmath/cos/" xr:uid="{00000000-0004-0000-1000-000000000000}"/>
    <hyperlink ref="B99" r:id="rId2" display="http://www.cplusplus.com/reference/cmath/sin/" xr:uid="{00000000-0004-0000-1000-000001000000}"/>
    <hyperlink ref="B100" r:id="rId3" display="http://www.cplusplus.com/reference/cmath/tan/" xr:uid="{00000000-0004-0000-1000-000002000000}"/>
    <hyperlink ref="B101" r:id="rId4" display="http://www.cplusplus.com/reference/cmath/acos/" xr:uid="{00000000-0004-0000-1000-000003000000}"/>
    <hyperlink ref="B102" r:id="rId5" display="http://www.cplusplus.com/reference/cmath/asin/" xr:uid="{00000000-0004-0000-1000-000004000000}"/>
    <hyperlink ref="B103" r:id="rId6" display="http://www.cplusplus.com/reference/cmath/atan/" xr:uid="{00000000-0004-0000-1000-000005000000}"/>
    <hyperlink ref="B104" r:id="rId7" display="http://www.cplusplus.com/reference/cmath/atan2/" xr:uid="{00000000-0004-0000-1000-000006000000}"/>
    <hyperlink ref="B105" r:id="rId8" display="http://www.cplusplus.com/reference/cmath/cosh/" xr:uid="{00000000-0004-0000-1000-000007000000}"/>
    <hyperlink ref="B106" r:id="rId9" display="http://www.cplusplus.com/reference/cmath/sinh/" xr:uid="{00000000-0004-0000-1000-000008000000}"/>
    <hyperlink ref="B107" r:id="rId10" display="http://www.cplusplus.com/reference/cmath/tanh/" xr:uid="{00000000-0004-0000-1000-000009000000}"/>
    <hyperlink ref="B108" r:id="rId11" display="http://www.cplusplus.com/reference/cmath/exp/" xr:uid="{00000000-0004-0000-1000-00000A000000}"/>
    <hyperlink ref="B109" r:id="rId12" display="http://www.cplusplus.com/reference/cmath/ldexp/" xr:uid="{00000000-0004-0000-1000-00000B000000}"/>
    <hyperlink ref="B110" r:id="rId13" display="http://www.cplusplus.com/reference/cmath/log/" xr:uid="{00000000-0004-0000-1000-00000C000000}"/>
    <hyperlink ref="B111" r:id="rId14" display="http://www.cplusplus.com/reference/cmath/log10/" xr:uid="{00000000-0004-0000-1000-00000D000000}"/>
    <hyperlink ref="B112" r:id="rId15" display="http://www.cplusplus.com/reference/cmath/sqrt/" xr:uid="{00000000-0004-0000-1000-00000E000000}"/>
    <hyperlink ref="B113" r:id="rId16" display="http://www.cplusplus.com/reference/cmath/ceil/" xr:uid="{00000000-0004-0000-1000-00000F000000}"/>
    <hyperlink ref="B114" r:id="rId17" display="http://www.cplusplus.com/reference/cmath/fabs/" xr:uid="{00000000-0004-0000-1000-000010000000}"/>
    <hyperlink ref="B115" r:id="rId18" display="http://www.cplusplus.com/reference/cmath/floor/" xr:uid="{00000000-0004-0000-1000-000011000000}"/>
    <hyperlink ref="B117" r:id="rId19" display="http://www.cplusplus.com/reference/cmath/fmod/" xr:uid="{00000000-0004-0000-1000-000012000000}"/>
    <hyperlink ref="D98" r:id="rId20" display="http://www.cplusplus.com/reference/cmath/cos/" xr:uid="{00000000-0004-0000-1000-000013000000}"/>
    <hyperlink ref="D99" r:id="rId21" display="http://www.cplusplus.com/reference/cmath/sin/" xr:uid="{00000000-0004-0000-1000-000014000000}"/>
    <hyperlink ref="D100" r:id="rId22" display="http://www.cplusplus.com/reference/cmath/tan/" xr:uid="{00000000-0004-0000-1000-000015000000}"/>
    <hyperlink ref="D101" r:id="rId23" display="http://www.cplusplus.com/reference/cmath/acos/" xr:uid="{00000000-0004-0000-1000-000016000000}"/>
    <hyperlink ref="D102" r:id="rId24" display="http://www.cplusplus.com/reference/cmath/asin/" xr:uid="{00000000-0004-0000-1000-000017000000}"/>
    <hyperlink ref="D103" r:id="rId25" display="http://www.cplusplus.com/reference/cmath/atan/" xr:uid="{00000000-0004-0000-1000-000018000000}"/>
    <hyperlink ref="D104" r:id="rId26" display="http://www.cplusplus.com/reference/cmath/atan2/" xr:uid="{00000000-0004-0000-1000-000019000000}"/>
    <hyperlink ref="D105" r:id="rId27" display="http://www.cplusplus.com/reference/cmath/cosh/" xr:uid="{00000000-0004-0000-1000-00001A000000}"/>
    <hyperlink ref="D106" r:id="rId28" display="http://www.cplusplus.com/reference/cmath/sinh/" xr:uid="{00000000-0004-0000-1000-00001B000000}"/>
    <hyperlink ref="D107" r:id="rId29" display="http://www.cplusplus.com/reference/cmath/tanh/" xr:uid="{00000000-0004-0000-1000-00001C000000}"/>
    <hyperlink ref="D108" r:id="rId30" display="http://www.cplusplus.com/reference/cmath/exp/" xr:uid="{00000000-0004-0000-1000-00001D000000}"/>
    <hyperlink ref="D109" r:id="rId31" display="http://www.cplusplus.com/reference/cmath/ldexp/" xr:uid="{00000000-0004-0000-1000-00001E000000}"/>
    <hyperlink ref="D110" r:id="rId32" display="http://www.cplusplus.com/reference/cmath/log/" xr:uid="{00000000-0004-0000-1000-00001F000000}"/>
    <hyperlink ref="D111" r:id="rId33" display="http://www.cplusplus.com/reference/cmath/log10/" xr:uid="{00000000-0004-0000-1000-000020000000}"/>
    <hyperlink ref="D112" r:id="rId34" display="http://www.cplusplus.com/reference/cmath/sqrt/" xr:uid="{00000000-0004-0000-1000-000021000000}"/>
    <hyperlink ref="D113" r:id="rId35" display="http://www.cplusplus.com/reference/cmath/ceil/" xr:uid="{00000000-0004-0000-1000-000022000000}"/>
    <hyperlink ref="D114" r:id="rId36" display="http://www.cplusplus.com/reference/cmath/fabs/" xr:uid="{00000000-0004-0000-1000-000023000000}"/>
    <hyperlink ref="D115" r:id="rId37" display="http://www.cplusplus.com/reference/cmath/floor/" xr:uid="{00000000-0004-0000-1000-000024000000}"/>
    <hyperlink ref="D117" r:id="rId38" display="http://www.cplusplus.com/reference/cmath/fmod/" xr:uid="{00000000-0004-0000-1000-000025000000}"/>
  </hyperlinks>
  <pageMargins left="0.7" right="0.7" top="0.75" bottom="0.75" header="0.3" footer="0.3"/>
  <pageSetup paperSize="9" orientation="portrait" r:id="rId39"/>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dimension ref="A1:L92"/>
  <sheetViews>
    <sheetView topLeftCell="A72" workbookViewId="0">
      <selection activeCell="B3" sqref="B3:D92"/>
    </sheetView>
  </sheetViews>
  <sheetFormatPr baseColWidth="10" defaultColWidth="9.140625" defaultRowHeight="15" x14ac:dyDescent="0.25"/>
  <cols>
    <col min="1" max="1" width="4.7109375" customWidth="1"/>
    <col min="2" max="2" width="19.28515625" style="4" bestFit="1" customWidth="1"/>
    <col min="3" max="3" width="51.28515625" style="4" bestFit="1" customWidth="1"/>
    <col min="4" max="5" width="9.140625" style="3"/>
    <col min="6" max="6" width="17.85546875" style="3" customWidth="1"/>
    <col min="7" max="8" width="9.140625" style="3"/>
    <col min="9" max="9" width="12.85546875" style="3" bestFit="1" customWidth="1"/>
  </cols>
  <sheetData>
    <row r="1" spans="2:11" ht="15.75" thickBot="1" x14ac:dyDescent="0.3"/>
    <row r="2" spans="2:11" s="1432" customFormat="1" ht="15.75" thickBot="1" x14ac:dyDescent="0.3">
      <c r="B2" s="102"/>
      <c r="C2" s="1665" t="s">
        <v>5011</v>
      </c>
      <c r="D2" s="102"/>
      <c r="E2" s="102"/>
      <c r="F2" s="102"/>
      <c r="G2" s="102"/>
      <c r="H2" s="102"/>
      <c r="I2" s="102"/>
      <c r="J2" s="101"/>
    </row>
    <row r="3" spans="2:11" s="1432" customFormat="1" ht="45.75" thickBot="1" x14ac:dyDescent="0.3">
      <c r="B3" s="1666" t="s">
        <v>0</v>
      </c>
      <c r="C3" s="1667" t="s">
        <v>1</v>
      </c>
      <c r="D3" s="1667" t="s">
        <v>152</v>
      </c>
      <c r="E3" s="1667" t="s">
        <v>471</v>
      </c>
      <c r="F3" s="1667" t="s">
        <v>472</v>
      </c>
      <c r="G3" s="1667" t="s">
        <v>2</v>
      </c>
      <c r="H3" s="1667" t="s">
        <v>300</v>
      </c>
      <c r="I3" s="1667" t="s">
        <v>116</v>
      </c>
      <c r="J3" s="1668" t="s">
        <v>117</v>
      </c>
    </row>
    <row r="4" spans="2:11" s="1432" customFormat="1" ht="18.75" thickBot="1" x14ac:dyDescent="0.3">
      <c r="B4" s="422" t="s">
        <v>5012</v>
      </c>
      <c r="C4" s="417" t="s">
        <v>5013</v>
      </c>
      <c r="D4" s="423">
        <v>1.0000000000000001E-30</v>
      </c>
      <c r="E4" s="423">
        <v>0</v>
      </c>
      <c r="F4" s="423">
        <v>1</v>
      </c>
      <c r="G4" s="424"/>
      <c r="H4" s="424"/>
      <c r="I4" s="423"/>
      <c r="J4" s="425"/>
      <c r="K4" s="1432" t="s">
        <v>5014</v>
      </c>
    </row>
    <row r="5" spans="2:11" ht="15.75" thickBot="1" x14ac:dyDescent="0.3">
      <c r="B5"/>
      <c r="C5"/>
      <c r="D5"/>
      <c r="E5"/>
      <c r="F5"/>
      <c r="G5"/>
      <c r="H5"/>
      <c r="I5"/>
    </row>
    <row r="6" spans="2:11" s="101" customFormat="1" ht="15.75" thickBot="1" x14ac:dyDescent="0.3">
      <c r="B6" s="102"/>
      <c r="C6" s="1665" t="s">
        <v>1191</v>
      </c>
      <c r="D6" s="102" t="s">
        <v>301</v>
      </c>
      <c r="E6" s="102"/>
      <c r="F6" s="102"/>
      <c r="G6" s="102"/>
      <c r="H6" s="102"/>
      <c r="I6" s="102"/>
    </row>
    <row r="7" spans="2:11" s="101" customFormat="1" ht="45.75" thickBot="1" x14ac:dyDescent="0.3">
      <c r="B7" s="1666" t="s">
        <v>0</v>
      </c>
      <c r="C7" s="1667" t="s">
        <v>1</v>
      </c>
      <c r="D7" s="1667" t="s">
        <v>840</v>
      </c>
      <c r="E7" s="1667" t="s">
        <v>471</v>
      </c>
      <c r="F7" s="1667" t="s">
        <v>472</v>
      </c>
      <c r="G7" s="1667" t="s">
        <v>2</v>
      </c>
      <c r="H7" s="1667" t="s">
        <v>300</v>
      </c>
      <c r="I7" s="1667" t="s">
        <v>116</v>
      </c>
      <c r="J7" s="1668" t="s">
        <v>117</v>
      </c>
    </row>
    <row r="8" spans="2:11" s="101" customFormat="1" ht="18.75" thickBot="1" x14ac:dyDescent="0.3">
      <c r="B8" s="422" t="s">
        <v>3381</v>
      </c>
      <c r="C8" s="417" t="s">
        <v>2546</v>
      </c>
      <c r="D8" s="423">
        <v>0.1</v>
      </c>
      <c r="E8" s="423">
        <v>0</v>
      </c>
      <c r="F8" s="423">
        <v>1</v>
      </c>
      <c r="G8" s="424" t="s">
        <v>1981</v>
      </c>
      <c r="H8" s="424">
        <v>2</v>
      </c>
      <c r="I8" s="423"/>
      <c r="J8" s="425"/>
    </row>
    <row r="9" spans="2:11" ht="15.75" thickBot="1" x14ac:dyDescent="0.3">
      <c r="B9"/>
      <c r="C9"/>
      <c r="D9"/>
      <c r="E9"/>
      <c r="F9"/>
      <c r="G9"/>
      <c r="H9"/>
      <c r="I9"/>
    </row>
    <row r="10" spans="2:11" ht="15.75" thickBot="1" x14ac:dyDescent="0.3">
      <c r="B10" s="138"/>
      <c r="C10" s="1669" t="s">
        <v>3203</v>
      </c>
      <c r="D10" s="138"/>
      <c r="E10" s="138"/>
      <c r="F10" s="138"/>
      <c r="G10" s="138"/>
      <c r="H10" s="138"/>
      <c r="I10" s="138"/>
    </row>
    <row r="11" spans="2:11" ht="15.75" thickBot="1" x14ac:dyDescent="0.3">
      <c r="B11" s="1670" t="s">
        <v>0</v>
      </c>
      <c r="C11" s="1671" t="s">
        <v>1</v>
      </c>
      <c r="D11" s="1671" t="s">
        <v>152</v>
      </c>
      <c r="E11" s="1672" t="s">
        <v>471</v>
      </c>
      <c r="F11" s="1672" t="s">
        <v>472</v>
      </c>
      <c r="G11" s="1671" t="s">
        <v>2</v>
      </c>
      <c r="H11" s="1671" t="s">
        <v>300</v>
      </c>
      <c r="I11" s="1673" t="s">
        <v>116</v>
      </c>
    </row>
    <row r="12" spans="2:11" ht="18" x14ac:dyDescent="0.35">
      <c r="B12" s="1674" t="s">
        <v>4836</v>
      </c>
      <c r="C12" s="1675" t="s">
        <v>4837</v>
      </c>
      <c r="D12" s="1676">
        <v>4.8</v>
      </c>
      <c r="E12" s="1675"/>
      <c r="F12" s="1675"/>
      <c r="G12" s="1675" t="s">
        <v>4838</v>
      </c>
      <c r="H12" s="1675"/>
      <c r="I12" s="1677"/>
    </row>
    <row r="13" spans="2:11" ht="18.75" x14ac:dyDescent="0.35">
      <c r="B13" s="1678" t="s">
        <v>3204</v>
      </c>
      <c r="C13" s="1679" t="s">
        <v>3205</v>
      </c>
      <c r="D13" s="1680">
        <v>76.402000000000001</v>
      </c>
      <c r="E13" s="1679"/>
      <c r="F13" s="1679"/>
      <c r="G13" s="1679" t="s">
        <v>3206</v>
      </c>
      <c r="H13" s="1679"/>
      <c r="I13" s="86"/>
    </row>
    <row r="14" spans="2:11" ht="18.75" x14ac:dyDescent="0.35">
      <c r="B14" s="1678" t="s">
        <v>3207</v>
      </c>
      <c r="C14" s="1679" t="s">
        <v>3208</v>
      </c>
      <c r="D14" s="1680">
        <v>100</v>
      </c>
      <c r="E14" s="1679"/>
      <c r="F14" s="1679"/>
      <c r="G14" s="1679" t="s">
        <v>3206</v>
      </c>
      <c r="H14" s="1679"/>
      <c r="I14" s="86"/>
    </row>
    <row r="15" spans="2:11" ht="18.75" x14ac:dyDescent="0.35">
      <c r="B15" s="1678" t="s">
        <v>3209</v>
      </c>
      <c r="C15" s="1679" t="s">
        <v>3210</v>
      </c>
      <c r="D15" s="1680">
        <v>88.852000000000004</v>
      </c>
      <c r="E15" s="1679"/>
      <c r="F15" s="1679"/>
      <c r="G15" s="1679" t="s">
        <v>3206</v>
      </c>
      <c r="H15" s="1679"/>
      <c r="I15" s="86"/>
    </row>
    <row r="16" spans="2:11" ht="18.75" x14ac:dyDescent="0.35">
      <c r="B16" s="1678" t="s">
        <v>3211</v>
      </c>
      <c r="C16" s="1679" t="s">
        <v>3212</v>
      </c>
      <c r="D16" s="1680">
        <v>84.435000000000002</v>
      </c>
      <c r="E16" s="1679"/>
      <c r="F16" s="1679"/>
      <c r="G16" s="1679" t="s">
        <v>3206</v>
      </c>
      <c r="H16" s="1679"/>
      <c r="I16" s="86"/>
    </row>
    <row r="17" spans="1:9" ht="18.75" x14ac:dyDescent="0.35">
      <c r="B17" s="1678" t="s">
        <v>3213</v>
      </c>
      <c r="C17" s="1679" t="s">
        <v>3214</v>
      </c>
      <c r="D17" s="1680">
        <v>146.73500000000001</v>
      </c>
      <c r="E17" s="1679"/>
      <c r="F17" s="1679"/>
      <c r="G17" s="1679" t="s">
        <v>3206</v>
      </c>
      <c r="H17" s="1679"/>
      <c r="I17" s="86"/>
    </row>
    <row r="18" spans="1:9" ht="18.75" x14ac:dyDescent="0.35">
      <c r="B18" s="1678" t="s">
        <v>3215</v>
      </c>
      <c r="C18" s="1679" t="s">
        <v>3216</v>
      </c>
      <c r="D18" s="1680">
        <v>0</v>
      </c>
      <c r="E18" s="1679"/>
      <c r="F18" s="1679"/>
      <c r="G18" s="1679" t="s">
        <v>3206</v>
      </c>
      <c r="H18" s="1679"/>
      <c r="I18" s="86"/>
    </row>
    <row r="19" spans="1:9" ht="18.75" x14ac:dyDescent="0.35">
      <c r="B19" s="1678" t="s">
        <v>3217</v>
      </c>
      <c r="C19" s="1679" t="s">
        <v>3218</v>
      </c>
      <c r="D19" s="1680">
        <v>90.980999999999995</v>
      </c>
      <c r="E19" s="1679"/>
      <c r="F19" s="1679"/>
      <c r="G19" s="1679" t="s">
        <v>3206</v>
      </c>
      <c r="H19" s="1679"/>
      <c r="I19" s="86"/>
    </row>
    <row r="20" spans="1:9" ht="18.75" x14ac:dyDescent="0.35">
      <c r="B20" s="1696" t="s">
        <v>3647</v>
      </c>
      <c r="C20" s="1697" t="s">
        <v>3648</v>
      </c>
      <c r="D20" s="1698">
        <v>90.980999999999995</v>
      </c>
      <c r="E20" s="1697"/>
      <c r="F20" s="1697"/>
      <c r="G20" s="1697" t="s">
        <v>3206</v>
      </c>
      <c r="H20" s="1697"/>
      <c r="I20" s="1655"/>
    </row>
    <row r="21" spans="1:9" ht="18.75" x14ac:dyDescent="0.35">
      <c r="B21" s="1696" t="s">
        <v>3649</v>
      </c>
      <c r="C21" s="1697" t="s">
        <v>3650</v>
      </c>
      <c r="D21" s="1698">
        <v>90.980999999999995</v>
      </c>
      <c r="E21" s="1697"/>
      <c r="F21" s="1697"/>
      <c r="G21" s="1697" t="s">
        <v>3206</v>
      </c>
      <c r="H21" s="1697"/>
      <c r="I21" s="1655"/>
    </row>
    <row r="22" spans="1:9" s="121" customFormat="1" ht="18" x14ac:dyDescent="0.35">
      <c r="B22" s="1681" t="s">
        <v>3219</v>
      </c>
      <c r="C22" s="1682" t="s">
        <v>3220</v>
      </c>
      <c r="D22" s="1683">
        <v>3748.91</v>
      </c>
      <c r="E22" s="1683"/>
      <c r="F22" s="1682"/>
      <c r="G22" s="1684" t="s">
        <v>835</v>
      </c>
      <c r="H22" s="1682"/>
      <c r="I22" s="1685" t="s">
        <v>1176</v>
      </c>
    </row>
    <row r="23" spans="1:9" s="121" customFormat="1" ht="18.75" x14ac:dyDescent="0.35">
      <c r="B23" s="1681" t="s">
        <v>3221</v>
      </c>
      <c r="C23" s="1682" t="s">
        <v>3222</v>
      </c>
      <c r="D23" s="1683">
        <v>10</v>
      </c>
      <c r="E23" s="1683"/>
      <c r="F23" s="1682"/>
      <c r="G23" s="1682" t="s">
        <v>835</v>
      </c>
      <c r="H23" s="1682"/>
      <c r="I23" s="1685" t="s">
        <v>1166</v>
      </c>
    </row>
    <row r="24" spans="1:9" s="121" customFormat="1" ht="18.75" x14ac:dyDescent="0.35">
      <c r="B24" s="1681" t="s">
        <v>3223</v>
      </c>
      <c r="C24" s="1682" t="s">
        <v>3224</v>
      </c>
      <c r="D24" s="1683">
        <v>40</v>
      </c>
      <c r="E24" s="1683"/>
      <c r="F24" s="1682"/>
      <c r="G24" s="1682" t="s">
        <v>835</v>
      </c>
      <c r="H24" s="1682"/>
      <c r="I24" s="1685" t="s">
        <v>1167</v>
      </c>
    </row>
    <row r="25" spans="1:9" s="121" customFormat="1" ht="18.75" x14ac:dyDescent="0.35">
      <c r="B25" s="1681" t="s">
        <v>3225</v>
      </c>
      <c r="C25" s="1682" t="s">
        <v>3226</v>
      </c>
      <c r="D25" s="1683">
        <v>0</v>
      </c>
      <c r="E25" s="1683"/>
      <c r="F25" s="1682"/>
      <c r="G25" s="1682" t="s">
        <v>835</v>
      </c>
      <c r="H25" s="1682"/>
      <c r="I25" s="1685" t="s">
        <v>1168</v>
      </c>
    </row>
    <row r="26" spans="1:9" s="121" customFormat="1" ht="18.75" x14ac:dyDescent="0.35">
      <c r="B26" s="1681" t="s">
        <v>3227</v>
      </c>
      <c r="C26" s="1682" t="s">
        <v>3228</v>
      </c>
      <c r="D26" s="1683">
        <v>0</v>
      </c>
      <c r="E26" s="1683"/>
      <c r="F26" s="1682"/>
      <c r="G26" s="1682" t="s">
        <v>835</v>
      </c>
      <c r="H26" s="1682"/>
      <c r="I26" s="1685" t="s">
        <v>1169</v>
      </c>
    </row>
    <row r="27" spans="1:9" s="121" customFormat="1" ht="18" x14ac:dyDescent="0.25">
      <c r="B27" s="1686" t="s">
        <v>3229</v>
      </c>
      <c r="C27" s="1684" t="s">
        <v>3230</v>
      </c>
      <c r="D27" s="1687">
        <v>0</v>
      </c>
      <c r="E27" s="1687"/>
      <c r="F27" s="1687"/>
      <c r="G27" s="1684" t="s">
        <v>835</v>
      </c>
      <c r="H27" s="1687"/>
      <c r="I27" s="1688" t="s">
        <v>1177</v>
      </c>
    </row>
    <row r="28" spans="1:9" s="121" customFormat="1" ht="19.5" thickBot="1" x14ac:dyDescent="0.4">
      <c r="A28"/>
      <c r="B28" s="1689" t="s">
        <v>3231</v>
      </c>
      <c r="C28" s="1690" t="s">
        <v>3232</v>
      </c>
      <c r="D28" s="1691">
        <v>15</v>
      </c>
      <c r="E28" s="1691"/>
      <c r="F28" s="1690"/>
      <c r="G28" s="1690" t="s">
        <v>835</v>
      </c>
      <c r="H28" s="1690"/>
      <c r="I28" s="1692" t="s">
        <v>1170</v>
      </c>
    </row>
    <row r="29" spans="1:9" s="121" customFormat="1" ht="18.75" x14ac:dyDescent="0.35">
      <c r="A29"/>
      <c r="B29" s="1681" t="s">
        <v>3651</v>
      </c>
      <c r="C29" s="1682" t="s">
        <v>3652</v>
      </c>
      <c r="D29" s="1683">
        <v>15</v>
      </c>
      <c r="E29" s="1683"/>
      <c r="F29" s="1682"/>
      <c r="G29" s="1682" t="s">
        <v>835</v>
      </c>
      <c r="H29" s="1682"/>
      <c r="I29" s="1685" t="s">
        <v>3655</v>
      </c>
    </row>
    <row r="30" spans="1:9" s="121" customFormat="1" ht="19.5" thickBot="1" x14ac:dyDescent="0.4">
      <c r="A30"/>
      <c r="B30" s="1689" t="s">
        <v>3654</v>
      </c>
      <c r="C30" s="1690" t="s">
        <v>3653</v>
      </c>
      <c r="D30" s="1691">
        <v>15</v>
      </c>
      <c r="E30" s="1691"/>
      <c r="F30" s="1690"/>
      <c r="G30" s="1690" t="s">
        <v>835</v>
      </c>
      <c r="H30" s="1690"/>
      <c r="I30" s="1692" t="s">
        <v>3656</v>
      </c>
    </row>
    <row r="31" spans="1:9" ht="15.75" thickBot="1" x14ac:dyDescent="0.3">
      <c r="B31"/>
      <c r="C31"/>
      <c r="D31"/>
      <c r="E31"/>
      <c r="F31"/>
      <c r="G31"/>
      <c r="H31"/>
      <c r="I31"/>
    </row>
    <row r="32" spans="1:9" ht="15.75" thickBot="1" x14ac:dyDescent="0.3">
      <c r="B32" s="138"/>
      <c r="C32" s="1669" t="s">
        <v>3233</v>
      </c>
      <c r="D32" s="138"/>
      <c r="E32" s="138"/>
      <c r="F32" s="138"/>
      <c r="G32" s="138"/>
      <c r="H32" s="138"/>
      <c r="I32" s="138"/>
    </row>
    <row r="33" spans="2:9" ht="15.75" thickBot="1" x14ac:dyDescent="0.3">
      <c r="B33" s="1670" t="s">
        <v>0</v>
      </c>
      <c r="C33" s="1671" t="s">
        <v>1</v>
      </c>
      <c r="D33" s="1671" t="s">
        <v>152</v>
      </c>
      <c r="E33" s="1672" t="s">
        <v>471</v>
      </c>
      <c r="F33" s="1672" t="s">
        <v>472</v>
      </c>
      <c r="G33" s="1671" t="s">
        <v>2</v>
      </c>
      <c r="H33" s="1671" t="s">
        <v>300</v>
      </c>
      <c r="I33" s="1673" t="s">
        <v>116</v>
      </c>
    </row>
    <row r="34" spans="2:9" ht="18.75" x14ac:dyDescent="0.35">
      <c r="B34" s="1674" t="s">
        <v>3234</v>
      </c>
      <c r="C34" s="1675" t="s">
        <v>3235</v>
      </c>
      <c r="D34" s="1676">
        <v>2.2919999999999998</v>
      </c>
      <c r="E34" s="1675"/>
      <c r="F34" s="1675"/>
      <c r="G34" s="1675" t="s">
        <v>3206</v>
      </c>
      <c r="H34" s="1675"/>
      <c r="I34" s="1677"/>
    </row>
    <row r="35" spans="2:9" ht="18.75" x14ac:dyDescent="0.35">
      <c r="B35" s="1678" t="s">
        <v>3236</v>
      </c>
      <c r="C35" s="1679" t="s">
        <v>3237</v>
      </c>
      <c r="D35" s="1680">
        <v>3</v>
      </c>
      <c r="E35" s="1679"/>
      <c r="F35" s="1679"/>
      <c r="G35" s="1679" t="s">
        <v>3206</v>
      </c>
      <c r="H35" s="1679"/>
      <c r="I35" s="86"/>
    </row>
    <row r="36" spans="2:9" ht="18.75" x14ac:dyDescent="0.35">
      <c r="B36" s="1678" t="s">
        <v>3238</v>
      </c>
      <c r="C36" s="1679" t="s">
        <v>3239</v>
      </c>
      <c r="D36" s="1680">
        <v>2.6659999999999999</v>
      </c>
      <c r="E36" s="1679"/>
      <c r="F36" s="1679"/>
      <c r="G36" s="1679" t="s">
        <v>3206</v>
      </c>
      <c r="H36" s="1679"/>
      <c r="I36" s="86"/>
    </row>
    <row r="37" spans="2:9" ht="18.75" x14ac:dyDescent="0.35">
      <c r="B37" s="1678" t="s">
        <v>3240</v>
      </c>
      <c r="C37" s="1679" t="s">
        <v>3241</v>
      </c>
      <c r="D37" s="1680">
        <v>2.5329999999999999</v>
      </c>
      <c r="E37" s="1679"/>
      <c r="F37" s="1679"/>
      <c r="G37" s="1679" t="s">
        <v>3206</v>
      </c>
      <c r="H37" s="1679"/>
      <c r="I37" s="86"/>
    </row>
    <row r="38" spans="2:9" ht="18.75" x14ac:dyDescent="0.35">
      <c r="B38" s="1678" t="s">
        <v>3242</v>
      </c>
      <c r="C38" s="1679" t="s">
        <v>3243</v>
      </c>
      <c r="D38" s="1680">
        <v>4.4020000000000001</v>
      </c>
      <c r="E38" s="1679"/>
      <c r="F38" s="1679"/>
      <c r="G38" s="1679" t="s">
        <v>3206</v>
      </c>
      <c r="H38" s="1679"/>
      <c r="I38" s="86"/>
    </row>
    <row r="39" spans="2:9" ht="18.75" x14ac:dyDescent="0.35">
      <c r="B39" s="1678" t="s">
        <v>3244</v>
      </c>
      <c r="C39" s="1679" t="s">
        <v>3245</v>
      </c>
      <c r="D39" s="1680">
        <v>0</v>
      </c>
      <c r="E39" s="1679"/>
      <c r="F39" s="1679"/>
      <c r="G39" s="1679" t="s">
        <v>3206</v>
      </c>
      <c r="H39" s="1679"/>
      <c r="I39" s="86"/>
    </row>
    <row r="40" spans="2:9" ht="18.75" x14ac:dyDescent="0.35">
      <c r="B40" s="1678" t="s">
        <v>3246</v>
      </c>
      <c r="C40" s="1679" t="s">
        <v>3247</v>
      </c>
      <c r="D40" s="1680">
        <v>2.73</v>
      </c>
      <c r="E40" s="1679"/>
      <c r="F40" s="1679"/>
      <c r="G40" s="1679" t="s">
        <v>3206</v>
      </c>
      <c r="H40" s="1679"/>
      <c r="I40" s="86"/>
    </row>
    <row r="41" spans="2:9" ht="18.75" x14ac:dyDescent="0.35">
      <c r="B41" s="1696" t="s">
        <v>3657</v>
      </c>
      <c r="C41" s="1697" t="s">
        <v>3658</v>
      </c>
      <c r="D41" s="1698">
        <v>2.73</v>
      </c>
      <c r="E41" s="1697"/>
      <c r="F41" s="1697"/>
      <c r="G41" s="1697" t="s">
        <v>3206</v>
      </c>
      <c r="H41" s="1697"/>
      <c r="I41" s="1655"/>
    </row>
    <row r="42" spans="2:9" ht="18.75" x14ac:dyDescent="0.35">
      <c r="B42" s="1696" t="s">
        <v>3659</v>
      </c>
      <c r="C42" s="1697" t="s">
        <v>3660</v>
      </c>
      <c r="D42" s="1698">
        <v>2.73</v>
      </c>
      <c r="E42" s="1697"/>
      <c r="F42" s="1697"/>
      <c r="G42" s="1697" t="s">
        <v>3206</v>
      </c>
      <c r="H42" s="1697"/>
      <c r="I42" s="1655"/>
    </row>
    <row r="43" spans="2:9" s="121" customFormat="1" ht="18" x14ac:dyDescent="0.35">
      <c r="B43" s="1681" t="s">
        <v>3248</v>
      </c>
      <c r="C43" s="1682" t="s">
        <v>3249</v>
      </c>
      <c r="D43" s="1683">
        <v>3748.91</v>
      </c>
      <c r="E43" s="1683"/>
      <c r="F43" s="1682"/>
      <c r="G43" s="1684" t="s">
        <v>835</v>
      </c>
      <c r="H43" s="1682"/>
      <c r="I43" s="1685" t="s">
        <v>3250</v>
      </c>
    </row>
    <row r="44" spans="2:9" s="121" customFormat="1" ht="18.75" x14ac:dyDescent="0.35">
      <c r="B44" s="1681" t="s">
        <v>3251</v>
      </c>
      <c r="C44" s="1682" t="s">
        <v>3252</v>
      </c>
      <c r="D44" s="1683">
        <v>10</v>
      </c>
      <c r="E44" s="1683"/>
      <c r="F44" s="1682"/>
      <c r="G44" s="1682" t="s">
        <v>835</v>
      </c>
      <c r="H44" s="1682"/>
      <c r="I44" s="1685" t="s">
        <v>3253</v>
      </c>
    </row>
    <row r="45" spans="2:9" s="121" customFormat="1" ht="18.75" x14ac:dyDescent="0.35">
      <c r="B45" s="1681" t="s">
        <v>3254</v>
      </c>
      <c r="C45" s="1682" t="s">
        <v>3255</v>
      </c>
      <c r="D45" s="1683">
        <v>40</v>
      </c>
      <c r="E45" s="1683"/>
      <c r="F45" s="1682"/>
      <c r="G45" s="1682" t="s">
        <v>835</v>
      </c>
      <c r="H45" s="1682"/>
      <c r="I45" s="1685" t="s">
        <v>3256</v>
      </c>
    </row>
    <row r="46" spans="2:9" s="121" customFormat="1" ht="18.75" x14ac:dyDescent="0.35">
      <c r="B46" s="1681" t="s">
        <v>3257</v>
      </c>
      <c r="C46" s="1682" t="s">
        <v>3258</v>
      </c>
      <c r="D46" s="1683">
        <v>0</v>
      </c>
      <c r="E46" s="1683"/>
      <c r="F46" s="1682"/>
      <c r="G46" s="1682" t="s">
        <v>835</v>
      </c>
      <c r="H46" s="1682"/>
      <c r="I46" s="1685" t="s">
        <v>3259</v>
      </c>
    </row>
    <row r="47" spans="2:9" s="121" customFormat="1" ht="18.75" x14ac:dyDescent="0.35">
      <c r="B47" s="1681" t="s">
        <v>3260</v>
      </c>
      <c r="C47" s="1682" t="s">
        <v>3261</v>
      </c>
      <c r="D47" s="1683">
        <v>0</v>
      </c>
      <c r="E47" s="1683"/>
      <c r="F47" s="1682"/>
      <c r="G47" s="1682" t="s">
        <v>835</v>
      </c>
      <c r="H47" s="1682"/>
      <c r="I47" s="1685" t="s">
        <v>3262</v>
      </c>
    </row>
    <row r="48" spans="2:9" s="121" customFormat="1" ht="18" x14ac:dyDescent="0.25">
      <c r="B48" s="1686" t="s">
        <v>3263</v>
      </c>
      <c r="C48" s="1684" t="s">
        <v>3264</v>
      </c>
      <c r="D48" s="1687">
        <v>0</v>
      </c>
      <c r="E48" s="1687"/>
      <c r="F48" s="1687"/>
      <c r="G48" s="1684" t="s">
        <v>835</v>
      </c>
      <c r="H48" s="1687"/>
      <c r="I48" s="1688" t="s">
        <v>3265</v>
      </c>
    </row>
    <row r="49" spans="1:12" s="121" customFormat="1" ht="19.5" thickBot="1" x14ac:dyDescent="0.4">
      <c r="A49" s="115"/>
      <c r="B49" s="1689" t="s">
        <v>3266</v>
      </c>
      <c r="C49" s="1690" t="s">
        <v>3267</v>
      </c>
      <c r="D49" s="1691">
        <v>15</v>
      </c>
      <c r="E49" s="1691"/>
      <c r="F49" s="1690"/>
      <c r="G49" s="1690" t="s">
        <v>835</v>
      </c>
      <c r="H49" s="1690"/>
      <c r="I49" s="1692" t="s">
        <v>3268</v>
      </c>
    </row>
    <row r="50" spans="1:12" s="121" customFormat="1" ht="18.75" x14ac:dyDescent="0.35">
      <c r="A50" s="115"/>
      <c r="B50" s="1681" t="s">
        <v>3661</v>
      </c>
      <c r="C50" s="1682" t="s">
        <v>3662</v>
      </c>
      <c r="D50" s="1683">
        <v>15</v>
      </c>
      <c r="E50" s="1683"/>
      <c r="F50" s="1682"/>
      <c r="G50" s="1682" t="s">
        <v>835</v>
      </c>
      <c r="H50" s="1682"/>
      <c r="I50" s="1685" t="s">
        <v>3665</v>
      </c>
    </row>
    <row r="51" spans="1:12" s="121" customFormat="1" ht="19.5" thickBot="1" x14ac:dyDescent="0.4">
      <c r="A51" s="115"/>
      <c r="B51" s="1689" t="s">
        <v>3663</v>
      </c>
      <c r="C51" s="1690" t="s">
        <v>3664</v>
      </c>
      <c r="D51" s="1691">
        <v>15</v>
      </c>
      <c r="E51" s="1691"/>
      <c r="F51" s="1690"/>
      <c r="G51" s="1690" t="s">
        <v>835</v>
      </c>
      <c r="H51" s="1690"/>
      <c r="I51" s="1692" t="s">
        <v>3666</v>
      </c>
    </row>
    <row r="52" spans="1:12" ht="15.75" thickBot="1" x14ac:dyDescent="0.3">
      <c r="B52"/>
      <c r="C52"/>
      <c r="D52"/>
      <c r="E52"/>
      <c r="F52"/>
      <c r="G52"/>
      <c r="H52"/>
      <c r="I52"/>
    </row>
    <row r="53" spans="1:12" ht="15.75" thickBot="1" x14ac:dyDescent="0.3">
      <c r="B53" s="138"/>
      <c r="C53" s="1669" t="s">
        <v>786</v>
      </c>
      <c r="D53" s="138"/>
      <c r="E53" s="138"/>
      <c r="F53" s="138"/>
      <c r="G53" s="138"/>
      <c r="H53" s="138"/>
      <c r="I53" s="138"/>
    </row>
    <row r="54" spans="1:12" ht="15.75" thickBot="1" x14ac:dyDescent="0.3">
      <c r="B54" s="1670" t="s">
        <v>0</v>
      </c>
      <c r="C54" s="1671" t="s">
        <v>1</v>
      </c>
      <c r="D54" s="1671" t="s">
        <v>152</v>
      </c>
      <c r="E54" s="1672" t="s">
        <v>471</v>
      </c>
      <c r="F54" s="1672" t="s">
        <v>472</v>
      </c>
      <c r="G54" s="1671" t="s">
        <v>2</v>
      </c>
      <c r="H54" s="1671" t="s">
        <v>300</v>
      </c>
      <c r="I54" s="1673" t="s">
        <v>116</v>
      </c>
    </row>
    <row r="55" spans="1:12" s="101" customFormat="1" ht="30" x14ac:dyDescent="0.25">
      <c r="B55" s="1693" t="s">
        <v>3303</v>
      </c>
      <c r="C55" s="1694" t="s">
        <v>3305</v>
      </c>
      <c r="D55" s="1695">
        <v>0</v>
      </c>
      <c r="E55" s="1338">
        <v>0</v>
      </c>
      <c r="F55" s="1338" t="s">
        <v>1252</v>
      </c>
      <c r="G55" s="506" t="s">
        <v>1999</v>
      </c>
      <c r="H55" s="1338">
        <v>1</v>
      </c>
      <c r="I55" s="1414" t="s">
        <v>3306</v>
      </c>
      <c r="J55" s="1539" t="s">
        <v>3307</v>
      </c>
    </row>
    <row r="56" spans="1:12" s="101" customFormat="1" ht="30" x14ac:dyDescent="0.25">
      <c r="B56" s="1693" t="s">
        <v>3304</v>
      </c>
      <c r="C56" s="1694" t="s">
        <v>3308</v>
      </c>
      <c r="D56" s="1695">
        <v>0</v>
      </c>
      <c r="E56" s="1338">
        <v>0</v>
      </c>
      <c r="F56" s="1338" t="s">
        <v>1252</v>
      </c>
      <c r="G56" s="506" t="s">
        <v>1999</v>
      </c>
      <c r="H56" s="1338">
        <v>1</v>
      </c>
      <c r="I56" s="1414" t="s">
        <v>3309</v>
      </c>
      <c r="J56" s="1539" t="s">
        <v>3307</v>
      </c>
    </row>
    <row r="57" spans="1:12" ht="18.75" x14ac:dyDescent="0.35">
      <c r="B57" s="1696" t="s">
        <v>803</v>
      </c>
      <c r="C57" s="1697" t="s">
        <v>802</v>
      </c>
      <c r="D57" s="1698">
        <v>7.0000000000000001E-3</v>
      </c>
      <c r="E57" s="1697"/>
      <c r="F57" s="1697"/>
      <c r="G57" s="1682" t="s">
        <v>1873</v>
      </c>
      <c r="H57" s="1697"/>
      <c r="I57" s="1655"/>
    </row>
    <row r="58" spans="1:12" s="115" customFormat="1" ht="18" x14ac:dyDescent="0.25">
      <c r="B58" s="1699" t="s">
        <v>2412</v>
      </c>
      <c r="C58" s="1700" t="s">
        <v>2413</v>
      </c>
      <c r="D58" s="1462">
        <v>35</v>
      </c>
      <c r="E58" s="1462"/>
      <c r="F58" s="1462"/>
      <c r="G58" s="1414" t="s">
        <v>1045</v>
      </c>
      <c r="H58" s="1460"/>
      <c r="I58" s="1461"/>
      <c r="J58" s="127"/>
      <c r="K58" s="127"/>
      <c r="L58" s="127"/>
    </row>
    <row r="59" spans="1:12" s="115" customFormat="1" ht="18.75" thickBot="1" x14ac:dyDescent="0.3">
      <c r="B59" s="1701" t="s">
        <v>2414</v>
      </c>
      <c r="C59" s="1702" t="s">
        <v>2415</v>
      </c>
      <c r="D59" s="1703">
        <v>150</v>
      </c>
      <c r="E59" s="1703"/>
      <c r="F59" s="1703"/>
      <c r="G59" s="1704" t="s">
        <v>1047</v>
      </c>
      <c r="H59" s="1705"/>
      <c r="I59" s="1706"/>
      <c r="J59" s="127"/>
      <c r="K59" s="127"/>
      <c r="L59" s="127"/>
    </row>
    <row r="60" spans="1:12" s="144" customFormat="1" ht="15.75" thickBot="1" x14ac:dyDescent="0.3">
      <c r="B60" s="125"/>
      <c r="C60" s="139"/>
      <c r="D60" s="140"/>
      <c r="E60" s="141"/>
      <c r="F60" s="142"/>
      <c r="G60" s="140"/>
      <c r="H60" s="140"/>
      <c r="I60" s="143"/>
    </row>
    <row r="61" spans="1:12" s="144" customFormat="1" ht="15.75" thickBot="1" x14ac:dyDescent="0.3">
      <c r="B61" s="125"/>
      <c r="C61" s="1669" t="s">
        <v>1171</v>
      </c>
      <c r="D61" s="140"/>
      <c r="E61" s="141"/>
      <c r="F61" s="142"/>
      <c r="G61" s="140"/>
      <c r="H61" s="140"/>
      <c r="I61" s="143"/>
    </row>
    <row r="62" spans="1:12" s="144" customFormat="1" ht="15.75" thickBot="1" x14ac:dyDescent="0.3">
      <c r="B62" s="1670" t="s">
        <v>0</v>
      </c>
      <c r="C62" s="1671" t="s">
        <v>1</v>
      </c>
      <c r="D62" s="1671" t="s">
        <v>152</v>
      </c>
      <c r="E62" s="1672" t="s">
        <v>471</v>
      </c>
      <c r="F62" s="1672" t="s">
        <v>472</v>
      </c>
      <c r="G62" s="1671" t="s">
        <v>2</v>
      </c>
      <c r="H62" s="1671" t="s">
        <v>300</v>
      </c>
      <c r="I62" s="1673" t="s">
        <v>116</v>
      </c>
    </row>
    <row r="63" spans="1:12" s="144" customFormat="1" ht="15.75" thickBot="1" x14ac:dyDescent="0.3">
      <c r="B63" s="1707" t="s">
        <v>792</v>
      </c>
      <c r="C63" s="1708" t="s">
        <v>787</v>
      </c>
      <c r="D63" s="1709" t="b">
        <v>0</v>
      </c>
      <c r="E63" s="1708"/>
      <c r="F63" s="1708"/>
      <c r="G63" s="1708"/>
      <c r="H63" s="1708"/>
      <c r="I63" s="1710" t="s">
        <v>788</v>
      </c>
    </row>
    <row r="64" spans="1:12" s="144" customFormat="1" ht="15.75" thickBot="1" x14ac:dyDescent="0.3"/>
    <row r="65" spans="2:9" s="144" customFormat="1" ht="15.75" thickBot="1" x14ac:dyDescent="0.3">
      <c r="B65" s="1711" t="s">
        <v>1172</v>
      </c>
      <c r="C65" s="1669" t="s">
        <v>1173</v>
      </c>
      <c r="D65" s="138"/>
      <c r="E65" s="138"/>
      <c r="F65" s="138"/>
      <c r="G65" s="138"/>
      <c r="H65" s="138"/>
      <c r="I65" s="138"/>
    </row>
    <row r="66" spans="2:9" s="144" customFormat="1" ht="15.75" thickBot="1" x14ac:dyDescent="0.3">
      <c r="B66" s="1670" t="s">
        <v>0</v>
      </c>
      <c r="C66" s="1671" t="s">
        <v>1</v>
      </c>
      <c r="D66" s="1671" t="s">
        <v>152</v>
      </c>
      <c r="E66" s="1672" t="s">
        <v>471</v>
      </c>
      <c r="F66" s="1672" t="s">
        <v>472</v>
      </c>
      <c r="G66" s="1671" t="s">
        <v>2</v>
      </c>
      <c r="H66" s="1671" t="s">
        <v>300</v>
      </c>
      <c r="I66" s="1673" t="s">
        <v>116</v>
      </c>
    </row>
    <row r="67" spans="2:9" s="144" customFormat="1" x14ac:dyDescent="0.25">
      <c r="B67" s="1712" t="s">
        <v>1174</v>
      </c>
      <c r="C67" s="1713"/>
      <c r="D67" s="1713" t="b">
        <v>0</v>
      </c>
      <c r="E67" s="1713"/>
      <c r="F67" s="1713"/>
      <c r="G67" s="1713"/>
      <c r="H67" s="1713"/>
      <c r="I67" s="1714" t="s">
        <v>1175</v>
      </c>
    </row>
    <row r="68" spans="2:9" s="144" customFormat="1" x14ac:dyDescent="0.25">
      <c r="B68" s="1448" t="s">
        <v>1253</v>
      </c>
      <c r="C68" s="1715"/>
      <c r="D68" s="1715" t="b">
        <v>0</v>
      </c>
      <c r="E68" s="1715"/>
      <c r="F68" s="1715"/>
      <c r="G68" s="1715"/>
      <c r="H68" s="1715"/>
      <c r="I68" s="1449" t="s">
        <v>1175</v>
      </c>
    </row>
    <row r="69" spans="2:9" s="144" customFormat="1" x14ac:dyDescent="0.25">
      <c r="B69" s="1448" t="s">
        <v>11</v>
      </c>
      <c r="C69" s="1715"/>
      <c r="D69" s="1715" t="b">
        <v>1</v>
      </c>
      <c r="E69" s="1715"/>
      <c r="F69" s="1715"/>
      <c r="G69" s="1715"/>
      <c r="H69" s="1715"/>
      <c r="I69" s="1449" t="s">
        <v>1175</v>
      </c>
    </row>
    <row r="70" spans="2:9" s="144" customFormat="1" x14ac:dyDescent="0.25">
      <c r="B70" s="1448" t="s">
        <v>15</v>
      </c>
      <c r="C70" s="1715"/>
      <c r="D70" s="1715" t="b">
        <v>0</v>
      </c>
      <c r="E70" s="1715"/>
      <c r="F70" s="1715"/>
      <c r="G70" s="1715"/>
      <c r="H70" s="1715"/>
      <c r="I70" s="1449" t="s">
        <v>1175</v>
      </c>
    </row>
    <row r="71" spans="2:9" s="144" customFormat="1" x14ac:dyDescent="0.25">
      <c r="B71" s="1448" t="s">
        <v>4802</v>
      </c>
      <c r="C71" s="1715"/>
      <c r="D71" s="1715" t="b">
        <v>0</v>
      </c>
      <c r="E71" s="1715"/>
      <c r="F71" s="1715"/>
      <c r="G71" s="1715"/>
      <c r="H71" s="1715"/>
      <c r="I71" s="1449" t="s">
        <v>1175</v>
      </c>
    </row>
    <row r="72" spans="2:9" x14ac:dyDescent="0.25">
      <c r="B72" s="1448" t="s">
        <v>2097</v>
      </c>
      <c r="C72" s="1715"/>
      <c r="D72" s="1715" t="b">
        <v>1</v>
      </c>
      <c r="E72" s="1715"/>
      <c r="F72" s="1715"/>
      <c r="G72" s="1715"/>
      <c r="H72" s="1715"/>
      <c r="I72" s="1449" t="s">
        <v>1175</v>
      </c>
    </row>
    <row r="73" spans="2:9" x14ac:dyDescent="0.25">
      <c r="B73" s="1448" t="s">
        <v>331</v>
      </c>
      <c r="C73" s="1715"/>
      <c r="D73" s="1715" t="b">
        <v>1</v>
      </c>
      <c r="E73" s="1715"/>
      <c r="F73" s="1715"/>
      <c r="G73" s="1715"/>
      <c r="H73" s="1715"/>
      <c r="I73" s="1449" t="s">
        <v>1175</v>
      </c>
    </row>
    <row r="74" spans="2:9" x14ac:dyDescent="0.25">
      <c r="B74" s="1448" t="s">
        <v>1208</v>
      </c>
      <c r="C74" s="1697"/>
      <c r="D74" s="1715" t="b">
        <v>0</v>
      </c>
      <c r="E74" s="1697"/>
      <c r="F74" s="1697"/>
      <c r="G74" s="1697"/>
      <c r="H74" s="1697"/>
      <c r="I74" s="1449" t="s">
        <v>1175</v>
      </c>
    </row>
    <row r="75" spans="2:9" x14ac:dyDescent="0.25">
      <c r="B75" s="1448" t="s">
        <v>1601</v>
      </c>
      <c r="C75" s="1697"/>
      <c r="D75" s="1715" t="b">
        <v>0</v>
      </c>
      <c r="E75" s="1697"/>
      <c r="F75" s="1697"/>
      <c r="G75" s="1697"/>
      <c r="H75" s="1697"/>
      <c r="I75" s="1449" t="s">
        <v>1175</v>
      </c>
    </row>
    <row r="76" spans="2:9" x14ac:dyDescent="0.25">
      <c r="B76" s="1448" t="s">
        <v>1612</v>
      </c>
      <c r="C76" s="1715"/>
      <c r="D76" s="1715" t="b">
        <v>1</v>
      </c>
      <c r="E76" s="1715"/>
      <c r="F76" s="1715"/>
      <c r="G76" s="1715"/>
      <c r="H76" s="1715"/>
      <c r="I76" s="1449" t="s">
        <v>1175</v>
      </c>
    </row>
    <row r="77" spans="2:9" x14ac:dyDescent="0.25">
      <c r="B77" s="1448" t="s">
        <v>4803</v>
      </c>
      <c r="C77" s="1715"/>
      <c r="D77" s="1715" t="b">
        <v>1</v>
      </c>
      <c r="E77" s="1715"/>
      <c r="F77" s="1715"/>
      <c r="G77" s="1715"/>
      <c r="H77" s="1715"/>
      <c r="I77" s="1449" t="s">
        <v>1175</v>
      </c>
    </row>
    <row r="78" spans="2:9" x14ac:dyDescent="0.25">
      <c r="B78" s="1448" t="s">
        <v>4804</v>
      </c>
      <c r="C78" s="1715"/>
      <c r="D78" s="1715" t="b">
        <v>0</v>
      </c>
      <c r="E78" s="1715"/>
      <c r="F78" s="1715"/>
      <c r="G78" s="1715"/>
      <c r="H78" s="1715"/>
      <c r="I78" s="1449" t="s">
        <v>1175</v>
      </c>
    </row>
    <row r="79" spans="2:9" x14ac:dyDescent="0.25">
      <c r="B79" s="1448" t="s">
        <v>4805</v>
      </c>
      <c r="C79" s="1715"/>
      <c r="D79" s="1715" t="b">
        <v>0</v>
      </c>
      <c r="E79" s="1715"/>
      <c r="F79" s="1715"/>
      <c r="G79" s="1715"/>
      <c r="H79" s="1715"/>
      <c r="I79" s="1449" t="s">
        <v>1175</v>
      </c>
    </row>
    <row r="80" spans="2:9" x14ac:dyDescent="0.25">
      <c r="B80" s="1448" t="s">
        <v>4806</v>
      </c>
      <c r="C80" s="1715"/>
      <c r="D80" s="1715" t="b">
        <v>0</v>
      </c>
      <c r="E80" s="1715"/>
      <c r="F80" s="1715"/>
      <c r="G80" s="1715"/>
      <c r="H80" s="1715"/>
      <c r="I80" s="1449" t="s">
        <v>1175</v>
      </c>
    </row>
    <row r="81" spans="1:10" x14ac:dyDescent="0.25">
      <c r="B81" s="1448" t="s">
        <v>4807</v>
      </c>
      <c r="C81" s="1715"/>
      <c r="D81" s="1715" t="b">
        <v>0</v>
      </c>
      <c r="E81" s="1715"/>
      <c r="F81" s="1715"/>
      <c r="G81" s="1715"/>
      <c r="H81" s="1715"/>
      <c r="I81" s="1449" t="s">
        <v>1175</v>
      </c>
    </row>
    <row r="82" spans="1:10" x14ac:dyDescent="0.25">
      <c r="B82" s="1448" t="s">
        <v>4401</v>
      </c>
      <c r="C82" s="1715"/>
      <c r="D82" s="1715" t="b">
        <v>0</v>
      </c>
      <c r="E82" s="1715"/>
      <c r="F82" s="1715"/>
      <c r="G82" s="1715"/>
      <c r="H82" s="1715"/>
      <c r="I82" s="1449" t="s">
        <v>1175</v>
      </c>
    </row>
    <row r="83" spans="1:10" x14ac:dyDescent="0.25">
      <c r="B83" s="1448" t="s">
        <v>4808</v>
      </c>
      <c r="C83" s="1715"/>
      <c r="D83" s="1715" t="b">
        <v>0</v>
      </c>
      <c r="E83" s="1715"/>
      <c r="F83" s="1715"/>
      <c r="G83" s="1715"/>
      <c r="H83" s="1715"/>
      <c r="I83" s="1449" t="s">
        <v>1175</v>
      </c>
    </row>
    <row r="84" spans="1:10" x14ac:dyDescent="0.25">
      <c r="B84" s="1448" t="s">
        <v>4402</v>
      </c>
      <c r="C84" s="1715"/>
      <c r="D84" s="1715" t="b">
        <v>0</v>
      </c>
      <c r="E84" s="1715"/>
      <c r="F84" s="1715"/>
      <c r="G84" s="1715"/>
      <c r="H84" s="1715"/>
      <c r="I84" s="1449" t="s">
        <v>1175</v>
      </c>
    </row>
    <row r="85" spans="1:10" ht="15.75" thickBot="1" x14ac:dyDescent="0.3">
      <c r="B85" s="1450" t="s">
        <v>4404</v>
      </c>
      <c r="C85" s="1451"/>
      <c r="D85" s="1451" t="b">
        <v>0</v>
      </c>
      <c r="E85" s="1451"/>
      <c r="F85" s="1451"/>
      <c r="G85" s="1451"/>
      <c r="H85" s="1451"/>
      <c r="I85" s="1452" t="s">
        <v>1175</v>
      </c>
    </row>
    <row r="87" spans="1:10" s="3" customFormat="1" x14ac:dyDescent="0.25">
      <c r="B87" s="4"/>
      <c r="C87" s="4"/>
    </row>
    <row r="88" spans="1:10" s="1717" customFormat="1" ht="15.75" thickBot="1" x14ac:dyDescent="0.3">
      <c r="B88" s="1375"/>
      <c r="C88" s="1716" t="s">
        <v>5015</v>
      </c>
      <c r="D88" s="1375"/>
      <c r="E88" s="930"/>
      <c r="F88" s="930"/>
      <c r="G88" s="930"/>
      <c r="H88" s="930"/>
    </row>
    <row r="89" spans="1:10" s="1717" customFormat="1" ht="45.75" thickBot="1" x14ac:dyDescent="0.3">
      <c r="B89" s="1718" t="s">
        <v>0</v>
      </c>
      <c r="C89" s="1719" t="s">
        <v>1</v>
      </c>
      <c r="D89" s="1716" t="s">
        <v>840</v>
      </c>
      <c r="E89" s="1716" t="s">
        <v>471</v>
      </c>
      <c r="F89" s="1716" t="s">
        <v>472</v>
      </c>
      <c r="G89" s="1716" t="s">
        <v>2</v>
      </c>
      <c r="H89" s="1716" t="s">
        <v>300</v>
      </c>
      <c r="I89" s="1716" t="s">
        <v>116</v>
      </c>
      <c r="J89" s="1716" t="s">
        <v>117</v>
      </c>
    </row>
    <row r="90" spans="1:10" s="1720" customFormat="1" ht="18" x14ac:dyDescent="0.25">
      <c r="B90" s="640" t="s">
        <v>5058</v>
      </c>
      <c r="C90" s="640" t="s">
        <v>5016</v>
      </c>
      <c r="D90" s="640">
        <v>200</v>
      </c>
      <c r="E90" s="640">
        <v>0</v>
      </c>
      <c r="F90" s="640" t="s">
        <v>3041</v>
      </c>
      <c r="G90" s="640" t="s">
        <v>5017</v>
      </c>
      <c r="H90" s="640">
        <v>0</v>
      </c>
      <c r="I90" s="516"/>
      <c r="J90" s="640"/>
    </row>
    <row r="91" spans="1:10" s="1723" customFormat="1" ht="14.65" customHeight="1" x14ac:dyDescent="0.25">
      <c r="A91" s="1721"/>
      <c r="B91" s="516" t="s">
        <v>5059</v>
      </c>
      <c r="C91" s="516" t="s">
        <v>5018</v>
      </c>
      <c r="D91" s="1722">
        <v>120</v>
      </c>
      <c r="E91" s="640">
        <v>0</v>
      </c>
      <c r="F91" s="640" t="s">
        <v>3041</v>
      </c>
      <c r="G91" s="516" t="s">
        <v>5017</v>
      </c>
      <c r="H91" s="4"/>
    </row>
    <row r="92" spans="1:10" s="1723" customFormat="1" ht="14.65" customHeight="1" x14ac:dyDescent="0.25">
      <c r="A92" s="1721"/>
      <c r="B92" s="516" t="s">
        <v>5060</v>
      </c>
      <c r="C92" s="516" t="s">
        <v>5019</v>
      </c>
      <c r="D92" s="1722">
        <v>1000</v>
      </c>
      <c r="E92" s="640">
        <v>0</v>
      </c>
      <c r="F92" s="640" t="s">
        <v>3041</v>
      </c>
      <c r="G92" s="516" t="s">
        <v>5020</v>
      </c>
      <c r="H92" s="4"/>
    </row>
  </sheetData>
  <conditionalFormatting sqref="A87:XFD89 A90 C90:XFD90">
    <cfRule type="cellIs" dxfId="12" priority="13" stopIfTrue="1" operator="notEqual">
      <formula>INDIRECT("Dummy_for_Comparison3!"&amp;ADDRESS(ROW(),COLUMN()))</formula>
    </cfRule>
  </conditionalFormatting>
  <conditionalFormatting sqref="G89 G88:K88">
    <cfRule type="cellIs" dxfId="11" priority="12" stopIfTrue="1" operator="notEqual">
      <formula>INDIRECT("Dummy_for_Comparison3!"&amp;ADDRESS(ROW(),COLUMN()))</formula>
    </cfRule>
  </conditionalFormatting>
  <conditionalFormatting sqref="K90:XFD90 A90 C90:F90">
    <cfRule type="cellIs" dxfId="10" priority="11" stopIfTrue="1" operator="notEqual">
      <formula>INDIRECT("Dummy_for_Comparison3!"&amp;ADDRESS(ROW(),COLUMN()))</formula>
    </cfRule>
  </conditionalFormatting>
  <conditionalFormatting sqref="G90:H90 J90">
    <cfRule type="cellIs" dxfId="9" priority="10" stopIfTrue="1" operator="notEqual">
      <formula>INDIRECT("Dummy_for_Comparison3!"&amp;ADDRESS(ROW(),COLUMN()))</formula>
    </cfRule>
  </conditionalFormatting>
  <conditionalFormatting sqref="H89:J89">
    <cfRule type="cellIs" dxfId="8" priority="9" stopIfTrue="1" operator="notEqual">
      <formula>INDIRECT("Dummy_for_Comparison3!"&amp;ADDRESS(ROW(),COLUMN()))</formula>
    </cfRule>
  </conditionalFormatting>
  <conditionalFormatting sqref="I91:XFD92 A91:A92 G91:G92 C91:D92">
    <cfRule type="cellIs" dxfId="7" priority="8" stopIfTrue="1" operator="notEqual">
      <formula>INDIRECT("Dummy_for_Comparison5!"&amp;ADDRESS(ROW(),COLUMN()))</formula>
    </cfRule>
  </conditionalFormatting>
  <conditionalFormatting sqref="E91:F91">
    <cfRule type="cellIs" dxfId="6" priority="7" stopIfTrue="1" operator="notEqual">
      <formula>INDIRECT("Dummy_for_Comparison3!"&amp;ADDRESS(ROW(),COLUMN()))</formula>
    </cfRule>
  </conditionalFormatting>
  <conditionalFormatting sqref="E91:F91">
    <cfRule type="cellIs" dxfId="5" priority="6" stopIfTrue="1" operator="notEqual">
      <formula>INDIRECT("Dummy_for_Comparison3!"&amp;ADDRESS(ROW(),COLUMN()))</formula>
    </cfRule>
  </conditionalFormatting>
  <conditionalFormatting sqref="E92:F92">
    <cfRule type="cellIs" dxfId="4" priority="5" stopIfTrue="1" operator="notEqual">
      <formula>INDIRECT("Dummy_for_Comparison3!"&amp;ADDRESS(ROW(),COLUMN()))</formula>
    </cfRule>
  </conditionalFormatting>
  <conditionalFormatting sqref="E92:F92">
    <cfRule type="cellIs" dxfId="3" priority="4" stopIfTrue="1" operator="notEqual">
      <formula>INDIRECT("Dummy_for_Comparison3!"&amp;ADDRESS(ROW(),COLUMN()))</formula>
    </cfRule>
  </conditionalFormatting>
  <conditionalFormatting sqref="B90">
    <cfRule type="cellIs" dxfId="2" priority="3" stopIfTrue="1" operator="notEqual">
      <formula>INDIRECT("Dummy_for_Comparison3!"&amp;ADDRESS(ROW(),COLUMN()))</formula>
    </cfRule>
  </conditionalFormatting>
  <conditionalFormatting sqref="B90">
    <cfRule type="cellIs" dxfId="1" priority="2" stopIfTrue="1" operator="notEqual">
      <formula>INDIRECT("Dummy_for_Comparison3!"&amp;ADDRESS(ROW(),COLUMN()))</formula>
    </cfRule>
  </conditionalFormatting>
  <conditionalFormatting sqref="B91:B92">
    <cfRule type="cellIs" dxfId="0" priority="1" stopIfTrue="1" operator="notEqual">
      <formula>INDIRECT("Dummy_for_Comparison5!"&amp;ADDRESS(ROW(),COLUMN()))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16</vt:i4>
      </vt:variant>
      <vt:variant>
        <vt:lpstr>Plages nommées</vt:lpstr>
      </vt:variant>
      <vt:variant>
        <vt:i4>12799</vt:i4>
      </vt:variant>
    </vt:vector>
  </HeadingPairs>
  <TitlesOfParts>
    <vt:vector size="12815" baseType="lpstr">
      <vt:lpstr>Help</vt:lpstr>
      <vt:lpstr>Parameters</vt:lpstr>
      <vt:lpstr>PU parameters</vt:lpstr>
      <vt:lpstr>Model</vt:lpstr>
      <vt:lpstr>pH</vt:lpstr>
      <vt:lpstr>Species</vt:lpstr>
      <vt:lpstr>Tableau</vt:lpstr>
      <vt:lpstr>Components</vt:lpstr>
      <vt:lpstr>Algebraic model</vt:lpstr>
      <vt:lpstr>Expert knowledge</vt:lpstr>
      <vt:lpstr>Calculated variables</vt:lpstr>
      <vt:lpstr>systemcode_constants</vt:lpstr>
      <vt:lpstr>Functions</vt:lpstr>
      <vt:lpstr>Code</vt:lpstr>
      <vt:lpstr>systemcode_functions</vt:lpstr>
      <vt:lpstr>other parameters</vt:lpstr>
      <vt:lpstr>µ_ALGAE</vt:lpstr>
      <vt:lpstr>µ_ALGAE_T</vt:lpstr>
      <vt:lpstr>µ_AMETO</vt:lpstr>
      <vt:lpstr>µ_AMETO_T</vt:lpstr>
      <vt:lpstr>µ_AMX</vt:lpstr>
      <vt:lpstr>µ_AMX_T</vt:lpstr>
      <vt:lpstr>µ_AOB</vt:lpstr>
      <vt:lpstr>µ_AOB_T</vt:lpstr>
      <vt:lpstr>µ_CASTO</vt:lpstr>
      <vt:lpstr>µ_CASTO_T</vt:lpstr>
      <vt:lpstr>µ_FERM_OHO</vt:lpstr>
      <vt:lpstr>µ_FERM_OHO_T</vt:lpstr>
      <vt:lpstr>µ_FERM_PAO</vt:lpstr>
      <vt:lpstr>µ_FERM_PAO_T</vt:lpstr>
      <vt:lpstr>µ_HMETO</vt:lpstr>
      <vt:lpstr>µ_HMETO_T</vt:lpstr>
      <vt:lpstr>µ_MEOLO</vt:lpstr>
      <vt:lpstr>µ_MEOLO_T</vt:lpstr>
      <vt:lpstr>µ_NOB</vt:lpstr>
      <vt:lpstr>µ_NOB_T</vt:lpstr>
      <vt:lpstr>µ_OHO</vt:lpstr>
      <vt:lpstr>µ_OHO_T</vt:lpstr>
      <vt:lpstr>µ_PAO_lim</vt:lpstr>
      <vt:lpstr>µ_PAO_lim_T</vt:lpstr>
      <vt:lpstr>A_AR</vt:lpstr>
      <vt:lpstr>A_Davies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A_MCs</vt:lpstr>
      <vt:lpstr>A_MCu</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a_NH2OH_NO2_pH</vt:lpstr>
      <vt:lpstr>A_SFHAO_H</vt:lpstr>
      <vt:lpstr>A_SFHAO_L</vt:lpstr>
      <vt:lpstr>A_SFHFO_H</vt:lpstr>
      <vt:lpstr>A_SFHFO_L</vt:lpstr>
      <vt:lpstr>A_UR</vt:lpstr>
      <vt:lpstr>actferm_PAO_ORP</vt:lpstr>
      <vt:lpstr>actGAO</vt:lpstr>
      <vt:lpstr>actPAO</vt:lpstr>
      <vt:lpstr>actsto_GAO_ORP</vt:lpstr>
      <vt:lpstr>actsto_PAO_ORP</vt:lpstr>
      <vt:lpstr>b_ALGAE</vt:lpstr>
      <vt:lpstr>b_ALGAE_T</vt:lpstr>
      <vt:lpstr>b_AMETO</vt:lpstr>
      <vt:lpstr>b_AMETO_T</vt:lpstr>
      <vt:lpstr>b_AMX</vt:lpstr>
      <vt:lpstr>b_AMX_T</vt:lpstr>
      <vt:lpstr>b_AOB</vt:lpstr>
      <vt:lpstr>b_AOB_T</vt:lpstr>
      <vt:lpstr>b_CASTO</vt:lpstr>
      <vt:lpstr>b_CASTO_T</vt:lpstr>
      <vt:lpstr>B_ellinhpH</vt:lpstr>
      <vt:lpstr>B_ellinhpH_AMETO</vt:lpstr>
      <vt:lpstr>B_ellinhpH_AOB</vt:lpstr>
      <vt:lpstr>B_ellinhpH_FLOC_HAO</vt:lpstr>
      <vt:lpstr>B_ellinhpH_FLOC_HFO</vt:lpstr>
      <vt:lpstr>B_ellinhpH_HMETO</vt:lpstr>
      <vt:lpstr>B_ellinhpH_NOB</vt:lpstr>
      <vt:lpstr>B_H2O</vt:lpstr>
      <vt:lpstr>b_HMETO</vt:lpstr>
      <vt:lpstr>b_HMETO_T</vt:lpstr>
      <vt:lpstr>b_MEOLO</vt:lpstr>
      <vt:lpstr>b_MEOLO_T</vt:lpstr>
      <vt:lpstr>b_NOB</vt:lpstr>
      <vt:lpstr>b_NOB_T</vt:lpstr>
      <vt:lpstr>b_OHO</vt:lpstr>
      <vt:lpstr>b_OHO_T</vt:lpstr>
      <vt:lpstr>b_PP_ana</vt:lpstr>
      <vt:lpstr>b_PP_ana_T</vt:lpstr>
      <vt:lpstr>b_STC</vt:lpstr>
      <vt:lpstr>b_STC_T</vt:lpstr>
      <vt:lpstr>C_B</vt:lpstr>
      <vt:lpstr>c_cm_m</vt:lpstr>
      <vt:lpstr>c_cm2_m2</vt:lpstr>
      <vt:lpstr>c_cm3_m3</vt:lpstr>
      <vt:lpstr>c_d_mon</vt:lpstr>
      <vt:lpstr>c_d_w</vt:lpstr>
      <vt:lpstr>c_d_y</vt:lpstr>
      <vt:lpstr>c_ft_m</vt:lpstr>
      <vt:lpstr>c_ft2_m2</vt:lpstr>
      <vt:lpstr>c_ft3_m3</vt:lpstr>
      <vt:lpstr>c_g_kg</vt:lpstr>
      <vt:lpstr>c_G_m3</vt:lpstr>
      <vt:lpstr>c_g_ton</vt:lpstr>
      <vt:lpstr>c_h_d</vt:lpstr>
      <vt:lpstr>C_H2O</vt:lpstr>
      <vt:lpstr>c_hargebalance</vt:lpstr>
      <vt:lpstr>c_hargebalanceerror</vt:lpstr>
      <vt:lpstr>c_kJ_MJ</vt:lpstr>
      <vt:lpstr>c_L_m3</vt:lpstr>
      <vt:lpstr>c_lbs_g</vt:lpstr>
      <vt:lpstr>c_mg_g</vt:lpstr>
      <vt:lpstr>c_MG_m3</vt:lpstr>
      <vt:lpstr>c_micron_m</vt:lpstr>
      <vt:lpstr>c_min_d</vt:lpstr>
      <vt:lpstr>c_min_h</vt:lpstr>
      <vt:lpstr>c_mm_m</vt:lpstr>
      <vt:lpstr>c_mmol_mol</vt:lpstr>
      <vt:lpstr>c_ms_d</vt:lpstr>
      <vt:lpstr>c_ms_h</vt:lpstr>
      <vt:lpstr>c_ms_min</vt:lpstr>
      <vt:lpstr>c_ms_s</vt:lpstr>
      <vt:lpstr>c_oeffdamp_ALPHA</vt:lpstr>
      <vt:lpstr>c_oefflead_TSS_α_mech</vt:lpstr>
      <vt:lpstr>c_oefflin_TSS_α_mech</vt:lpstr>
      <vt:lpstr>c_onstTSS_α_mech</vt:lpstr>
      <vt:lpstr>c_orrh_diff_α</vt:lpstr>
      <vt:lpstr>c_orrTSS_α</vt:lpstr>
      <vt:lpstr>C_OUR</vt:lpstr>
      <vt:lpstr>c_p_water</vt:lpstr>
      <vt:lpstr>c_Pa_bar</vt:lpstr>
      <vt:lpstr>c_Pa_Hgmm</vt:lpstr>
      <vt:lpstr>c_Pa_mbar</vt:lpstr>
      <vt:lpstr>c_Pa_MPa</vt:lpstr>
      <vt:lpstr>c_percent_fraction</vt:lpstr>
      <vt:lpstr>c_percent_Vconc</vt:lpstr>
      <vt:lpstr>c_ppm_Vconc</vt:lpstr>
      <vt:lpstr>c_s_d</vt:lpstr>
      <vt:lpstr>c_s_h</vt:lpstr>
      <vt:lpstr>c_s_min</vt:lpstr>
      <vt:lpstr>C_U</vt:lpstr>
      <vt:lpstr>c_W_kW</vt:lpstr>
      <vt:lpstr>conc_Acm_I</vt:lpstr>
      <vt:lpstr>conc_Acm_Ieq</vt:lpstr>
      <vt:lpstr>conc_ANm_I</vt:lpstr>
      <vt:lpstr>conc_Ca2p_I</vt:lpstr>
      <vt:lpstr>conc_CATp_I</vt:lpstr>
      <vt:lpstr>conc_CO32m_I</vt:lpstr>
      <vt:lpstr>conc_Fe2p_I</vt:lpstr>
      <vt:lpstr>conc_H2CO3_I</vt:lpstr>
      <vt:lpstr>conc_H2PO4m_I</vt:lpstr>
      <vt:lpstr>conc_H2PO4m_Ieq</vt:lpstr>
      <vt:lpstr>conc_H3PO4_I</vt:lpstr>
      <vt:lpstr>conc_HAc_I</vt:lpstr>
      <vt:lpstr>conc_HCO3m_I</vt:lpstr>
      <vt:lpstr>conc_HNO2_I</vt:lpstr>
      <vt:lpstr>conc_Hp_I</vt:lpstr>
      <vt:lpstr>conc_Hp_Ieq</vt:lpstr>
      <vt:lpstr>conc_HPO42m_I</vt:lpstr>
      <vt:lpstr>conc_HPO42m_Ieq</vt:lpstr>
      <vt:lpstr>conc_Kp_I</vt:lpstr>
      <vt:lpstr>conc_Mg2p_I</vt:lpstr>
      <vt:lpstr>conc_NH3_I</vt:lpstr>
      <vt:lpstr>conc_NH4p_I</vt:lpstr>
      <vt:lpstr>conc_NO2m_I</vt:lpstr>
      <vt:lpstr>conc_NO2m_Ieq</vt:lpstr>
      <vt:lpstr>conc_NO3m_I</vt:lpstr>
      <vt:lpstr>conc_OHm_I</vt:lpstr>
      <vt:lpstr>conc_PO43m_I</vt:lpstr>
      <vt:lpstr>d_ampALPHA</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d_Hdiss_But</vt:lpstr>
      <vt:lpstr>d_Hdiss_CO2_1</vt:lpstr>
      <vt:lpstr>d_Hdiss_CO2_2</vt:lpstr>
      <vt:lpstr>d_Hdiss_H2O</vt:lpstr>
      <vt:lpstr>d_Hdiss_NO2</vt:lpstr>
      <vt:lpstr>d_Hdiss_PO4_1</vt:lpstr>
      <vt:lpstr>d_Hdiss_PO4_2</vt:lpstr>
      <vt:lpstr>d_Hdiss_PO4_3</vt:lpstr>
      <vt:lpstr>d_Hdiss_Prop</vt:lpstr>
      <vt:lpstr>d_Hdiss_S_1</vt:lpstr>
      <vt:lpstr>d_Hdiss_S_2</vt:lpstr>
      <vt:lpstr>d_Hdiss_SO4_1</vt:lpstr>
      <vt:lpstr>d_Hdiss_SO4_2</vt:lpstr>
      <vt:lpstr>d_Hdiss_Val</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D_SALPHA</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D_SHCO</vt:lpstr>
      <vt:lpstr>D_SI</vt:lpstr>
      <vt:lpstr>D_SK</vt:lpstr>
      <vt:lpstr>D_SMEOL</vt:lpstr>
      <vt:lpstr>D_SMg</vt:lpstr>
      <vt:lpstr>D_SMM_index</vt:lpstr>
      <vt:lpstr>D_SN_B</vt:lpstr>
      <vt:lpstr>D_SN2</vt:lpstr>
      <vt:lpstr>D_SN2O</vt:lpstr>
      <vt:lpstr>D_SND</vt:lpstr>
      <vt:lpstr>D_SNH</vt:lpstr>
      <vt:lpstr>D_SNH2OH</vt:lpstr>
      <vt:lpstr>D_SNH4</vt:lpstr>
      <vt:lpstr>D_SNHx</vt:lpstr>
      <vt:lpstr>D_SNO</vt:lpstr>
      <vt:lpstr>D_SNO2</vt:lpstr>
      <vt:lpstr>D_SNO3</vt:lpstr>
      <vt:lpstr>D_SNOx</vt:lpstr>
      <vt:lpstr>D_SO</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E_EQNH2OH</vt:lpstr>
      <vt:lpstr>E_EQNH2OH_NO</vt:lpstr>
      <vt:lpstr>E_EQNO</vt:lpstr>
      <vt:lpstr>E_EQNO_NO2</vt:lpstr>
      <vt:lpstr>E_EQNO2</vt:lpstr>
      <vt:lpstr>E_EQNO2_NO3</vt:lpstr>
      <vt:lpstr>E_EQNO3</vt:lpstr>
      <vt:lpstr>E_EQS</vt:lpstr>
      <vt:lpstr>e_rrorNHx_NOx</vt:lpstr>
      <vt:lpstr>F__</vt:lpstr>
      <vt:lpstr>f_Ar_air</vt:lpstr>
      <vt:lpstr>f_bw_floc</vt:lpstr>
      <vt:lpstr>f_C_BOD5_BODult</vt:lpstr>
      <vt:lpstr>f_CO2_air</vt:lpstr>
      <vt:lpstr>f_di</vt:lpstr>
      <vt:lpstr>f_di_IS_an</vt:lpstr>
      <vt:lpstr>f_di_IS_cat</vt:lpstr>
      <vt:lpstr>f_di_ISlim</vt:lpstr>
      <vt:lpstr>f_E</vt:lpstr>
      <vt:lpstr>f_H2O_HAO_TSS</vt:lpstr>
      <vt:lpstr>f_H2O_HAO_VSS</vt:lpstr>
      <vt:lpstr>f_H2O_HFO_TSS</vt:lpstr>
      <vt:lpstr>f_H2O_HFO_VSS</vt:lpstr>
      <vt:lpstr>f_kL_GCH4</vt:lpstr>
      <vt:lpstr>f_kL_GCO2</vt:lpstr>
      <vt:lpstr>f_kL_GH2</vt:lpstr>
      <vt:lpstr>f_kL_GN2</vt:lpstr>
      <vt:lpstr>f_kL_GN2O</vt:lpstr>
      <vt:lpstr>f_kL_GNH3</vt:lpstr>
      <vt:lpstr>f_kL_GNO</vt:lpstr>
      <vt:lpstr>f_KS</vt:lpstr>
      <vt:lpstr>f_KS_biofilm</vt:lpstr>
      <vt:lpstr>f_mono</vt:lpstr>
      <vt:lpstr>f_mono_IS_an</vt:lpstr>
      <vt:lpstr>f_mono_IS_cat</vt:lpstr>
      <vt:lpstr>f_mono_ISlim</vt:lpstr>
      <vt:lpstr>f_N2_air</vt:lpstr>
      <vt:lpstr>f_Na</vt:lpstr>
      <vt:lpstr>f_O2_air</vt:lpstr>
      <vt:lpstr>f_O2_max_ALPHA</vt:lpstr>
      <vt:lpstr>f_P_VFA</vt:lpstr>
      <vt:lpstr>f_S_BOD5_BODult</vt:lpstr>
      <vt:lpstr>f_TOC_1</vt:lpstr>
      <vt:lpstr>f_TOC_2</vt:lpstr>
      <vt:lpstr>f_tri</vt:lpstr>
      <vt:lpstr>f_tri_IS_an</vt:lpstr>
      <vt:lpstr>f_tri_IS_cat</vt:lpstr>
      <vt:lpstr>f_tri_ISlim</vt:lpstr>
      <vt:lpstr>f_VFA_DM</vt:lpstr>
      <vt:lpstr>f_X_BOD5_BODult</vt:lpstr>
      <vt:lpstr>G_CH4</vt:lpstr>
      <vt:lpstr>G_CH4_atm</vt:lpstr>
      <vt:lpstr>G_CO2</vt:lpstr>
      <vt:lpstr>G_CO2_atm</vt:lpstr>
      <vt:lpstr>g_grav</vt:lpstr>
      <vt:lpstr>G_H2</vt:lpstr>
      <vt:lpstr>G_H2_atm</vt:lpstr>
      <vt:lpstr>G_N2</vt:lpstr>
      <vt:lpstr>G_N2_atm</vt:lpstr>
      <vt:lpstr>G_N2O</vt:lpstr>
      <vt:lpstr>G_N2O_atm</vt:lpstr>
      <vt:lpstr>G_NH3</vt:lpstr>
      <vt:lpstr>G_NH3_atm</vt:lpstr>
      <vt:lpstr>G_NO</vt:lpstr>
      <vt:lpstr>G_NO_atm</vt:lpstr>
      <vt:lpstr>G_O2</vt:lpstr>
      <vt:lpstr>G_O2_atm</vt:lpstr>
      <vt:lpstr>H_Acm</vt:lpstr>
      <vt:lpstr>H_Ca2p</vt:lpstr>
      <vt:lpstr>H_CO32m</vt:lpstr>
      <vt:lpstr>h_diff</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H_OHm</vt:lpstr>
      <vt:lpstr>H_PO43m</vt:lpstr>
      <vt:lpstr>H_S2m</vt:lpstr>
      <vt:lpstr>H_satSNO_KNO_OHO</vt:lpstr>
      <vt:lpstr>H_satSVFA_AMETO</vt:lpstr>
      <vt:lpstr>H_SO42m</vt:lpstr>
      <vt:lpstr>H_STP</vt:lpstr>
      <vt:lpstr>i_Ca_INORG</vt:lpstr>
      <vt:lpstr>i_Ca_PP</vt:lpstr>
      <vt:lpstr>i_CIT_ALGAE</vt:lpstr>
      <vt:lpstr>i_CIT_BIO</vt:lpstr>
      <vt:lpstr>i_CIT_CH4</vt:lpstr>
      <vt:lpstr>i_CIT_MEOL</vt:lpstr>
      <vt:lpstr>i_CIT_PHA</vt:lpstr>
      <vt:lpstr>i_CIT_SB</vt:lpstr>
      <vt:lpstr>i_CIT_STC</vt:lpstr>
      <vt:lpstr>i_CIT_VFA</vt:lpstr>
      <vt:lpstr>i_CIT_XBe</vt:lpstr>
      <vt:lpstr>i_CV_BIO</vt:lpstr>
      <vt:lpstr>i_CV_CB</vt:lpstr>
      <vt:lpstr>i_CV_CU</vt:lpstr>
      <vt:lpstr>i_CV_PHA</vt:lpstr>
      <vt:lpstr>i_CV_SB</vt:lpstr>
      <vt:lpstr>i_CV_SU</vt:lpstr>
      <vt:lpstr>i_CV_VFA</vt:lpstr>
      <vt:lpstr>i_CV_XB</vt:lpstr>
      <vt:lpstr>i_CV_XBe</vt:lpstr>
      <vt:lpstr>i_CV_XE</vt:lpstr>
      <vt:lpstr>i_CV_XU</vt:lpstr>
      <vt:lpstr>i_INORG</vt:lpstr>
      <vt:lpstr>i_iw_BIO</vt:lpstr>
      <vt:lpstr>i_K_PP</vt:lpstr>
      <vt:lpstr>i_Mg_INORG</vt:lpstr>
      <vt:lpstr>i_Mg_PP</vt:lpstr>
      <vt:lpstr>i_N_ALGAE</vt:lpstr>
      <vt:lpstr>i_N_BIO</vt:lpstr>
      <vt:lpstr>i_N_CB</vt:lpstr>
      <vt:lpstr>i_N_CU</vt:lpstr>
      <vt:lpstr>i_N_SU</vt:lpstr>
      <vt:lpstr>i_N_XE</vt:lpstr>
      <vt:lpstr>i_N_XSTR</vt:lpstr>
      <vt:lpstr>i_P_ALGAE</vt:lpstr>
      <vt:lpstr>i_P_BIO</vt:lpstr>
      <vt:lpstr>i_P_CB</vt:lpstr>
      <vt:lpstr>i_P_CU</vt:lpstr>
      <vt:lpstr>i_P_SU</vt:lpstr>
      <vt:lpstr>i_P_XACP</vt:lpstr>
      <vt:lpstr>i_P_XBSH</vt:lpstr>
      <vt:lpstr>i_P_XSTR</vt:lpstr>
      <vt:lpstr>i_P_XVivi</vt:lpstr>
      <vt:lpstr>I_S</vt:lpstr>
      <vt:lpstr>I_Scalc</vt:lpstr>
      <vt:lpstr>I_Serror</vt:lpstr>
      <vt:lpstr>I_Sinput_AS</vt:lpstr>
      <vt:lpstr>I_Sinput_DIG</vt:lpstr>
      <vt:lpstr>I_Sinput_sidestream</vt:lpstr>
      <vt:lpstr>I_Slim</vt:lpstr>
      <vt:lpstr>i_TSS_PP</vt:lpstr>
      <vt:lpstr>i_vw_BIO</vt:lpstr>
      <vt:lpstr>i_vw_CB</vt:lpstr>
      <vt:lpstr>i_vw_CU</vt:lpstr>
      <vt:lpstr>i_vw_EPS</vt:lpstr>
      <vt:lpstr>i_vw_PHA</vt:lpstr>
      <vt:lpstr>i_vw_XB</vt:lpstr>
      <vt:lpstr>i_vw_XBe</vt:lpstr>
      <vt:lpstr>i_vw_XE</vt:lpstr>
      <vt:lpstr>i_vw_XU</vt:lpstr>
      <vt:lpstr>i_wh_BIO</vt:lpstr>
      <vt:lpstr>i_wh_EPS</vt:lpstr>
      <vt:lpstr>i_wh_PHA</vt:lpstr>
      <vt:lpstr>i_wh_XB</vt:lpstr>
      <vt:lpstr>i_wh_XBe</vt:lpstr>
      <vt:lpstr>i_wh_XE</vt:lpstr>
      <vt:lpstr>i_wh_XU</vt:lpstr>
      <vt:lpstr>J_photosynt_solar</vt:lpstr>
      <vt:lpstr>J_photosynt_solar_opt</vt:lpstr>
      <vt:lpstr>K_Ac</vt:lpstr>
      <vt:lpstr>K_Ac_param</vt:lpstr>
      <vt:lpstr>K_Ac_T</vt:lpstr>
      <vt:lpstr>K_ACP_DISS</vt:lpstr>
      <vt:lpstr>K_AN</vt:lpstr>
      <vt:lpstr>K_AN_AS</vt:lpstr>
      <vt:lpstr>K_BSH_DISS</vt:lpstr>
      <vt:lpstr>K_But_param</vt:lpstr>
      <vt:lpstr>K_C1</vt:lpstr>
      <vt:lpstr>K_C1_param</vt:lpstr>
      <vt:lpstr>K_C1_T</vt:lpstr>
      <vt:lpstr>K_C2</vt:lpstr>
      <vt:lpstr>K_C2_param</vt:lpstr>
      <vt:lpstr>K_C2_T</vt:lpstr>
      <vt:lpstr>K_Ca_BIO</vt:lpstr>
      <vt:lpstr>K_Ca_BIO_AS</vt:lpstr>
      <vt:lpstr>K_Ca_PAO</vt:lpstr>
      <vt:lpstr>K_Ca_PAO_AS</vt:lpstr>
      <vt:lpstr>K_CaCO3_DISS</vt:lpstr>
      <vt:lpstr>K_CAT</vt:lpstr>
      <vt:lpstr>K_CAT_AS</vt:lpstr>
      <vt:lpstr>K_CB_FLOC</vt:lpstr>
      <vt:lpstr>K_CB_FLOC_HAO</vt:lpstr>
      <vt:lpstr>K_CB_FLOC_HFO</vt:lpstr>
      <vt:lpstr>K_CO2_ALGAE</vt:lpstr>
      <vt:lpstr>K_CO2_AMX_pH</vt:lpstr>
      <vt:lpstr>K_CO2_AMX_pH_AS</vt:lpstr>
      <vt:lpstr>K_CO2_AOB_pH</vt:lpstr>
      <vt:lpstr>K_CO2_AOB_pH_AS</vt:lpstr>
      <vt:lpstr>K_CO2_AOB_pH_sidestream</vt:lpstr>
      <vt:lpstr>K_CO2_BIO</vt:lpstr>
      <vt:lpstr>K_CO2_BIO_AS</vt:lpstr>
      <vt:lpstr>K_CO2_NOB_pH</vt:lpstr>
      <vt:lpstr>K_CO2_NOB_pH_AS</vt:lpstr>
      <vt:lpstr>K_CU_FLOC</vt:lpstr>
      <vt:lpstr>K_CU_FLOC_HAO</vt:lpstr>
      <vt:lpstr>K_CU_FLOC_HFO</vt:lpstr>
      <vt:lpstr>K_H2_HMETO</vt:lpstr>
      <vt:lpstr>K_H2_HMETO_AS</vt:lpstr>
      <vt:lpstr>K_H2S_param</vt:lpstr>
      <vt:lpstr>K_HNO2_AOB</vt:lpstr>
      <vt:lpstr>K_HNO2_AOB_AS</vt:lpstr>
      <vt:lpstr>K_HYD</vt:lpstr>
      <vt:lpstr>K_HYD_AS</vt:lpstr>
      <vt:lpstr>K_iHNO2_AMX_pH</vt:lpstr>
      <vt:lpstr>K_iHNO2_AMX_pH_AS</vt:lpstr>
      <vt:lpstr>K_iNH2OH_NOB</vt:lpstr>
      <vt:lpstr>K_iNH2OH_NOB_AS</vt:lpstr>
      <vt:lpstr>K_iNH3_AMETO_pH</vt:lpstr>
      <vt:lpstr>K_iNH3_AMETO_pH_AS</vt:lpstr>
      <vt:lpstr>K_iNH3_NOB_pH</vt:lpstr>
      <vt:lpstr>K_iNH3_NOB_pH_AS</vt:lpstr>
      <vt:lpstr>K_iNHx_ALGAE</vt:lpstr>
      <vt:lpstr>K_iNHx_ASSIM</vt:lpstr>
      <vt:lpstr>K_iNHx_ASSIM_AS</vt:lpstr>
      <vt:lpstr>K_iNO_OHO_N2O</vt:lpstr>
      <vt:lpstr>K_iNO_OHO_N2O_AS</vt:lpstr>
      <vt:lpstr>K_iNO_OHO_NO</vt:lpstr>
      <vt:lpstr>K_iNO_OHO_NO_AS</vt:lpstr>
      <vt:lpstr>K_iNO_OHO_NO2</vt:lpstr>
      <vt:lpstr>K_iNO_OHO_NO2_AS</vt:lpstr>
      <vt:lpstr>K_iO2_AMETO</vt:lpstr>
      <vt:lpstr>K_iO2_AMETO_AS</vt:lpstr>
      <vt:lpstr>K_iO2_AMX</vt:lpstr>
      <vt:lpstr>K_iO2_AMX_AS</vt:lpstr>
      <vt:lpstr>K_iO2_AOB</vt:lpstr>
      <vt:lpstr>K_iO2_AOB_AS</vt:lpstr>
      <vt:lpstr>K_iO2_HMETO</vt:lpstr>
      <vt:lpstr>K_iO2_HMETO_AS</vt:lpstr>
      <vt:lpstr>K_iO2_MEOLO</vt:lpstr>
      <vt:lpstr>K_iO2_MEOLO_AS</vt:lpstr>
      <vt:lpstr>K_iP_HAO_DESORP</vt:lpstr>
      <vt:lpstr>K_iP_HAO_DISS</vt:lpstr>
      <vt:lpstr>K_iP_HFO_DESORP</vt:lpstr>
      <vt:lpstr>K_iP_HFO_DISS</vt:lpstr>
      <vt:lpstr>K_iPHA_GAO_max</vt:lpstr>
      <vt:lpstr>K_iPHA_PAO_max</vt:lpstr>
      <vt:lpstr>K_iPO4_lim</vt:lpstr>
      <vt:lpstr>K_iPO4_lim_AS</vt:lpstr>
      <vt:lpstr>K_iPP_PAO_max</vt:lpstr>
      <vt:lpstr>K_iVFA_AMETO</vt:lpstr>
      <vt:lpstr>K_iVFA_AMETO_AS</vt:lpstr>
      <vt:lpstr>K_K_PAO</vt:lpstr>
      <vt:lpstr>K_K_PAO_AS</vt:lpstr>
      <vt:lpstr>k_L_GCH4_bub</vt:lpstr>
      <vt:lpstr>k_L_GCH4_sur</vt:lpstr>
      <vt:lpstr>k_L_GCO2_bub</vt:lpstr>
      <vt:lpstr>k_L_GCO2_sur</vt:lpstr>
      <vt:lpstr>k_L_GH2_bub</vt:lpstr>
      <vt:lpstr>k_L_GH2_sur</vt:lpstr>
      <vt:lpstr>k_L_GN2_bub</vt:lpstr>
      <vt:lpstr>k_L_GN2_sur</vt:lpstr>
      <vt:lpstr>k_L_GN2O_bub</vt:lpstr>
      <vt:lpstr>k_L_GN2O_sur</vt:lpstr>
      <vt:lpstr>k_L_GNH3_bub</vt:lpstr>
      <vt:lpstr>k_L_GNH3_sur</vt:lpstr>
      <vt:lpstr>k_L_GNO_bub</vt:lpstr>
      <vt:lpstr>k_L_GNO_sur</vt:lpstr>
      <vt:lpstr>k_L_GO2_bub</vt:lpstr>
      <vt:lpstr>k_L_GO2_PondSurface</vt:lpstr>
      <vt:lpstr>k_L_GO2_sur</vt:lpstr>
      <vt:lpstr>k_LaGCH4_bub</vt:lpstr>
      <vt:lpstr>k_LaGCH4_sur</vt:lpstr>
      <vt:lpstr>k_LaGCO2_bub</vt:lpstr>
      <vt:lpstr>k_LaGCO2_sur</vt:lpstr>
      <vt:lpstr>k_LaGH2_bub</vt:lpstr>
      <vt:lpstr>k_LaGH2_sur</vt:lpstr>
      <vt:lpstr>k_LaGH2S_bub</vt:lpstr>
      <vt:lpstr>k_LaGH2S_sur</vt:lpstr>
      <vt:lpstr>k_LaGN2_bub</vt:lpstr>
      <vt:lpstr>k_LaGN2_sur</vt:lpstr>
      <vt:lpstr>k_LaGN2O_bub</vt:lpstr>
      <vt:lpstr>k_LaGN2O_sur</vt:lpstr>
      <vt:lpstr>k_LaGNH3_bub</vt:lpstr>
      <vt:lpstr>k_LaGNH3_sur</vt:lpstr>
      <vt:lpstr>k_LaGNO_bub</vt:lpstr>
      <vt:lpstr>k_LaGNO_sur</vt:lpstr>
      <vt:lpstr>k_LaGO2_bub</vt:lpstr>
      <vt:lpstr>k_LaGO2_sur</vt:lpstr>
      <vt:lpstr>K_MEOL</vt:lpstr>
      <vt:lpstr>K_MEOL_AS</vt:lpstr>
      <vt:lpstr>K_MEOL_OHO</vt:lpstr>
      <vt:lpstr>K_MEOL_OHO_AS</vt:lpstr>
      <vt:lpstr>K_Mg_BIO</vt:lpstr>
      <vt:lpstr>K_Mg_BIO_AS</vt:lpstr>
      <vt:lpstr>K_Mg_PAO</vt:lpstr>
      <vt:lpstr>K_Mg_PAO_AS</vt:lpstr>
      <vt:lpstr>K_N2O_OHO</vt:lpstr>
      <vt:lpstr>K_N2O_OHO_AS</vt:lpstr>
      <vt:lpstr>K_NH2OH_AOB</vt:lpstr>
      <vt:lpstr>K_NH2OH_AOB_AS</vt:lpstr>
      <vt:lpstr>K_NH3</vt:lpstr>
      <vt:lpstr>K_NH3_param</vt:lpstr>
      <vt:lpstr>K_NH3_T</vt:lpstr>
      <vt:lpstr>K_NHx_ALGAE</vt:lpstr>
      <vt:lpstr>K_NHx_AMX</vt:lpstr>
      <vt:lpstr>K_NHx_AMX_AS</vt:lpstr>
      <vt:lpstr>K_NHx_AOB</vt:lpstr>
      <vt:lpstr>K_NHx_AOB_AS</vt:lpstr>
      <vt:lpstr>K_NHx_BIO</vt:lpstr>
      <vt:lpstr>K_NHx_BIO_AS</vt:lpstr>
      <vt:lpstr>K_NHx_NH2OH_AOB</vt:lpstr>
      <vt:lpstr>K_NHx_NH2OH_AOB_AS</vt:lpstr>
      <vt:lpstr>K_NO_N2O_AOB</vt:lpstr>
      <vt:lpstr>K_NO_N2O_AOB_AS</vt:lpstr>
      <vt:lpstr>K_NO_NO2_AOB</vt:lpstr>
      <vt:lpstr>K_NO_NO2_AOB_AS</vt:lpstr>
      <vt:lpstr>K_NO_OHO</vt:lpstr>
      <vt:lpstr>K_NO_OHO_AS</vt:lpstr>
      <vt:lpstr>K_NO2</vt:lpstr>
      <vt:lpstr>K_NO2_AMX</vt:lpstr>
      <vt:lpstr>K_NO2_AMX_AS</vt:lpstr>
      <vt:lpstr>K_NO2_ASSIM</vt:lpstr>
      <vt:lpstr>K_NO2_ASSIM_AS</vt:lpstr>
      <vt:lpstr>K_NO2_CASTO</vt:lpstr>
      <vt:lpstr>K_NO2_CASTO_AS</vt:lpstr>
      <vt:lpstr>K_NO2_MEOLO</vt:lpstr>
      <vt:lpstr>K_NO2_MEOLO_AS</vt:lpstr>
      <vt:lpstr>K_NO2_NOB</vt:lpstr>
      <vt:lpstr>K_NO2_NOB_AS</vt:lpstr>
      <vt:lpstr>K_NO2_OHO</vt:lpstr>
      <vt:lpstr>K_NO2_OHO_AS</vt:lpstr>
      <vt:lpstr>K_NO2_param</vt:lpstr>
      <vt:lpstr>K_NO2_T</vt:lpstr>
      <vt:lpstr>K_NO3_ASSIM</vt:lpstr>
      <vt:lpstr>K_NO3_ASSIM_AS</vt:lpstr>
      <vt:lpstr>K_NO3_CASTO</vt:lpstr>
      <vt:lpstr>K_NO3_CASTO_AS</vt:lpstr>
      <vt:lpstr>K_NO3_MEOLO</vt:lpstr>
      <vt:lpstr>K_NO3_MEOLO_AS</vt:lpstr>
      <vt:lpstr>K_NO3_OHO</vt:lpstr>
      <vt:lpstr>K_NO3_OHO_AS</vt:lpstr>
      <vt:lpstr>K_NOx_aBIO</vt:lpstr>
      <vt:lpstr>K_NOx_ALGAE</vt:lpstr>
      <vt:lpstr>K_NOx_AMETO</vt:lpstr>
      <vt:lpstr>K_NOx_AMETO_AS</vt:lpstr>
      <vt:lpstr>K_NOx_AMX</vt:lpstr>
      <vt:lpstr>K_NOx_AMX_AS</vt:lpstr>
      <vt:lpstr>K_NOx_AOB</vt:lpstr>
      <vt:lpstr>K_NOx_AOB_AS</vt:lpstr>
      <vt:lpstr>K_NOx_HMETO</vt:lpstr>
      <vt:lpstr>K_NOx_HMETO_AS</vt:lpstr>
      <vt:lpstr>K_NOx_NOB</vt:lpstr>
      <vt:lpstr>K_NOx_NOB_AS</vt:lpstr>
      <vt:lpstr>K_O2_aBIO</vt:lpstr>
      <vt:lpstr>K_O2_ALGAE</vt:lpstr>
      <vt:lpstr>K_O2_ALPHA</vt:lpstr>
      <vt:lpstr>K_O2_AOB</vt:lpstr>
      <vt:lpstr>K_O2_AOB_AS</vt:lpstr>
      <vt:lpstr>K_O2_AOB_sidestream</vt:lpstr>
      <vt:lpstr>K_O2_CASTO</vt:lpstr>
      <vt:lpstr>K_O2_CASTO_AS</vt:lpstr>
      <vt:lpstr>K_O2_NH2OH_AOB</vt:lpstr>
      <vt:lpstr>K_O2_NH2OH_AOB_AS</vt:lpstr>
      <vt:lpstr>K_O2_NH2OH_AOB_sidestream</vt:lpstr>
      <vt:lpstr>K_O2_NHx_AOB</vt:lpstr>
      <vt:lpstr>K_O2_NHx_AOB_AS</vt:lpstr>
      <vt:lpstr>K_O2_NHx_AOB_sidestream</vt:lpstr>
      <vt:lpstr>K_O2_NOB</vt:lpstr>
      <vt:lpstr>K_O2_NOB_AS</vt:lpstr>
      <vt:lpstr>K_O2_NOB_sidestream</vt:lpstr>
      <vt:lpstr>K_O2_OHO</vt:lpstr>
      <vt:lpstr>K_O2_OHO_AS</vt:lpstr>
      <vt:lpstr>K_O2_OHO_N2O</vt:lpstr>
      <vt:lpstr>K_O2_OHO_N2O_AS</vt:lpstr>
      <vt:lpstr>K_O2_OHO_NO</vt:lpstr>
      <vt:lpstr>K_O2_OHO_NO_AS</vt:lpstr>
      <vt:lpstr>K_O2_OHO_NO2</vt:lpstr>
      <vt:lpstr>K_O2_OHO_NO2_AS</vt:lpstr>
      <vt:lpstr>K_O2_OHO_NO3</vt:lpstr>
      <vt:lpstr>K_O2_OHO_NO3_AS</vt:lpstr>
      <vt:lpstr>K_OC_PFOA_EQ</vt:lpstr>
      <vt:lpstr>K_OC_PFOS_EQ</vt:lpstr>
      <vt:lpstr>K_ORP_ana</vt:lpstr>
      <vt:lpstr>K_ORP_SNOx</vt:lpstr>
      <vt:lpstr>K_ORP_SO2</vt:lpstr>
      <vt:lpstr>k_ORPswitch</vt:lpstr>
      <vt:lpstr>K_P_HAO_BIND</vt:lpstr>
      <vt:lpstr>K_P_HFO_BIND</vt:lpstr>
      <vt:lpstr>K_P1</vt:lpstr>
      <vt:lpstr>K_P1_param</vt:lpstr>
      <vt:lpstr>K_P1_T</vt:lpstr>
      <vt:lpstr>K_P2</vt:lpstr>
      <vt:lpstr>K_P2_param</vt:lpstr>
      <vt:lpstr>K_P2_T</vt:lpstr>
      <vt:lpstr>K_P3</vt:lpstr>
      <vt:lpstr>K_P3_param</vt:lpstr>
      <vt:lpstr>K_P3_T</vt:lpstr>
      <vt:lpstr>K_PHA</vt:lpstr>
      <vt:lpstr>K_PHA_cle</vt:lpstr>
      <vt:lpstr>K_PHA_GAO</vt:lpstr>
      <vt:lpstr>K_PO4_BIO</vt:lpstr>
      <vt:lpstr>K_PO4_BIO_AS</vt:lpstr>
      <vt:lpstr>K_PO4_PAO</vt:lpstr>
      <vt:lpstr>K_PO4_PAO_AS</vt:lpstr>
      <vt:lpstr>K_PP</vt:lpstr>
      <vt:lpstr>K_PP_lim</vt:lpstr>
      <vt:lpstr>K_Prop_param</vt:lpstr>
      <vt:lpstr>K_S1_param</vt:lpstr>
      <vt:lpstr>K_S2_param</vt:lpstr>
      <vt:lpstr>K_SB</vt:lpstr>
      <vt:lpstr>K_SB_ana</vt:lpstr>
      <vt:lpstr>K_SB_ana_AS</vt:lpstr>
      <vt:lpstr>K_SB_ana_DIG</vt:lpstr>
      <vt:lpstr>K_SB_AS</vt:lpstr>
      <vt:lpstr>K_SB_N2O</vt:lpstr>
      <vt:lpstr>K_SB_N2O_AS</vt:lpstr>
      <vt:lpstr>K_SB_NO</vt:lpstr>
      <vt:lpstr>K_SB_NO_AS</vt:lpstr>
      <vt:lpstr>K_SB_NO2</vt:lpstr>
      <vt:lpstr>K_SB_NO2_AS</vt:lpstr>
      <vt:lpstr>K_SB_NO3</vt:lpstr>
      <vt:lpstr>K_SB_NO3_AS</vt:lpstr>
      <vt:lpstr>K_SO41_param</vt:lpstr>
      <vt:lpstr>K_SO42_param</vt:lpstr>
      <vt:lpstr>K_sp_ACP</vt:lpstr>
      <vt:lpstr>K_sp_ACP_param</vt:lpstr>
      <vt:lpstr>K_sp_BSH</vt:lpstr>
      <vt:lpstr>K_sp_BSH_param</vt:lpstr>
      <vt:lpstr>K_sp_CaCO3</vt:lpstr>
      <vt:lpstr>K_sp_CaCO3_param</vt:lpstr>
      <vt:lpstr>K_sp_FeS_param</vt:lpstr>
      <vt:lpstr>K_sp_HDP_param</vt:lpstr>
      <vt:lpstr>K_sp_MKP_param</vt:lpstr>
      <vt:lpstr>K_sp_STR</vt:lpstr>
      <vt:lpstr>K_sp_STR_param</vt:lpstr>
      <vt:lpstr>K_sp_Vivi</vt:lpstr>
      <vt:lpstr>K_sp_Vivi_param</vt:lpstr>
      <vt:lpstr>K_STC</vt:lpstr>
      <vt:lpstr>K_STR_DISS</vt:lpstr>
      <vt:lpstr>k_transfer_GCO2_bub</vt:lpstr>
      <vt:lpstr>k_transfer_GCO2_sur</vt:lpstr>
      <vt:lpstr>k_transfer_GNH3_bub</vt:lpstr>
      <vt:lpstr>k_transfer_GNH3_sur</vt:lpstr>
      <vt:lpstr>K_Val_param</vt:lpstr>
      <vt:lpstr>K_VFA</vt:lpstr>
      <vt:lpstr>K_VFA_AMETO</vt:lpstr>
      <vt:lpstr>K_VFA_AMETO_AS</vt:lpstr>
      <vt:lpstr>K_VFA_AS</vt:lpstr>
      <vt:lpstr>K_VFA_CASTO</vt:lpstr>
      <vt:lpstr>K_VFA_CASTO_AS</vt:lpstr>
      <vt:lpstr>K_VFA_FERM</vt:lpstr>
      <vt:lpstr>K_VFA_FERM_AS</vt:lpstr>
      <vt:lpstr>K_VFA_N2O</vt:lpstr>
      <vt:lpstr>K_VFA_N2O_AS</vt:lpstr>
      <vt:lpstr>K_VFA_NO</vt:lpstr>
      <vt:lpstr>K_VFA_NO_AS</vt:lpstr>
      <vt:lpstr>K_VFA_NO2</vt:lpstr>
      <vt:lpstr>K_VFA_NO2_AS</vt:lpstr>
      <vt:lpstr>K_VFA_NO3</vt:lpstr>
      <vt:lpstr>K_VFA_NO3_AS</vt:lpstr>
      <vt:lpstr>K_Vivi_DISS</vt:lpstr>
      <vt:lpstr>K_W</vt:lpstr>
      <vt:lpstr>K_W_param</vt:lpstr>
      <vt:lpstr>K_W_T</vt:lpstr>
      <vt:lpstr>K_XB_HYD</vt:lpstr>
      <vt:lpstr>K_XBe_HYD</vt:lpstr>
      <vt:lpstr>K_XEana_HYD</vt:lpstr>
      <vt:lpstr>K_XTSS_lightextinction</vt:lpstr>
      <vt:lpstr>K_XU</vt:lpstr>
      <vt:lpstr>L_ightSwitch</vt:lpstr>
      <vt:lpstr>L_oginhORP_HFO</vt:lpstr>
      <vt:lpstr>L_oginhORP_PAO</vt:lpstr>
      <vt:lpstr>L_oginhpHNH3_AMETO</vt:lpstr>
      <vt:lpstr>L_oginhSPO4_KiP_HAO_DISS</vt:lpstr>
      <vt:lpstr>L_oginhSPO4_KiP_HFO_DISS</vt:lpstr>
      <vt:lpstr>L_oginhSVFA_KVFA_FERM</vt:lpstr>
      <vt:lpstr>L_oginhXHET_HYD_lim</vt:lpstr>
      <vt:lpstr>L_oginhXPHA_XGAO_max</vt:lpstr>
      <vt:lpstr>L_oginhXPHA_XPAO_max</vt:lpstr>
      <vt:lpstr>L_oginhXPP_XPAO_max</vt:lpstr>
      <vt:lpstr>L_ograngeCO2_AMX_pH_AS</vt:lpstr>
      <vt:lpstr>L_ograngeCO2_AOB_pH_AS</vt:lpstr>
      <vt:lpstr>L_ograngeCO2_AOB_pH_sidestream</vt:lpstr>
      <vt:lpstr>L_ograngeCO2_NOB_pH_AS</vt:lpstr>
      <vt:lpstr>L_ograngeNH3_AMETO</vt:lpstr>
      <vt:lpstr>L_ograngeP_HAO_DISS</vt:lpstr>
      <vt:lpstr>L_ograngeP_HFO_DISS</vt:lpstr>
      <vt:lpstr>L_ograngePHA_GAO_inh</vt:lpstr>
      <vt:lpstr>L_ograngePHA_PAO_inh</vt:lpstr>
      <vt:lpstr>L_ograngePO4_PAO_AS_sat</vt:lpstr>
      <vt:lpstr>L_ograngePP_PAO_AS_sat</vt:lpstr>
      <vt:lpstr>L_ograngePP_PAO_inh</vt:lpstr>
      <vt:lpstr>L_ograngeVFA_FERM_AS</vt:lpstr>
      <vt:lpstr>L_ograngeXHET_HYD_lim</vt:lpstr>
      <vt:lpstr>L_ogsatORP_GAO_Half_15</vt:lpstr>
      <vt:lpstr>L_ogsatORP_GAO_Half_25</vt:lpstr>
      <vt:lpstr>L_ogsatORP_GAO_Half_T</vt:lpstr>
      <vt:lpstr>L_ogsatORP_GAO_Slope</vt:lpstr>
      <vt:lpstr>L_ogsatORP_GAO_T</vt:lpstr>
      <vt:lpstr>L_ogsatORP_HFO_Half</vt:lpstr>
      <vt:lpstr>L_ogsatORP_HFO_Slope</vt:lpstr>
      <vt:lpstr>L_ogsatORP_PAO_Half</vt:lpstr>
      <vt:lpstr>L_ogsatORP_PAO_Slope</vt:lpstr>
      <vt:lpstr>L_ogsatpHCO2_AMX</vt:lpstr>
      <vt:lpstr>L_ogsatpHCO2_AOB</vt:lpstr>
      <vt:lpstr>L_ogsatpHCO2_NOB</vt:lpstr>
      <vt:lpstr>L_ogsatSPO4_KPO4_PAO</vt:lpstr>
      <vt:lpstr>L_ogsatSVFA_KVFA_FERM</vt:lpstr>
      <vt:lpstr>L_ogsatXHET_HYD_lim</vt:lpstr>
      <vt:lpstr>L_ogsatXPP_KPO4_PAO</vt:lpstr>
      <vt:lpstr>L_ogslopeCO2_AMX_pH</vt:lpstr>
      <vt:lpstr>L_ogslopeCO2_AOB_pH</vt:lpstr>
      <vt:lpstr>L_ogslopeCO2_NOB_pH</vt:lpstr>
      <vt:lpstr>L_ogslopeNH3_AMETO_pH</vt:lpstr>
      <vt:lpstr>L_ogslopeP_HAO_DISS</vt:lpstr>
      <vt:lpstr>L_ogslopeP_HFO_DISS</vt:lpstr>
      <vt:lpstr>L_ogslopePHA_GAO_inh</vt:lpstr>
      <vt:lpstr>L_ogslopePHA_PAO_inh</vt:lpstr>
      <vt:lpstr>L_ogslopePO4_PAO_sat</vt:lpstr>
      <vt:lpstr>L_ogslopePP_PAO_inh</vt:lpstr>
      <vt:lpstr>L_ogslopePP_PAO_sat</vt:lpstr>
      <vt:lpstr>L_ogslopeVFA_FERM</vt:lpstr>
      <vt:lpstr>L_ogslopeXHET_HYD_lim</vt:lpstr>
      <vt:lpstr>M_inhpHHNO2_AMX</vt:lpstr>
      <vt:lpstr>M_inhpHNH3_NOB</vt:lpstr>
      <vt:lpstr>M_inhSNH2OH_KNH2OH_NOB</vt:lpstr>
      <vt:lpstr>M_inhSNHx_KiNHx_ALGAE</vt:lpstr>
      <vt:lpstr>M_inhSNHx_KiNHx_ASSIM</vt:lpstr>
      <vt:lpstr>M_inhSNO_KiNO_OHO_N2O</vt:lpstr>
      <vt:lpstr>M_inhSNO_KiNO_OHO_NO2</vt:lpstr>
      <vt:lpstr>M_inhSNO2_KNO2_ASSIM</vt:lpstr>
      <vt:lpstr>M_inhSNO2_KNO2_CASTO</vt:lpstr>
      <vt:lpstr>M_inhSNO2_KNO2_MEOLO</vt:lpstr>
      <vt:lpstr>M_inhSNO2_KNO2_OHO</vt:lpstr>
      <vt:lpstr>M_inhSNO3_KNO3_CASTO</vt:lpstr>
      <vt:lpstr>M_inhSNO3_KNO3_MEOLO</vt:lpstr>
      <vt:lpstr>M_inhSNO3_KNO3_OHO</vt:lpstr>
      <vt:lpstr>M_inhSNOx_KNO3_AMETO</vt:lpstr>
      <vt:lpstr>M_inhSNOx_KNO3_HMETO</vt:lpstr>
      <vt:lpstr>M_inhSNOx_KNOx_aBIO</vt:lpstr>
      <vt:lpstr>M_inhSNOx_KNOx_AMX</vt:lpstr>
      <vt:lpstr>M_inhSNOx_KNOx_AOB</vt:lpstr>
      <vt:lpstr>M_inhSNOx_KNOx_NOB</vt:lpstr>
      <vt:lpstr>M_inhSO2_KiO2_AMETO</vt:lpstr>
      <vt:lpstr>M_inhSO2_KiO2_AMX</vt:lpstr>
      <vt:lpstr>M_inhSO2_KiO2_AOB</vt:lpstr>
      <vt:lpstr>M_inhSO2_KiO2_HMETO</vt:lpstr>
      <vt:lpstr>M_inhSO2_KiO2_MEOLO</vt:lpstr>
      <vt:lpstr>M_inhSO2_KO2_aBIO</vt:lpstr>
      <vt:lpstr>M_inhSO2_KO2_ALGAE</vt:lpstr>
      <vt:lpstr>M_inhSO2_KO2_AOB</vt:lpstr>
      <vt:lpstr>M_inhSO2_KO2_CASTO</vt:lpstr>
      <vt:lpstr>M_inhSO2_KO2_NOB</vt:lpstr>
      <vt:lpstr>M_inhSO2_KO2_OHO</vt:lpstr>
      <vt:lpstr>M_inhSO2_KO2_OHO_N2O</vt:lpstr>
      <vt:lpstr>M_inhSO2_KO2_OHO_NO</vt:lpstr>
      <vt:lpstr>M_inhSO2_KO2_OHO_NO2</vt:lpstr>
      <vt:lpstr>M_inhSO2_KO2_OHO_NO3</vt:lpstr>
      <vt:lpstr>M_inhSPO4_KiP_HAO_DESORP</vt:lpstr>
      <vt:lpstr>M_inhSPO4_KiP_HFO_DESORP</vt:lpstr>
      <vt:lpstr>M_inhSPO4_KiPO4_lim</vt:lpstr>
      <vt:lpstr>M_inhSVFA_KVFA</vt:lpstr>
      <vt:lpstr>M_MACP</vt:lpstr>
      <vt:lpstr>M_Mair</vt:lpstr>
      <vt:lpstr>M_MAl2SO43</vt:lpstr>
      <vt:lpstr>M_MAlCl3</vt:lpstr>
      <vt:lpstr>M_MAlOH3</vt:lpstr>
      <vt:lpstr>M_MAlPO4</vt:lpstr>
      <vt:lpstr>M_MBSH</vt:lpstr>
      <vt:lpstr>M_MCaCl2</vt:lpstr>
      <vt:lpstr>M_MCaCO3</vt:lpstr>
      <vt:lpstr>M_MCaH2PO4</vt:lpstr>
      <vt:lpstr>M_MCaHCO3</vt:lpstr>
      <vt:lpstr>M_MCaHPO4</vt:lpstr>
      <vt:lpstr>M_MCaOH</vt:lpstr>
      <vt:lpstr>M_MCaOH2</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M_MFe2SO43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M_MH3PO4</vt:lpstr>
      <vt:lpstr>M_MHAP</vt:lpstr>
      <vt:lpstr>M_MHCl</vt:lpstr>
      <vt:lpstr>M_MHCO3</vt:lpstr>
      <vt:lpstr>M_MHDP</vt:lpstr>
      <vt:lpstr>M_MHNO3</vt:lpstr>
      <vt:lpstr>M_MHSO4</vt:lpstr>
      <vt:lpstr>M_MKNO2</vt:lpstr>
      <vt:lpstr>M_MKNO3</vt:lpstr>
      <vt:lpstr>M_MMgCO3</vt:lpstr>
      <vt:lpstr>M_MMgH2PO4</vt:lpstr>
      <vt:lpstr>M_MMgHCO3</vt:lpstr>
      <vt:lpstr>M_MMgHPO4</vt:lpstr>
      <vt:lpstr>M_MMgOH</vt:lpstr>
      <vt:lpstr>M_MMgOH2</vt:lpstr>
      <vt:lpstr>M_MMgPO4</vt:lpstr>
      <vt:lpstr>M_MMKP</vt:lpstr>
      <vt:lpstr>M_MMMC</vt:lpstr>
      <vt:lpstr>M_MN2</vt:lpstr>
      <vt:lpstr>M_MN2O</vt:lpstr>
      <vt:lpstr>M_MNa2CO3</vt:lpstr>
      <vt:lpstr>M_MNaCl</vt:lpstr>
      <vt:lpstr>M_MNaHCO3</vt:lpstr>
      <vt:lpstr>M_MNaHPO4</vt:lpstr>
      <vt:lpstr>M_MNaOH</vt:lpstr>
      <vt:lpstr>M_MNH3</vt:lpstr>
      <vt:lpstr>M_MNH4</vt:lpstr>
      <vt:lpstr>M_MNH4HCO3</vt:lpstr>
      <vt:lpstr>M_MNO</vt:lpstr>
      <vt:lpstr>M_MNO2</vt:lpstr>
      <vt:lpstr>M_MNO3</vt:lpstr>
      <vt:lpstr>M_MO2</vt:lpstr>
      <vt:lpstr>M_MPO4</vt:lpstr>
      <vt:lpstr>M_MSiO2</vt:lpstr>
      <vt:lpstr>M_MSO4</vt:lpstr>
      <vt:lpstr>M_MSTR</vt:lpstr>
      <vt:lpstr>M_MVivi</vt:lpstr>
      <vt:lpstr>M_RinhXPHA_XGAO_KPHA</vt:lpstr>
      <vt:lpstr>M_RinhXPHA_XPAO_KPHA_cle</vt:lpstr>
      <vt:lpstr>M_RinhXPP_XPAO_KPP</vt:lpstr>
      <vt:lpstr>M_RinhXSTC_XCASTO_KSTC</vt:lpstr>
      <vt:lpstr>M_RsatXB_XHET_KHYD</vt:lpstr>
      <vt:lpstr>M_RsatXBe_XHET_KHYD</vt:lpstr>
      <vt:lpstr>M_RsatXEana_XHET_KHYD</vt:lpstr>
      <vt:lpstr>M_RsatXPHA_XGAO_KPHA</vt:lpstr>
      <vt:lpstr>M_RsatXPHA_XPAO_KPHA</vt:lpstr>
      <vt:lpstr>M_RsatXPP_XPAO_KPP</vt:lpstr>
      <vt:lpstr>M_RsatXSTC_XCASTO_KSTC</vt:lpstr>
      <vt:lpstr>M_satCB_KCB_FLOC</vt:lpstr>
      <vt:lpstr>M_satCB_KCB_FLOC_HAO</vt:lpstr>
      <vt:lpstr>M_satCB_KCB_FLOC_HFO</vt:lpstr>
      <vt:lpstr>M_satCU_KCU_FLOC</vt:lpstr>
      <vt:lpstr>M_satCU_KCU_FLOC_HAO</vt:lpstr>
      <vt:lpstr>M_satCU_KCU_FLOC_HFO</vt:lpstr>
      <vt:lpstr>M_satSAN_KAN</vt:lpstr>
      <vt:lpstr>M_satSB_KSB</vt:lpstr>
      <vt:lpstr>M_satSB_KSB_ana</vt:lpstr>
      <vt:lpstr>M_satSB_KSB_N2O</vt:lpstr>
      <vt:lpstr>M_satSB_KSB_NO</vt:lpstr>
      <vt:lpstr>M_satSB_KSB_NO2</vt:lpstr>
      <vt:lpstr>M_satSB_KSB_NO3</vt:lpstr>
      <vt:lpstr>M_satSCa_KCa</vt:lpstr>
      <vt:lpstr>M_satSCa_KCa_PAO</vt:lpstr>
      <vt:lpstr>M_satSCAT_KCAT</vt:lpstr>
      <vt:lpstr>M_satSCO2_KCO2_ALGAE</vt:lpstr>
      <vt:lpstr>M_satSCO2_KCO2_BIO</vt:lpstr>
      <vt:lpstr>M_satSH2_KH2_HMETO</vt:lpstr>
      <vt:lpstr>M_satSHNO2_KHNO2_AOB</vt:lpstr>
      <vt:lpstr>M_satSK_KK_PAO</vt:lpstr>
      <vt:lpstr>M_satSMEOL_KMEOL</vt:lpstr>
      <vt:lpstr>M_satSMEOL_KMEOL_OHO</vt:lpstr>
      <vt:lpstr>M_satSMg_KMg</vt:lpstr>
      <vt:lpstr>M_satSMg_KMg_PAO</vt:lpstr>
      <vt:lpstr>M_satSN2O_KN2O_OHO</vt:lpstr>
      <vt:lpstr>M_satSNH2OH_KNH2OH_AOB</vt:lpstr>
      <vt:lpstr>M_satSNHx_KNHx_ALGAE</vt:lpstr>
      <vt:lpstr>M_satSNHx_KNHx_AMX</vt:lpstr>
      <vt:lpstr>M_satSNHx_KNHx_AOB</vt:lpstr>
      <vt:lpstr>M_satSNHx_KNHx_BIO</vt:lpstr>
      <vt:lpstr>M_satSNHx_KNHx_NH2OH_AOB</vt:lpstr>
      <vt:lpstr>M_satSNO_KNO_N2O_AOB</vt:lpstr>
      <vt:lpstr>M_satSNO_KNO_NO2_AOB</vt:lpstr>
      <vt:lpstr>M_satSNO2_KNO2_AMX</vt:lpstr>
      <vt:lpstr>M_satSNO2_KNO2_ASSIM</vt:lpstr>
      <vt:lpstr>M_satSNO2_KNO2_CASTO</vt:lpstr>
      <vt:lpstr>M_satSNO2_KNO2_MEOLO</vt:lpstr>
      <vt:lpstr>M_satSNO2_KNO2_NOB</vt:lpstr>
      <vt:lpstr>M_satSNO2_KNO2_OHO</vt:lpstr>
      <vt:lpstr>M_satSNO3_KNO3_ASSIM</vt:lpstr>
      <vt:lpstr>M_satSNO3_KNO3_CASTO</vt:lpstr>
      <vt:lpstr>M_satSNO3_KNO3_MEOLO</vt:lpstr>
      <vt:lpstr>M_satSNO3_KNO3_OHO</vt:lpstr>
      <vt:lpstr>M_satSNOx_KNO3_AMETO</vt:lpstr>
      <vt:lpstr>M_satSNOx_KNO3_HMETO</vt:lpstr>
      <vt:lpstr>M_satSNOx_KNOx_ALGAE</vt:lpstr>
      <vt:lpstr>M_satSNOx_KNOx_AMX</vt:lpstr>
      <vt:lpstr>M_satSNOx_KNOx_AOB</vt:lpstr>
      <vt:lpstr>M_satSNOx_KNOx_NOB</vt:lpstr>
      <vt:lpstr>M_satSO2_KiO2_AMETO</vt:lpstr>
      <vt:lpstr>M_satSO2_KiO2_AMX</vt:lpstr>
      <vt:lpstr>M_satSO2_KiO2_HMETO</vt:lpstr>
      <vt:lpstr>M_satSO2_KiO2_MEOLO</vt:lpstr>
      <vt:lpstr>M_satSO2_KO2_aBIO</vt:lpstr>
      <vt:lpstr>M_satSO2_KO2_ALGAE</vt:lpstr>
      <vt:lpstr>M_satSO2_KO2_AOB</vt:lpstr>
      <vt:lpstr>M_satSO2_KO2_CASTO</vt:lpstr>
      <vt:lpstr>M_satSO2_KO2_NH2OH_AOB</vt:lpstr>
      <vt:lpstr>M_satSO2_KO2_NHx_AOB</vt:lpstr>
      <vt:lpstr>M_satSO2_KO2_NOB</vt:lpstr>
      <vt:lpstr>M_satSO2_KO2_OHO</vt:lpstr>
      <vt:lpstr>M_satSPO4_KP_HAO_BIND</vt:lpstr>
      <vt:lpstr>M_satSPO4_KP_HFO_BIND</vt:lpstr>
      <vt:lpstr>M_satSPO4_KPO4_BIO</vt:lpstr>
      <vt:lpstr>M_satSPO4_KPO4_PAO</vt:lpstr>
      <vt:lpstr>M_satSVFA_KVFA</vt:lpstr>
      <vt:lpstr>M_satSVFA_KVFA_CASTO</vt:lpstr>
      <vt:lpstr>M_satSVFA_KVFA_N2O</vt:lpstr>
      <vt:lpstr>M_satSVFA_KVFA_NO</vt:lpstr>
      <vt:lpstr>M_satSVFA_KVFA_NO2</vt:lpstr>
      <vt:lpstr>M_satSVFA_KVFA_NO3</vt:lpstr>
      <vt:lpstr>M_satXACP_KACP_DISS</vt:lpstr>
      <vt:lpstr>M_satXB_KXB_HYD</vt:lpstr>
      <vt:lpstr>M_satXBe_KXBe_HYD</vt:lpstr>
      <vt:lpstr>M_satXBSH_KBSH_DISS</vt:lpstr>
      <vt:lpstr>M_satXCaCO3_KCaCO3_DISS</vt:lpstr>
      <vt:lpstr>M_satXEana_KXEana_HYD</vt:lpstr>
      <vt:lpstr>M_satXPP_KPP_lim</vt:lpstr>
      <vt:lpstr>M_satXSTR_KSTR_DISS</vt:lpstr>
      <vt:lpstr>M_satXU_KXU</vt:lpstr>
      <vt:lpstr>M_satXVivi_KVivi_DISS</vt:lpstr>
      <vt:lpstr>m_tox_aer</vt:lpstr>
      <vt:lpstr>m_tox_ana</vt:lpstr>
      <vt:lpstr>m_tox_ana_max</vt:lpstr>
      <vt:lpstr>m_tox_anox</vt:lpstr>
      <vt:lpstr>N_2OPR</vt:lpstr>
      <vt:lpstr>N_2OPR_AR</vt:lpstr>
      <vt:lpstr>N_2OPR_denit</vt:lpstr>
      <vt:lpstr>N_2OPR_ND</vt:lpstr>
      <vt:lpstr>N_2OPR_nit</vt:lpstr>
      <vt:lpstr>N_2OPR_NN</vt:lpstr>
      <vt:lpstr>N_2OUR_denit</vt:lpstr>
      <vt:lpstr>N_2UR</vt:lpstr>
      <vt:lpstr>N_3UR</vt:lpstr>
      <vt:lpstr>ƞ_AOB_NO_N2O</vt:lpstr>
      <vt:lpstr>ƞ_AOB_NO2_N2O</vt:lpstr>
      <vt:lpstr>N_OUR</vt:lpstr>
      <vt:lpstr>N_URAMX</vt:lpstr>
      <vt:lpstr>o_ffsetORPswitch</vt:lpstr>
      <vt:lpstr>O_RP</vt:lpstr>
      <vt:lpstr>O_RPana</vt:lpstr>
      <vt:lpstr>O_RPbase</vt:lpstr>
      <vt:lpstr>O_RPmax_SNOx</vt:lpstr>
      <vt:lpstr>O_RPmax_SO2</vt:lpstr>
      <vt:lpstr>O_RPNOx</vt:lpstr>
      <vt:lpstr>O_RPO2</vt:lpstr>
      <vt:lpstr>O_UR</vt:lpstr>
      <vt:lpstr>p_H</vt:lpstr>
      <vt:lpstr>p_Hfield</vt:lpstr>
      <vt:lpstr>p_Hhigh</vt:lpstr>
      <vt:lpstr>p_Hhigh_AMETO</vt:lpstr>
      <vt:lpstr>p_Hhigh_AOB</vt:lpstr>
      <vt:lpstr>p_Hhigh_FLOC_HAO</vt:lpstr>
      <vt:lpstr>p_Hhigh_FLOC_HFO</vt:lpstr>
      <vt:lpstr>p_Hhigh_HMETO</vt:lpstr>
      <vt:lpstr>p_Hhigh_NOB</vt:lpstr>
      <vt:lpstr>p_Hlow</vt:lpstr>
      <vt:lpstr>p_Hlow_AMETO</vt:lpstr>
      <vt:lpstr>p_Hlow_AOB</vt:lpstr>
      <vt:lpstr>p_Hlow_FLOC_HAO</vt:lpstr>
      <vt:lpstr>p_Hlow_FLOC_HFO</vt:lpstr>
      <vt:lpstr>p_Hlow_HMETO</vt:lpstr>
      <vt:lpstr>p_Hlow_NOB</vt:lpstr>
      <vt:lpstr>p_i</vt:lpstr>
      <vt:lpstr>p_NTP</vt:lpstr>
      <vt:lpstr>p_owdamp_ALPHA</vt:lpstr>
      <vt:lpstr>P_recipDrivingForceACP</vt:lpstr>
      <vt:lpstr>P_recipDrivingForceBSH</vt:lpstr>
      <vt:lpstr>P_recipDrivingForceCaCO3</vt:lpstr>
      <vt:lpstr>P_recipDrivingForceSTR</vt:lpstr>
      <vt:lpstr>P_recipDrivingForceVivi</vt:lpstr>
      <vt:lpstr>P_RR</vt:lpstr>
      <vt:lpstr>p_STP</vt:lpstr>
      <vt:lpstr>P_UR</vt:lpstr>
      <vt:lpstr>P_URBIO</vt:lpstr>
      <vt:lpstr>P_URCHEM</vt:lpstr>
      <vt:lpstr>q_ACP</vt:lpstr>
      <vt:lpstr>q_ACP_DISS</vt:lpstr>
      <vt:lpstr>q_ACP_PREC</vt:lpstr>
      <vt:lpstr>q_ALPHA</vt:lpstr>
      <vt:lpstr>q_ALPHA_O2</vt:lpstr>
      <vt:lpstr>q_AMMON</vt:lpstr>
      <vt:lpstr>q_AMMON_T</vt:lpstr>
      <vt:lpstr>q_ASSIM</vt:lpstr>
      <vt:lpstr>q_ASSIM_T</vt:lpstr>
      <vt:lpstr>q_BSH</vt:lpstr>
      <vt:lpstr>q_BSH_DISS</vt:lpstr>
      <vt:lpstr>q_BSH_PREC</vt:lpstr>
      <vt:lpstr>q_CaCO3</vt:lpstr>
      <vt:lpstr>q_CaCO3_DISS</vt:lpstr>
      <vt:lpstr>q_CaCO3_PREC</vt:lpstr>
      <vt:lpstr>q_Fe2_OX</vt:lpstr>
      <vt:lpstr>q_Fe2_OX_T</vt:lpstr>
      <vt:lpstr>q_FLOC</vt:lpstr>
      <vt:lpstr>q_FLOC_HAO</vt:lpstr>
      <vt:lpstr>q_FLOC_HAO_T</vt:lpstr>
      <vt:lpstr>q_FLOC_HFO</vt:lpstr>
      <vt:lpstr>q_FLOC_HFO_T</vt:lpstr>
      <vt:lpstr>q_FLOC_T</vt:lpstr>
      <vt:lpstr>q_GAO_PHA</vt:lpstr>
      <vt:lpstr>q_GAO_PHA_T</vt:lpstr>
      <vt:lpstr>q_HAO_DISS</vt:lpstr>
      <vt:lpstr>q_HAOH_AGING</vt:lpstr>
      <vt:lpstr>q_HAOH_DESORP</vt:lpstr>
      <vt:lpstr>q_HAOL_AGING</vt:lpstr>
      <vt:lpstr>q_HAOL_DESORP</vt:lpstr>
      <vt:lpstr>q_HFO_DISS</vt:lpstr>
      <vt:lpstr>q_HFO_RED</vt:lpstr>
      <vt:lpstr>q_HFO_RED_T</vt:lpstr>
      <vt:lpstr>q_HFOH_AGING</vt:lpstr>
      <vt:lpstr>q_HFOH_DESORP</vt:lpstr>
      <vt:lpstr>q_HFOL_AGING</vt:lpstr>
      <vt:lpstr>q_HFOL_DESORP</vt:lpstr>
      <vt:lpstr>q_HYD_XB</vt:lpstr>
      <vt:lpstr>q_HYD_XB_T</vt:lpstr>
      <vt:lpstr>q_HYD_XBe</vt:lpstr>
      <vt:lpstr>q_HYD_XBe_T</vt:lpstr>
      <vt:lpstr>q_MEOL</vt:lpstr>
      <vt:lpstr>q_NH2OH</vt:lpstr>
      <vt:lpstr>q_NH2OH_NO2</vt:lpstr>
      <vt:lpstr>q_NH2OH_NO2_pH</vt:lpstr>
      <vt:lpstr>q_NH2OH_O2</vt:lpstr>
      <vt:lpstr>q_P_HAO_BIND</vt:lpstr>
      <vt:lpstr>q_P_HAO_COPREC</vt:lpstr>
      <vt:lpstr>q_P_HFO_BIND</vt:lpstr>
      <vt:lpstr>q_P_HFO_COPREC</vt:lpstr>
      <vt:lpstr>q_PAO_PHA</vt:lpstr>
      <vt:lpstr>q_PAO_PHA_T</vt:lpstr>
      <vt:lpstr>q_PAO_PP</vt:lpstr>
      <vt:lpstr>q_PAO_PP_T</vt:lpstr>
      <vt:lpstr>q_PFOA_SORP</vt:lpstr>
      <vt:lpstr>q_PFOS_SORP</vt:lpstr>
      <vt:lpstr>q_SPB</vt:lpstr>
      <vt:lpstr>q_SPB_T</vt:lpstr>
      <vt:lpstr>q_STR</vt:lpstr>
      <vt:lpstr>q_STR_DISS</vt:lpstr>
      <vt:lpstr>q_STR_PREC</vt:lpstr>
      <vt:lpstr>q_Vivi</vt:lpstr>
      <vt:lpstr>q_Vivi_DISS</vt:lpstr>
      <vt:lpstr>q_Vivi_PREC</vt:lpstr>
      <vt:lpstr>q_XE</vt:lpstr>
      <vt:lpstr>q_XE_T</vt:lpstr>
      <vt:lpstr>q_XU</vt:lpstr>
      <vt:lpstr>q_XU_T</vt:lpstr>
      <vt:lpstr>R__</vt:lpstr>
      <vt:lpstr>r_1</vt:lpstr>
      <vt:lpstr>r_10</vt:lpstr>
      <vt:lpstr>r_100</vt:lpstr>
      <vt:lpstr>r_101</vt:lpstr>
      <vt:lpstr>r_102</vt:lpstr>
      <vt:lpstr>r_103</vt:lpstr>
      <vt:lpstr>r_104</vt:lpstr>
      <vt:lpstr>r_105</vt:lpstr>
      <vt:lpstr>r_106</vt:lpstr>
      <vt:lpstr>r_107</vt:lpstr>
      <vt:lpstr>r_108</vt:lpstr>
      <vt:lpstr>r_109</vt:lpstr>
      <vt:lpstr>r_11</vt:lpstr>
      <vt:lpstr>r_110</vt:lpstr>
      <vt:lpstr>r_111</vt:lpstr>
      <vt:lpstr>r_112</vt:lpstr>
      <vt:lpstr>r_113</vt:lpstr>
      <vt:lpstr>r_114</vt:lpstr>
      <vt:lpstr>r_115</vt:lpstr>
      <vt:lpstr>r_116</vt:lpstr>
      <vt:lpstr>r_117</vt:lpstr>
      <vt:lpstr>r_118</vt:lpstr>
      <vt:lpstr>r_119</vt:lpstr>
      <vt:lpstr>r_12</vt:lpstr>
      <vt:lpstr>r_120</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r_36</vt:lpstr>
      <vt:lpstr>r_37</vt:lpstr>
      <vt:lpstr>r_38</vt:lpstr>
      <vt:lpstr>r_39</vt:lpstr>
      <vt:lpstr>r_4</vt:lpstr>
      <vt:lpstr>r_40</vt:lpstr>
      <vt:lpstr>r_41</vt:lpstr>
      <vt:lpstr>r_42</vt:lpstr>
      <vt:lpstr>r_43</vt:lpstr>
      <vt:lpstr>r_44</vt:lpstr>
      <vt:lpstr>r_45</vt:lpstr>
      <vt:lpstr>r_46</vt:lpstr>
      <vt:lpstr>r_47</vt:lpstr>
      <vt:lpstr>r_48</vt:lpstr>
      <vt:lpstr>r_49</vt:lpstr>
      <vt:lpstr>r_5</vt:lpstr>
      <vt:lpstr>r_50</vt:lpstr>
      <vt:lpstr>r_51</vt:lpstr>
      <vt:lpstr>r_52</vt:lpstr>
      <vt:lpstr>r_53</vt:lpstr>
      <vt:lpstr>r_54</vt:lpstr>
      <vt:lpstr>r_55</vt:lpstr>
      <vt:lpstr>r_56</vt:lpstr>
      <vt:lpstr>r_57</vt:lpstr>
      <vt:lpstr>r_58</vt:lpstr>
      <vt:lpstr>r_59</vt:lpstr>
      <vt:lpstr>r_6</vt:lpstr>
      <vt:lpstr>r_60</vt:lpstr>
      <vt:lpstr>r_61</vt:lpstr>
      <vt:lpstr>r_62</vt:lpstr>
      <vt:lpstr>r_63</vt:lpstr>
      <vt:lpstr>r_64</vt:lpstr>
      <vt:lpstr>r_65</vt:lpstr>
      <vt:lpstr>r_66</vt:lpstr>
      <vt:lpstr>r_67</vt:lpstr>
      <vt:lpstr>r_68</vt:lpstr>
      <vt:lpstr>r_69</vt:lpstr>
      <vt:lpstr>r_7</vt:lpstr>
      <vt:lpstr>r_70</vt:lpstr>
      <vt:lpstr>r_71</vt:lpstr>
      <vt:lpstr>r_72</vt:lpstr>
      <vt:lpstr>r_73</vt:lpstr>
      <vt:lpstr>r_74</vt:lpstr>
      <vt:lpstr>r_75</vt:lpstr>
      <vt:lpstr>r_76</vt:lpstr>
      <vt:lpstr>r_77</vt:lpstr>
      <vt:lpstr>r_78</vt:lpstr>
      <vt:lpstr>r_79</vt:lpstr>
      <vt:lpstr>r_8</vt:lpstr>
      <vt:lpstr>r_80</vt:lpstr>
      <vt:lpstr>r_81</vt:lpstr>
      <vt:lpstr>r_82</vt:lpstr>
      <vt:lpstr>r_83</vt:lpstr>
      <vt:lpstr>r_84</vt:lpstr>
      <vt:lpstr>r_85</vt:lpstr>
      <vt:lpstr>r_86</vt:lpstr>
      <vt:lpstr>r_87</vt:lpstr>
      <vt:lpstr>r_88</vt:lpstr>
      <vt:lpstr>r_89</vt:lpstr>
      <vt:lpstr>r_9</vt:lpstr>
      <vt:lpstr>r_90</vt:lpstr>
      <vt:lpstr>r_91</vt:lpstr>
      <vt:lpstr>r_92</vt:lpstr>
      <vt:lpstr>r_93</vt:lpstr>
      <vt:lpstr>r_94</vt:lpstr>
      <vt:lpstr>r_95</vt:lpstr>
      <vt:lpstr>r_96</vt:lpstr>
      <vt:lpstr>r_97</vt:lpstr>
      <vt:lpstr>r_98</vt:lpstr>
      <vt:lpstr>r_99</vt:lpstr>
      <vt:lpstr>R_air</vt:lpstr>
      <vt:lpstr>r_ateFLOC_CB_polymer</vt:lpstr>
      <vt:lpstr>r_ateFLOC_CU_polymer</vt:lpstr>
      <vt:lpstr>r_atioAAR_rbCODDR</vt:lpstr>
      <vt:lpstr>r_atioVSS_TSS</vt:lpstr>
      <vt:lpstr>r_bCODDR</vt:lpstr>
      <vt:lpstr>S_ALK</vt:lpstr>
      <vt:lpstr>S_ALK_calc</vt:lpstr>
      <vt:lpstr>S_ALK_input</vt:lpstr>
      <vt:lpstr>S_ALPHA</vt:lpstr>
      <vt:lpstr>S_ALPHA_sat</vt:lpstr>
      <vt:lpstr>S_AN</vt:lpstr>
      <vt:lpstr>S_AN_ini</vt:lpstr>
      <vt:lpstr>S_B</vt:lpstr>
      <vt:lpstr>S_BOD_5</vt:lpstr>
      <vt:lpstr>S_BOD_ult</vt:lpstr>
      <vt:lpstr>S_Ca</vt:lpstr>
      <vt:lpstr>S_CAT</vt:lpstr>
      <vt:lpstr>S_CAT_ini</vt:lpstr>
      <vt:lpstr>S_CCOD</vt:lpstr>
      <vt:lpstr>S_CH4</vt:lpstr>
      <vt:lpstr>S_CO2</vt:lpstr>
      <vt:lpstr>S_COD</vt:lpstr>
      <vt:lpstr>S_Fe2</vt:lpstr>
      <vt:lpstr>S_GCH4_bub_sat</vt:lpstr>
      <vt:lpstr>S_GCH4_sur_sat</vt:lpstr>
      <vt:lpstr>S_GCO2_bub_sat</vt:lpstr>
      <vt:lpstr>S_GCO2_sur_sat</vt:lpstr>
      <vt:lpstr>S_GH2_bub_sat</vt:lpstr>
      <vt:lpstr>S_GH2_sur_sat</vt:lpstr>
      <vt:lpstr>S_GH2S_bub_sat</vt:lpstr>
      <vt:lpstr>S_GH2S_sur_sat</vt:lpstr>
      <vt:lpstr>S_GN2_bub_sat</vt:lpstr>
      <vt:lpstr>S_GN2_sur_sat</vt:lpstr>
      <vt:lpstr>S_GN2O_bub_sat</vt:lpstr>
      <vt:lpstr>S_GN2O_sur_sat</vt:lpstr>
      <vt:lpstr>S_GNH3_bub_sat</vt:lpstr>
      <vt:lpstr>S_GNH3_sur_sat</vt:lpstr>
      <vt:lpstr>S_GNO_bub_sat</vt:lpstr>
      <vt:lpstr>S_GNO_sur_sat</vt:lpstr>
      <vt:lpstr>S_GO2_bub_sat</vt:lpstr>
      <vt:lpstr>S_GO2_sur_sat</vt:lpstr>
      <vt:lpstr>S_H</vt:lpstr>
      <vt:lpstr>S_H2</vt:lpstr>
      <vt:lpstr>S_HNO2</vt:lpstr>
      <vt:lpstr>S_K</vt:lpstr>
      <vt:lpstr>S_KN</vt:lpstr>
      <vt:lpstr>s_lh_diff_α</vt:lpstr>
      <vt:lpstr>S_lopeIS_corr</vt:lpstr>
      <vt:lpstr>s_lORP_GAO_Half_T</vt:lpstr>
      <vt:lpstr>s_lTSS_α_coarse</vt:lpstr>
      <vt:lpstr>s_lTSS_α_def</vt:lpstr>
      <vt:lpstr>S_MEOL</vt:lpstr>
      <vt:lpstr>S_Mg</vt:lpstr>
      <vt:lpstr>S_N_B</vt:lpstr>
      <vt:lpstr>S_N2</vt:lpstr>
      <vt:lpstr>S_N2O</vt:lpstr>
      <vt:lpstr>S_NH2OH</vt:lpstr>
      <vt:lpstr>S_NH3</vt:lpstr>
      <vt:lpstr>S_NHx</vt:lpstr>
      <vt:lpstr>S_NO</vt:lpstr>
      <vt:lpstr>S_NO_AOB</vt:lpstr>
      <vt:lpstr>S_NO_OHO</vt:lpstr>
      <vt:lpstr>S_NO2</vt:lpstr>
      <vt:lpstr>S_NO3</vt:lpstr>
      <vt:lpstr>S_NOx</vt:lpstr>
      <vt:lpstr>S_NOx_Tot</vt:lpstr>
      <vt:lpstr>S_O2</vt:lpstr>
      <vt:lpstr>S_ORPswitch</vt:lpstr>
      <vt:lpstr>S_P</vt:lpstr>
      <vt:lpstr>S_P_B</vt:lpstr>
      <vt:lpstr>S_PFOA</vt:lpstr>
      <vt:lpstr>S_PFOS</vt:lpstr>
      <vt:lpstr>S_PO4</vt:lpstr>
      <vt:lpstr>S_rbCOD</vt:lpstr>
      <vt:lpstr>S_U</vt:lpstr>
      <vt:lpstr>S_U_N</vt:lpstr>
      <vt:lpstr>S_umo__MSatMin</vt:lpstr>
      <vt:lpstr>S_umo__pHEffects</vt:lpstr>
      <vt:lpstr>S_VFA</vt:lpstr>
      <vt:lpstr>T__</vt:lpstr>
      <vt:lpstr>T_Al</vt:lpstr>
      <vt:lpstr>T_base</vt:lpstr>
      <vt:lpstr>T_BOD_5</vt:lpstr>
      <vt:lpstr>T_BOD_ult</vt:lpstr>
      <vt:lpstr>T_Ca</vt:lpstr>
      <vt:lpstr>T_COD</vt:lpstr>
      <vt:lpstr>T_COD_Th</vt:lpstr>
      <vt:lpstr>T_Fe</vt:lpstr>
      <vt:lpstr>T_IN</vt:lpstr>
      <vt:lpstr>T_K</vt:lpstr>
      <vt:lpstr>T_KN</vt:lpstr>
      <vt:lpstr>T_KN_B</vt:lpstr>
      <vt:lpstr>T_Mg</vt:lpstr>
      <vt:lpstr>T_N</vt:lpstr>
      <vt:lpstr>T_NTP_K</vt:lpstr>
      <vt:lpstr>T_OC</vt:lpstr>
      <vt:lpstr>T_P</vt:lpstr>
      <vt:lpstr>T_PFOA</vt:lpstr>
      <vt:lpstr>T_PFOS</vt:lpstr>
      <vt:lpstr>T_st_K</vt:lpstr>
      <vt:lpstr>T_STP_K</vt:lpstr>
      <vt:lpstr>v_1_CB</vt:lpstr>
      <vt:lpstr>v_1_CU</vt:lpstr>
      <vt:lpstr>v_1_GCH4</vt:lpstr>
      <vt:lpstr>v_1_GCH4_atm</vt:lpstr>
      <vt:lpstr>v_1_GCO2</vt:lpstr>
      <vt:lpstr>v_1_GCO2_atm</vt:lpstr>
      <vt:lpstr>v_1_GH2</vt:lpstr>
      <vt:lpstr>v_1_GH2_atm</vt:lpstr>
      <vt:lpstr>v_1_GN2</vt:lpstr>
      <vt:lpstr>v_1_GN2_atm</vt:lpstr>
      <vt:lpstr>v_1_GN2O</vt:lpstr>
      <vt:lpstr>v_1_GN2O_atm</vt:lpstr>
      <vt:lpstr>v_1_GNH3</vt:lpstr>
      <vt:lpstr>v_1_GNH3_atm</vt:lpstr>
      <vt:lpstr>v_1_GNO</vt:lpstr>
      <vt:lpstr>v_1_GNO_atm</vt:lpstr>
      <vt:lpstr>v_1_GO2</vt:lpstr>
      <vt:lpstr>v_1_GO2_atm</vt:lpstr>
      <vt:lpstr>v_1_SALPHA</vt:lpstr>
      <vt:lpstr>v_1_SAN</vt:lpstr>
      <vt:lpstr>v_1_SB</vt:lpstr>
      <vt:lpstr>v_1_SCa</vt:lpstr>
      <vt:lpstr>v_1_SCAT</vt:lpstr>
      <vt:lpstr>v_1_SCH4</vt:lpstr>
      <vt:lpstr>v_1_SCO2</vt:lpstr>
      <vt:lpstr>v_1_SFe2</vt:lpstr>
      <vt:lpstr>v_1_SH</vt:lpstr>
      <vt:lpstr>v_1_SH2</vt:lpstr>
      <vt:lpstr>v_1_SK</vt:lpstr>
      <vt:lpstr>v_1_SMEOL</vt:lpstr>
      <vt:lpstr>v_1_SMg</vt:lpstr>
      <vt:lpstr>v_1_SN_B</vt:lpstr>
      <vt:lpstr>v_1_SN2</vt:lpstr>
      <vt:lpstr>v_1_SN2O</vt:lpstr>
      <vt:lpstr>v_1_SNH2OH</vt:lpstr>
      <vt:lpstr>v_1_SNHx</vt:lpstr>
      <vt:lpstr>v_1_SNO_AOB</vt:lpstr>
      <vt:lpstr>v_1_SNO_OHO</vt:lpstr>
      <vt:lpstr>v_1_SNO2</vt:lpstr>
      <vt:lpstr>v_1_SNO3</vt:lpstr>
      <vt:lpstr>v_1_SO2</vt:lpstr>
      <vt:lpstr>v_1_SORPswitch</vt:lpstr>
      <vt:lpstr>v_1_SP_B</vt:lpstr>
      <vt:lpstr>v_1_SPFOA</vt:lpstr>
      <vt:lpstr>v_1_SPFOS</vt:lpstr>
      <vt:lpstr>v_1_SPO4</vt:lpstr>
      <vt:lpstr>v_1_SU</vt:lpstr>
      <vt:lpstr>v_1_SVFA</vt:lpstr>
      <vt:lpstr>v_1_XACP</vt:lpstr>
      <vt:lpstr>v_1_XALGAE</vt:lpstr>
      <vt:lpstr>v_1_XAMETO</vt:lpstr>
      <vt:lpstr>v_1_XAMX</vt:lpstr>
      <vt:lpstr>v_1_XAOB</vt:lpstr>
      <vt:lpstr>v_1_XB</vt:lpstr>
      <vt:lpstr>v_1_XB_e</vt:lpstr>
      <vt:lpstr>v_1_XBSH</vt:lpstr>
      <vt:lpstr>v_1_XCaCO3</vt:lpstr>
      <vt:lpstr>v_1_XCASTO</vt:lpstr>
      <vt:lpstr>v_1_XE</vt:lpstr>
      <vt:lpstr>v_1_XE_ana</vt:lpstr>
      <vt:lpstr>v_1_XHAO_H</vt:lpstr>
      <vt:lpstr>v_1_XHAO_H_P</vt:lpstr>
      <vt:lpstr>v_1_XHAO_H_P_old</vt:lpstr>
      <vt:lpstr>v_1_XHAO_L</vt:lpstr>
      <vt:lpstr>v_1_XHAO_L_P</vt:lpstr>
      <vt:lpstr>v_1_XHAO_L_P_old</vt:lpstr>
      <vt:lpstr>v_1_XHAO_old</vt:lpstr>
      <vt:lpstr>v_1_XHFO_H</vt:lpstr>
      <vt:lpstr>v_1_XHFO_H_P</vt:lpstr>
      <vt:lpstr>v_1_XHFO_H_P_old</vt:lpstr>
      <vt:lpstr>v_1_XHFO_L</vt:lpstr>
      <vt:lpstr>v_1_XHFO_L_P</vt:lpstr>
      <vt:lpstr>v_1_XHFO_L_P_old</vt:lpstr>
      <vt:lpstr>v_1_XHFO_old</vt:lpstr>
      <vt:lpstr>v_1_XHMETO</vt:lpstr>
      <vt:lpstr>v_1_XINORG</vt:lpstr>
      <vt:lpstr>v_1_XMEOLO</vt:lpstr>
      <vt:lpstr>v_1_XN_B</vt:lpstr>
      <vt:lpstr>v_1_XN_Be</vt:lpstr>
      <vt:lpstr>v_1_XN_U</vt:lpstr>
      <vt:lpstr>v_1_XNOB</vt:lpstr>
      <vt:lpstr>v_1_XOHO</vt:lpstr>
      <vt:lpstr>v_1_XP_B</vt:lpstr>
      <vt:lpstr>v_1_XP_Be</vt:lpstr>
      <vt:lpstr>v_1_XP_U</vt:lpstr>
      <vt:lpstr>v_1_XPFOA</vt:lpstr>
      <vt:lpstr>v_1_XPFOS</vt:lpstr>
      <vt:lpstr>v_1_XPHA_GAO</vt:lpstr>
      <vt:lpstr>v_1_XPHA_PAO</vt:lpstr>
      <vt:lpstr>v_1_XPP</vt:lpstr>
      <vt:lpstr>v_1_XSTR</vt:lpstr>
      <vt:lpstr>v_1_XU</vt:lpstr>
      <vt:lpstr>v_1_XVivi</vt:lpstr>
      <vt:lpstr>v_10_CB</vt:lpstr>
      <vt:lpstr>v_10_CU</vt:lpstr>
      <vt:lpstr>v_10_GCH4</vt:lpstr>
      <vt:lpstr>v_10_GCH4_atm</vt:lpstr>
      <vt:lpstr>v_10_GCO2</vt:lpstr>
      <vt:lpstr>v_10_GCO2_atm</vt:lpstr>
      <vt:lpstr>v_10_GH2</vt:lpstr>
      <vt:lpstr>v_10_GH2_atm</vt:lpstr>
      <vt:lpstr>v_10_GN2</vt:lpstr>
      <vt:lpstr>v_10_GN2_atm</vt:lpstr>
      <vt:lpstr>v_10_GN2O</vt:lpstr>
      <vt:lpstr>v_10_GN2O_atm</vt:lpstr>
      <vt:lpstr>v_10_GNH3</vt:lpstr>
      <vt:lpstr>v_10_GNH3_atm</vt:lpstr>
      <vt:lpstr>v_10_GNO</vt:lpstr>
      <vt:lpstr>v_10_GNO_atm</vt:lpstr>
      <vt:lpstr>v_10_GO2</vt:lpstr>
      <vt:lpstr>v_10_GO2_atm</vt:lpstr>
      <vt:lpstr>v_10_SALPHA</vt:lpstr>
      <vt:lpstr>v_10_SAN</vt:lpstr>
      <vt:lpstr>v_10_SB</vt:lpstr>
      <vt:lpstr>v_10_SCa</vt:lpstr>
      <vt:lpstr>v_10_SCAT</vt:lpstr>
      <vt:lpstr>v_10_SCH4</vt:lpstr>
      <vt:lpstr>v_10_SCO2</vt:lpstr>
      <vt:lpstr>v_10_SFe2</vt:lpstr>
      <vt:lpstr>v_10_SH</vt:lpstr>
      <vt:lpstr>v_10_SH2</vt:lpstr>
      <vt:lpstr>v_10_SK</vt:lpstr>
      <vt:lpstr>v_10_SMEOL</vt:lpstr>
      <vt:lpstr>v_10_SMg</vt:lpstr>
      <vt:lpstr>v_10_SN_B</vt:lpstr>
      <vt:lpstr>v_10_SN2</vt:lpstr>
      <vt:lpstr>v_10_SN2O</vt:lpstr>
      <vt:lpstr>v_10_SNH2OH</vt:lpstr>
      <vt:lpstr>v_10_SNHx</vt:lpstr>
      <vt:lpstr>v_10_SNO_AOB</vt:lpstr>
      <vt:lpstr>v_10_SNO_OHO</vt:lpstr>
      <vt:lpstr>v_10_SNO2</vt:lpstr>
      <vt:lpstr>v_10_SNO3</vt:lpstr>
      <vt:lpstr>v_10_SO2</vt:lpstr>
      <vt:lpstr>v_10_SORPswitch</vt:lpstr>
      <vt:lpstr>v_10_SP_B</vt:lpstr>
      <vt:lpstr>v_10_SPFOA</vt:lpstr>
      <vt:lpstr>v_10_SPFOS</vt:lpstr>
      <vt:lpstr>v_10_SPO4</vt:lpstr>
      <vt:lpstr>v_10_SU</vt:lpstr>
      <vt:lpstr>v_10_SVFA</vt:lpstr>
      <vt:lpstr>v_10_XACP</vt:lpstr>
      <vt:lpstr>v_10_XALGAE</vt:lpstr>
      <vt:lpstr>v_10_XAMETO</vt:lpstr>
      <vt:lpstr>v_10_XAMX</vt:lpstr>
      <vt:lpstr>v_10_XAOB</vt:lpstr>
      <vt:lpstr>v_10_XB</vt:lpstr>
      <vt:lpstr>v_10_XB_e</vt:lpstr>
      <vt:lpstr>v_10_XBSH</vt:lpstr>
      <vt:lpstr>v_10_XCaCO3</vt:lpstr>
      <vt:lpstr>v_10_XCASTO</vt:lpstr>
      <vt:lpstr>v_10_XE</vt:lpstr>
      <vt:lpstr>v_10_XE_ana</vt:lpstr>
      <vt:lpstr>v_10_XHAO_H</vt:lpstr>
      <vt:lpstr>v_10_XHAO_H_P</vt:lpstr>
      <vt:lpstr>v_10_XHAO_H_P_old</vt:lpstr>
      <vt:lpstr>v_10_XHAO_L</vt:lpstr>
      <vt:lpstr>v_10_XHAO_L_P</vt:lpstr>
      <vt:lpstr>v_10_XHAO_L_P_old</vt:lpstr>
      <vt:lpstr>v_10_XHAO_old</vt:lpstr>
      <vt:lpstr>v_10_XHFO_H</vt:lpstr>
      <vt:lpstr>v_10_XHFO_H_P</vt:lpstr>
      <vt:lpstr>v_10_XHFO_H_P_old</vt:lpstr>
      <vt:lpstr>v_10_XHFO_L</vt:lpstr>
      <vt:lpstr>v_10_XHFO_L_P</vt:lpstr>
      <vt:lpstr>v_10_XHFO_L_P_old</vt:lpstr>
      <vt:lpstr>v_10_XHFO_old</vt:lpstr>
      <vt:lpstr>v_10_XHMETO</vt:lpstr>
      <vt:lpstr>v_10_XINORG</vt:lpstr>
      <vt:lpstr>v_10_XMEOLO</vt:lpstr>
      <vt:lpstr>v_10_XN_B</vt:lpstr>
      <vt:lpstr>v_10_XN_Be</vt:lpstr>
      <vt:lpstr>v_10_XN_U</vt:lpstr>
      <vt:lpstr>v_10_XNOB</vt:lpstr>
      <vt:lpstr>v_10_XOHO</vt:lpstr>
      <vt:lpstr>v_10_XP_B</vt:lpstr>
      <vt:lpstr>v_10_XP_Be</vt:lpstr>
      <vt:lpstr>v_10_XP_U</vt:lpstr>
      <vt:lpstr>v_10_XPFOA</vt:lpstr>
      <vt:lpstr>v_10_XPFOS</vt:lpstr>
      <vt:lpstr>v_10_XPHA_GAO</vt:lpstr>
      <vt:lpstr>v_10_XPHA_PAO</vt:lpstr>
      <vt:lpstr>v_10_XPP</vt:lpstr>
      <vt:lpstr>v_10_XSTR</vt:lpstr>
      <vt:lpstr>v_10_XU</vt:lpstr>
      <vt:lpstr>v_10_XVivi</vt:lpstr>
      <vt:lpstr>v_100_CB</vt:lpstr>
      <vt:lpstr>v_100_CU</vt:lpstr>
      <vt:lpstr>v_100_GCH4</vt:lpstr>
      <vt:lpstr>v_100_GCH4_atm</vt:lpstr>
      <vt:lpstr>v_100_GCO2</vt:lpstr>
      <vt:lpstr>v_100_GCO2_atm</vt:lpstr>
      <vt:lpstr>v_100_GH2</vt:lpstr>
      <vt:lpstr>v_100_GH2_atm</vt:lpstr>
      <vt:lpstr>v_100_GN2</vt:lpstr>
      <vt:lpstr>v_100_GN2_atm</vt:lpstr>
      <vt:lpstr>v_100_GN2O</vt:lpstr>
      <vt:lpstr>v_100_GN2O_atm</vt:lpstr>
      <vt:lpstr>v_100_GNH3</vt:lpstr>
      <vt:lpstr>v_100_GNH3_atm</vt:lpstr>
      <vt:lpstr>v_100_GNO</vt:lpstr>
      <vt:lpstr>v_100_GNO_atm</vt:lpstr>
      <vt:lpstr>v_100_GO2</vt:lpstr>
      <vt:lpstr>v_100_GO2_atm</vt:lpstr>
      <vt:lpstr>v_100_SALPHA</vt:lpstr>
      <vt:lpstr>v_100_SAN</vt:lpstr>
      <vt:lpstr>v_100_SB</vt:lpstr>
      <vt:lpstr>v_100_SCa</vt:lpstr>
      <vt:lpstr>v_100_SCAT</vt:lpstr>
      <vt:lpstr>v_100_SCH4</vt:lpstr>
      <vt:lpstr>v_100_SCO2</vt:lpstr>
      <vt:lpstr>v_100_SFe2</vt:lpstr>
      <vt:lpstr>v_100_SH</vt:lpstr>
      <vt:lpstr>v_100_SH2</vt:lpstr>
      <vt:lpstr>v_100_SK</vt:lpstr>
      <vt:lpstr>v_100_SMEOL</vt:lpstr>
      <vt:lpstr>v_100_SMg</vt:lpstr>
      <vt:lpstr>v_100_SN_B</vt:lpstr>
      <vt:lpstr>v_100_SN2</vt:lpstr>
      <vt:lpstr>v_100_SN2O</vt:lpstr>
      <vt:lpstr>v_100_SNH2OH</vt:lpstr>
      <vt:lpstr>v_100_SNHx</vt:lpstr>
      <vt:lpstr>v_100_SNO_AOB</vt:lpstr>
      <vt:lpstr>v_100_SNO_OHO</vt:lpstr>
      <vt:lpstr>v_100_SNO2</vt:lpstr>
      <vt:lpstr>v_100_SNO3</vt:lpstr>
      <vt:lpstr>v_100_SO2</vt:lpstr>
      <vt:lpstr>v_100_SORPswitch</vt:lpstr>
      <vt:lpstr>v_100_SP_B</vt:lpstr>
      <vt:lpstr>v_100_SPFOA</vt:lpstr>
      <vt:lpstr>v_100_SPFOS</vt:lpstr>
      <vt:lpstr>v_100_SPO4</vt:lpstr>
      <vt:lpstr>v_100_SU</vt:lpstr>
      <vt:lpstr>v_100_SVFA</vt:lpstr>
      <vt:lpstr>v_100_XACP</vt:lpstr>
      <vt:lpstr>v_100_XALGAE</vt:lpstr>
      <vt:lpstr>v_100_XAMETO</vt:lpstr>
      <vt:lpstr>v_100_XAMX</vt:lpstr>
      <vt:lpstr>v_100_XAOB</vt:lpstr>
      <vt:lpstr>v_100_XB</vt:lpstr>
      <vt:lpstr>v_100_XB_e</vt:lpstr>
      <vt:lpstr>v_100_XBSH</vt:lpstr>
      <vt:lpstr>v_100_XCaCO3</vt:lpstr>
      <vt:lpstr>v_100_XCASTO</vt:lpstr>
      <vt:lpstr>v_100_XE</vt:lpstr>
      <vt:lpstr>v_100_XE_ana</vt:lpstr>
      <vt:lpstr>v_100_XHAO_H</vt:lpstr>
      <vt:lpstr>v_100_XHAO_H_P</vt:lpstr>
      <vt:lpstr>v_100_XHAO_H_P_old</vt:lpstr>
      <vt:lpstr>v_100_XHAO_L</vt:lpstr>
      <vt:lpstr>v_100_XHAO_L_P</vt:lpstr>
      <vt:lpstr>v_100_XHAO_L_P_old</vt:lpstr>
      <vt:lpstr>v_100_XHAO_old</vt:lpstr>
      <vt:lpstr>v_100_XHFO_H</vt:lpstr>
      <vt:lpstr>v_100_XHFO_H_P</vt:lpstr>
      <vt:lpstr>v_100_XHFO_H_P_old</vt:lpstr>
      <vt:lpstr>v_100_XHFO_L</vt:lpstr>
      <vt:lpstr>v_100_XHFO_L_P</vt:lpstr>
      <vt:lpstr>v_100_XHFO_L_P_old</vt:lpstr>
      <vt:lpstr>v_100_XHFO_old</vt:lpstr>
      <vt:lpstr>v_100_XHMETO</vt:lpstr>
      <vt:lpstr>v_100_XINORG</vt:lpstr>
      <vt:lpstr>v_100_XMEOLO</vt:lpstr>
      <vt:lpstr>v_100_XN_B</vt:lpstr>
      <vt:lpstr>v_100_XN_Be</vt:lpstr>
      <vt:lpstr>v_100_XN_U</vt:lpstr>
      <vt:lpstr>v_100_XNOB</vt:lpstr>
      <vt:lpstr>v_100_XOHO</vt:lpstr>
      <vt:lpstr>v_100_XP_B</vt:lpstr>
      <vt:lpstr>v_100_XP_Be</vt:lpstr>
      <vt:lpstr>v_100_XP_U</vt:lpstr>
      <vt:lpstr>v_100_XPFOA</vt:lpstr>
      <vt:lpstr>v_100_XPFOS</vt:lpstr>
      <vt:lpstr>v_100_XPHA_GAO</vt:lpstr>
      <vt:lpstr>v_100_XPHA_PAO</vt:lpstr>
      <vt:lpstr>v_100_XPP</vt:lpstr>
      <vt:lpstr>v_100_XSTR</vt:lpstr>
      <vt:lpstr>v_100_XU</vt:lpstr>
      <vt:lpstr>v_100_XVivi</vt:lpstr>
      <vt:lpstr>v_101_CB</vt:lpstr>
      <vt:lpstr>v_101_CU</vt:lpstr>
      <vt:lpstr>v_101_GCH4</vt:lpstr>
      <vt:lpstr>v_101_GCH4_atm</vt:lpstr>
      <vt:lpstr>v_101_GCO2</vt:lpstr>
      <vt:lpstr>v_101_GCO2_atm</vt:lpstr>
      <vt:lpstr>v_101_GH2</vt:lpstr>
      <vt:lpstr>v_101_GH2_atm</vt:lpstr>
      <vt:lpstr>v_101_GN2</vt:lpstr>
      <vt:lpstr>v_101_GN2_atm</vt:lpstr>
      <vt:lpstr>v_101_GN2O</vt:lpstr>
      <vt:lpstr>v_101_GN2O_atm</vt:lpstr>
      <vt:lpstr>v_101_GNH3</vt:lpstr>
      <vt:lpstr>v_101_GNH3_atm</vt:lpstr>
      <vt:lpstr>v_101_GNO</vt:lpstr>
      <vt:lpstr>v_101_GNO_atm</vt:lpstr>
      <vt:lpstr>v_101_GO2</vt:lpstr>
      <vt:lpstr>v_101_GO2_atm</vt:lpstr>
      <vt:lpstr>v_101_SALPHA</vt:lpstr>
      <vt:lpstr>v_101_SAN</vt:lpstr>
      <vt:lpstr>v_101_SB</vt:lpstr>
      <vt:lpstr>v_101_SCa</vt:lpstr>
      <vt:lpstr>v_101_SCAT</vt:lpstr>
      <vt:lpstr>v_101_SCH4</vt:lpstr>
      <vt:lpstr>v_101_SCO2</vt:lpstr>
      <vt:lpstr>v_101_SFe2</vt:lpstr>
      <vt:lpstr>v_101_SH</vt:lpstr>
      <vt:lpstr>v_101_SH2</vt:lpstr>
      <vt:lpstr>v_101_SK</vt:lpstr>
      <vt:lpstr>v_101_SMEOL</vt:lpstr>
      <vt:lpstr>v_101_SMg</vt:lpstr>
      <vt:lpstr>v_101_SN_B</vt:lpstr>
      <vt:lpstr>v_101_SN2</vt:lpstr>
      <vt:lpstr>v_101_SN2O</vt:lpstr>
      <vt:lpstr>v_101_SNH2OH</vt:lpstr>
      <vt:lpstr>v_101_SNHx</vt:lpstr>
      <vt:lpstr>v_101_SNO_AOB</vt:lpstr>
      <vt:lpstr>v_101_SNO_OHO</vt:lpstr>
      <vt:lpstr>v_101_SNO2</vt:lpstr>
      <vt:lpstr>v_101_SNO3</vt:lpstr>
      <vt:lpstr>v_101_SO2</vt:lpstr>
      <vt:lpstr>v_101_SORPswitch</vt:lpstr>
      <vt:lpstr>v_101_SP_B</vt:lpstr>
      <vt:lpstr>v_101_SPFOA</vt:lpstr>
      <vt:lpstr>v_101_SPFOS</vt:lpstr>
      <vt:lpstr>v_101_SPO4</vt:lpstr>
      <vt:lpstr>v_101_SU</vt:lpstr>
      <vt:lpstr>v_101_SVFA</vt:lpstr>
      <vt:lpstr>v_101_XACP</vt:lpstr>
      <vt:lpstr>v_101_XALGAE</vt:lpstr>
      <vt:lpstr>v_101_XAMETO</vt:lpstr>
      <vt:lpstr>v_101_XAMX</vt:lpstr>
      <vt:lpstr>v_101_XAOB</vt:lpstr>
      <vt:lpstr>v_101_XB</vt:lpstr>
      <vt:lpstr>v_101_XB_e</vt:lpstr>
      <vt:lpstr>v_101_XBSH</vt:lpstr>
      <vt:lpstr>v_101_XCaCO3</vt:lpstr>
      <vt:lpstr>v_101_XCASTO</vt:lpstr>
      <vt:lpstr>v_101_XE</vt:lpstr>
      <vt:lpstr>v_101_XE_ana</vt:lpstr>
      <vt:lpstr>v_101_XHAO_H</vt:lpstr>
      <vt:lpstr>v_101_XHAO_H_P</vt:lpstr>
      <vt:lpstr>v_101_XHAO_H_P_old</vt:lpstr>
      <vt:lpstr>v_101_XHAO_L</vt:lpstr>
      <vt:lpstr>v_101_XHAO_L_P</vt:lpstr>
      <vt:lpstr>v_101_XHAO_L_P_old</vt:lpstr>
      <vt:lpstr>v_101_XHAO_old</vt:lpstr>
      <vt:lpstr>v_101_XHFO_H</vt:lpstr>
      <vt:lpstr>v_101_XHFO_H_P</vt:lpstr>
      <vt:lpstr>v_101_XHFO_H_P_old</vt:lpstr>
      <vt:lpstr>v_101_XHFO_L</vt:lpstr>
      <vt:lpstr>v_101_XHFO_L_P</vt:lpstr>
      <vt:lpstr>v_101_XHFO_L_P_old</vt:lpstr>
      <vt:lpstr>v_101_XHFO_old</vt:lpstr>
      <vt:lpstr>v_101_XHMETO</vt:lpstr>
      <vt:lpstr>v_101_XINORG</vt:lpstr>
      <vt:lpstr>v_101_XMEOLO</vt:lpstr>
      <vt:lpstr>v_101_XN_B</vt:lpstr>
      <vt:lpstr>v_101_XN_Be</vt:lpstr>
      <vt:lpstr>v_101_XN_U</vt:lpstr>
      <vt:lpstr>v_101_XNOB</vt:lpstr>
      <vt:lpstr>v_101_XOHO</vt:lpstr>
      <vt:lpstr>v_101_XP_B</vt:lpstr>
      <vt:lpstr>v_101_XP_Be</vt:lpstr>
      <vt:lpstr>v_101_XP_U</vt:lpstr>
      <vt:lpstr>v_101_XPFOA</vt:lpstr>
      <vt:lpstr>v_101_XPFOS</vt:lpstr>
      <vt:lpstr>v_101_XPHA_GAO</vt:lpstr>
      <vt:lpstr>v_101_XPHA_PAO</vt:lpstr>
      <vt:lpstr>v_101_XPP</vt:lpstr>
      <vt:lpstr>v_101_XSTR</vt:lpstr>
      <vt:lpstr>v_101_XU</vt:lpstr>
      <vt:lpstr>v_101_XVivi</vt:lpstr>
      <vt:lpstr>v_102_CB</vt:lpstr>
      <vt:lpstr>v_102_CU</vt:lpstr>
      <vt:lpstr>v_102_GCH4</vt:lpstr>
      <vt:lpstr>v_102_GCH4_atm</vt:lpstr>
      <vt:lpstr>v_102_GCO2</vt:lpstr>
      <vt:lpstr>v_102_GCO2_atm</vt:lpstr>
      <vt:lpstr>v_102_GH2</vt:lpstr>
      <vt:lpstr>v_102_GH2_atm</vt:lpstr>
      <vt:lpstr>v_102_GN2</vt:lpstr>
      <vt:lpstr>v_102_GN2_atm</vt:lpstr>
      <vt:lpstr>v_102_GN2O</vt:lpstr>
      <vt:lpstr>v_102_GN2O_atm</vt:lpstr>
      <vt:lpstr>v_102_GNH3</vt:lpstr>
      <vt:lpstr>v_102_GNH3_atm</vt:lpstr>
      <vt:lpstr>v_102_GNO</vt:lpstr>
      <vt:lpstr>v_102_GNO_atm</vt:lpstr>
      <vt:lpstr>v_102_GO2</vt:lpstr>
      <vt:lpstr>v_102_GO2_atm</vt:lpstr>
      <vt:lpstr>v_102_SALPHA</vt:lpstr>
      <vt:lpstr>v_102_SAN</vt:lpstr>
      <vt:lpstr>v_102_SB</vt:lpstr>
      <vt:lpstr>v_102_SCa</vt:lpstr>
      <vt:lpstr>v_102_SCAT</vt:lpstr>
      <vt:lpstr>v_102_SCH4</vt:lpstr>
      <vt:lpstr>v_102_SCO2</vt:lpstr>
      <vt:lpstr>v_102_SFe2</vt:lpstr>
      <vt:lpstr>v_102_SH</vt:lpstr>
      <vt:lpstr>v_102_SH2</vt:lpstr>
      <vt:lpstr>v_102_SK</vt:lpstr>
      <vt:lpstr>v_102_SMEOL</vt:lpstr>
      <vt:lpstr>v_102_SMg</vt:lpstr>
      <vt:lpstr>v_102_SN_B</vt:lpstr>
      <vt:lpstr>v_102_SN2</vt:lpstr>
      <vt:lpstr>v_102_SN2O</vt:lpstr>
      <vt:lpstr>v_102_SNH2OH</vt:lpstr>
      <vt:lpstr>v_102_SNHx</vt:lpstr>
      <vt:lpstr>v_102_SNO_AOB</vt:lpstr>
      <vt:lpstr>v_102_SNO_OHO</vt:lpstr>
      <vt:lpstr>v_102_SNO2</vt:lpstr>
      <vt:lpstr>v_102_SNO3</vt:lpstr>
      <vt:lpstr>v_102_SO2</vt:lpstr>
      <vt:lpstr>v_102_SORPswitch</vt:lpstr>
      <vt:lpstr>v_102_SP_B</vt:lpstr>
      <vt:lpstr>v_102_SPFOA</vt:lpstr>
      <vt:lpstr>v_102_SPFOS</vt:lpstr>
      <vt:lpstr>v_102_SPO4</vt:lpstr>
      <vt:lpstr>v_102_SU</vt:lpstr>
      <vt:lpstr>v_102_SVFA</vt:lpstr>
      <vt:lpstr>v_102_XACP</vt:lpstr>
      <vt:lpstr>v_102_XALGAE</vt:lpstr>
      <vt:lpstr>v_102_XAMETO</vt:lpstr>
      <vt:lpstr>v_102_XAMX</vt:lpstr>
      <vt:lpstr>v_102_XAOB</vt:lpstr>
      <vt:lpstr>v_102_XB</vt:lpstr>
      <vt:lpstr>v_102_XB_e</vt:lpstr>
      <vt:lpstr>v_102_XBSH</vt:lpstr>
      <vt:lpstr>v_102_XCaCO3</vt:lpstr>
      <vt:lpstr>v_102_XCASTO</vt:lpstr>
      <vt:lpstr>v_102_XE</vt:lpstr>
      <vt:lpstr>v_102_XE_ana</vt:lpstr>
      <vt:lpstr>v_102_XHAO_H</vt:lpstr>
      <vt:lpstr>v_102_XHAO_H_P</vt:lpstr>
      <vt:lpstr>v_102_XHAO_H_P_old</vt:lpstr>
      <vt:lpstr>v_102_XHAO_L</vt:lpstr>
      <vt:lpstr>v_102_XHAO_L_P</vt:lpstr>
      <vt:lpstr>v_102_XHAO_L_P_old</vt:lpstr>
      <vt:lpstr>v_102_XHAO_old</vt:lpstr>
      <vt:lpstr>v_102_XHFO_H</vt:lpstr>
      <vt:lpstr>v_102_XHFO_H_P</vt:lpstr>
      <vt:lpstr>v_102_XHFO_H_P_old</vt:lpstr>
      <vt:lpstr>v_102_XHFO_L</vt:lpstr>
      <vt:lpstr>v_102_XHFO_L_P</vt:lpstr>
      <vt:lpstr>v_102_XHFO_L_P_old</vt:lpstr>
      <vt:lpstr>v_102_XHFO_old</vt:lpstr>
      <vt:lpstr>v_102_XHMETO</vt:lpstr>
      <vt:lpstr>v_102_XINORG</vt:lpstr>
      <vt:lpstr>v_102_XMEOLO</vt:lpstr>
      <vt:lpstr>v_102_XN_B</vt:lpstr>
      <vt:lpstr>v_102_XN_Be</vt:lpstr>
      <vt:lpstr>v_102_XN_U</vt:lpstr>
      <vt:lpstr>v_102_XNOB</vt:lpstr>
      <vt:lpstr>v_102_XOHO</vt:lpstr>
      <vt:lpstr>v_102_XP_B</vt:lpstr>
      <vt:lpstr>v_102_XP_Be</vt:lpstr>
      <vt:lpstr>v_102_XP_U</vt:lpstr>
      <vt:lpstr>v_102_XPFOA</vt:lpstr>
      <vt:lpstr>v_102_XPFOS</vt:lpstr>
      <vt:lpstr>v_102_XPHA_GAO</vt:lpstr>
      <vt:lpstr>v_102_XPHA_PAO</vt:lpstr>
      <vt:lpstr>v_102_XPP</vt:lpstr>
      <vt:lpstr>v_102_XSTR</vt:lpstr>
      <vt:lpstr>v_102_XU</vt:lpstr>
      <vt:lpstr>v_102_XVivi</vt:lpstr>
      <vt:lpstr>v_103_CB</vt:lpstr>
      <vt:lpstr>v_103_CU</vt:lpstr>
      <vt:lpstr>v_103_GCH4</vt:lpstr>
      <vt:lpstr>v_103_GCH4_atm</vt:lpstr>
      <vt:lpstr>v_103_GCO2</vt:lpstr>
      <vt:lpstr>v_103_GCO2_atm</vt:lpstr>
      <vt:lpstr>v_103_GH2</vt:lpstr>
      <vt:lpstr>v_103_GH2_atm</vt:lpstr>
      <vt:lpstr>v_103_GN2</vt:lpstr>
      <vt:lpstr>v_103_GN2_atm</vt:lpstr>
      <vt:lpstr>v_103_GN2O</vt:lpstr>
      <vt:lpstr>v_103_GN2O_atm</vt:lpstr>
      <vt:lpstr>v_103_GNH3</vt:lpstr>
      <vt:lpstr>v_103_GNH3_atm</vt:lpstr>
      <vt:lpstr>v_103_GNO</vt:lpstr>
      <vt:lpstr>v_103_GNO_atm</vt:lpstr>
      <vt:lpstr>v_103_GO2</vt:lpstr>
      <vt:lpstr>v_103_GO2_atm</vt:lpstr>
      <vt:lpstr>v_103_SALPHA</vt:lpstr>
      <vt:lpstr>v_103_SAN</vt:lpstr>
      <vt:lpstr>v_103_SB</vt:lpstr>
      <vt:lpstr>v_103_SCa</vt:lpstr>
      <vt:lpstr>v_103_SCAT</vt:lpstr>
      <vt:lpstr>v_103_SCH4</vt:lpstr>
      <vt:lpstr>v_103_SCO2</vt:lpstr>
      <vt:lpstr>v_103_SFe2</vt:lpstr>
      <vt:lpstr>v_103_SH</vt:lpstr>
      <vt:lpstr>v_103_SH2</vt:lpstr>
      <vt:lpstr>v_103_SK</vt:lpstr>
      <vt:lpstr>v_103_SMEOL</vt:lpstr>
      <vt:lpstr>v_103_SMg</vt:lpstr>
      <vt:lpstr>v_103_SN_B</vt:lpstr>
      <vt:lpstr>v_103_SN2</vt:lpstr>
      <vt:lpstr>v_103_SN2O</vt:lpstr>
      <vt:lpstr>v_103_SNH2OH</vt:lpstr>
      <vt:lpstr>v_103_SNHx</vt:lpstr>
      <vt:lpstr>v_103_SNO_AOB</vt:lpstr>
      <vt:lpstr>v_103_SNO_OHO</vt:lpstr>
      <vt:lpstr>v_103_SNO2</vt:lpstr>
      <vt:lpstr>v_103_SNO3</vt:lpstr>
      <vt:lpstr>v_103_SO2</vt:lpstr>
      <vt:lpstr>v_103_SORPswitch</vt:lpstr>
      <vt:lpstr>v_103_SP_B</vt:lpstr>
      <vt:lpstr>v_103_SPFOA</vt:lpstr>
      <vt:lpstr>v_103_SPFOS</vt:lpstr>
      <vt:lpstr>v_103_SPO4</vt:lpstr>
      <vt:lpstr>v_103_SU</vt:lpstr>
      <vt:lpstr>v_103_SVFA</vt:lpstr>
      <vt:lpstr>v_103_XACP</vt:lpstr>
      <vt:lpstr>v_103_XALGAE</vt:lpstr>
      <vt:lpstr>v_103_XAMETO</vt:lpstr>
      <vt:lpstr>v_103_XAMX</vt:lpstr>
      <vt:lpstr>v_103_XAOB</vt:lpstr>
      <vt:lpstr>v_103_XB</vt:lpstr>
      <vt:lpstr>v_103_XB_e</vt:lpstr>
      <vt:lpstr>v_103_XBSH</vt:lpstr>
      <vt:lpstr>v_103_XCaCO3</vt:lpstr>
      <vt:lpstr>v_103_XCASTO</vt:lpstr>
      <vt:lpstr>v_103_XE</vt:lpstr>
      <vt:lpstr>v_103_XE_ana</vt:lpstr>
      <vt:lpstr>v_103_XHAO_H</vt:lpstr>
      <vt:lpstr>v_103_XHAO_H_P</vt:lpstr>
      <vt:lpstr>v_103_XHAO_H_P_old</vt:lpstr>
      <vt:lpstr>v_103_XHAO_L</vt:lpstr>
      <vt:lpstr>v_103_XHAO_L_P</vt:lpstr>
      <vt:lpstr>v_103_XHAO_L_P_old</vt:lpstr>
      <vt:lpstr>v_103_XHAO_old</vt:lpstr>
      <vt:lpstr>v_103_XHFO_H</vt:lpstr>
      <vt:lpstr>v_103_XHFO_H_P</vt:lpstr>
      <vt:lpstr>v_103_XHFO_H_P_old</vt:lpstr>
      <vt:lpstr>v_103_XHFO_L</vt:lpstr>
      <vt:lpstr>v_103_XHFO_L_P</vt:lpstr>
      <vt:lpstr>v_103_XHFO_L_P_old</vt:lpstr>
      <vt:lpstr>v_103_XHFO_old</vt:lpstr>
      <vt:lpstr>v_103_XHMETO</vt:lpstr>
      <vt:lpstr>v_103_XINORG</vt:lpstr>
      <vt:lpstr>v_103_XMEOLO</vt:lpstr>
      <vt:lpstr>v_103_XN_B</vt:lpstr>
      <vt:lpstr>v_103_XN_Be</vt:lpstr>
      <vt:lpstr>v_103_XN_U</vt:lpstr>
      <vt:lpstr>v_103_XNOB</vt:lpstr>
      <vt:lpstr>v_103_XOHO</vt:lpstr>
      <vt:lpstr>v_103_XP_B</vt:lpstr>
      <vt:lpstr>v_103_XP_Be</vt:lpstr>
      <vt:lpstr>v_103_XP_U</vt:lpstr>
      <vt:lpstr>v_103_XPFOA</vt:lpstr>
      <vt:lpstr>v_103_XPFOS</vt:lpstr>
      <vt:lpstr>v_103_XPHA_GAO</vt:lpstr>
      <vt:lpstr>v_103_XPHA_PAO</vt:lpstr>
      <vt:lpstr>v_103_XPP</vt:lpstr>
      <vt:lpstr>v_103_XSTR</vt:lpstr>
      <vt:lpstr>v_103_XU</vt:lpstr>
      <vt:lpstr>v_103_XVivi</vt:lpstr>
      <vt:lpstr>v_104_CB</vt:lpstr>
      <vt:lpstr>v_104_CU</vt:lpstr>
      <vt:lpstr>v_104_GCH4</vt:lpstr>
      <vt:lpstr>v_104_GCH4_atm</vt:lpstr>
      <vt:lpstr>v_104_GCO2</vt:lpstr>
      <vt:lpstr>v_104_GCO2_atm</vt:lpstr>
      <vt:lpstr>v_104_GH2</vt:lpstr>
      <vt:lpstr>v_104_GH2_atm</vt:lpstr>
      <vt:lpstr>v_104_GN2</vt:lpstr>
      <vt:lpstr>v_104_GN2_atm</vt:lpstr>
      <vt:lpstr>v_104_GN2O</vt:lpstr>
      <vt:lpstr>v_104_GN2O_atm</vt:lpstr>
      <vt:lpstr>v_104_GNH3</vt:lpstr>
      <vt:lpstr>v_104_GNH3_atm</vt:lpstr>
      <vt:lpstr>v_104_GNO</vt:lpstr>
      <vt:lpstr>v_104_GNO_atm</vt:lpstr>
      <vt:lpstr>v_104_GO2</vt:lpstr>
      <vt:lpstr>v_104_GO2_atm</vt:lpstr>
      <vt:lpstr>v_104_SALPHA</vt:lpstr>
      <vt:lpstr>v_104_SAN</vt:lpstr>
      <vt:lpstr>v_104_SB</vt:lpstr>
      <vt:lpstr>v_104_SCa</vt:lpstr>
      <vt:lpstr>v_104_SCAT</vt:lpstr>
      <vt:lpstr>v_104_SCH4</vt:lpstr>
      <vt:lpstr>v_104_SCO2</vt:lpstr>
      <vt:lpstr>v_104_SFe2</vt:lpstr>
      <vt:lpstr>v_104_SH</vt:lpstr>
      <vt:lpstr>v_104_SH2</vt:lpstr>
      <vt:lpstr>v_104_SK</vt:lpstr>
      <vt:lpstr>v_104_SMEOL</vt:lpstr>
      <vt:lpstr>v_104_SMg</vt:lpstr>
      <vt:lpstr>v_104_SN_B</vt:lpstr>
      <vt:lpstr>v_104_SN2</vt:lpstr>
      <vt:lpstr>v_104_SN2O</vt:lpstr>
      <vt:lpstr>v_104_SNH2OH</vt:lpstr>
      <vt:lpstr>v_104_SNHx</vt:lpstr>
      <vt:lpstr>v_104_SNO_AOB</vt:lpstr>
      <vt:lpstr>v_104_SNO_OHO</vt:lpstr>
      <vt:lpstr>v_104_SNO2</vt:lpstr>
      <vt:lpstr>v_104_SNO3</vt:lpstr>
      <vt:lpstr>v_104_SO2</vt:lpstr>
      <vt:lpstr>v_104_SORPswitch</vt:lpstr>
      <vt:lpstr>v_104_SP_B</vt:lpstr>
      <vt:lpstr>v_104_SPFOA</vt:lpstr>
      <vt:lpstr>v_104_SPFOS</vt:lpstr>
      <vt:lpstr>v_104_SPO4</vt:lpstr>
      <vt:lpstr>v_104_SU</vt:lpstr>
      <vt:lpstr>v_104_SVFA</vt:lpstr>
      <vt:lpstr>v_104_XACP</vt:lpstr>
      <vt:lpstr>v_104_XALGAE</vt:lpstr>
      <vt:lpstr>v_104_XAMETO</vt:lpstr>
      <vt:lpstr>v_104_XAMX</vt:lpstr>
      <vt:lpstr>v_104_XAOB</vt:lpstr>
      <vt:lpstr>v_104_XB</vt:lpstr>
      <vt:lpstr>v_104_XB_e</vt:lpstr>
      <vt:lpstr>v_104_XBSH</vt:lpstr>
      <vt:lpstr>v_104_XCaCO3</vt:lpstr>
      <vt:lpstr>v_104_XCASTO</vt:lpstr>
      <vt:lpstr>v_104_XE</vt:lpstr>
      <vt:lpstr>v_104_XE_ana</vt:lpstr>
      <vt:lpstr>v_104_XHAO_H</vt:lpstr>
      <vt:lpstr>v_104_XHAO_H_P</vt:lpstr>
      <vt:lpstr>v_104_XHAO_H_P_old</vt:lpstr>
      <vt:lpstr>v_104_XHAO_L</vt:lpstr>
      <vt:lpstr>v_104_XHAO_L_P</vt:lpstr>
      <vt:lpstr>v_104_XHAO_L_P_old</vt:lpstr>
      <vt:lpstr>v_104_XHAO_old</vt:lpstr>
      <vt:lpstr>v_104_XHFO_H</vt:lpstr>
      <vt:lpstr>v_104_XHFO_H_P</vt:lpstr>
      <vt:lpstr>v_104_XHFO_H_P_old</vt:lpstr>
      <vt:lpstr>v_104_XHFO_L</vt:lpstr>
      <vt:lpstr>v_104_XHFO_L_P</vt:lpstr>
      <vt:lpstr>v_104_XHFO_L_P_old</vt:lpstr>
      <vt:lpstr>v_104_XHFO_old</vt:lpstr>
      <vt:lpstr>v_104_XHMETO</vt:lpstr>
      <vt:lpstr>v_104_XINORG</vt:lpstr>
      <vt:lpstr>v_104_XMEOLO</vt:lpstr>
      <vt:lpstr>v_104_XN_B</vt:lpstr>
      <vt:lpstr>v_104_XN_Be</vt:lpstr>
      <vt:lpstr>v_104_XN_U</vt:lpstr>
      <vt:lpstr>v_104_XNOB</vt:lpstr>
      <vt:lpstr>v_104_XOHO</vt:lpstr>
      <vt:lpstr>v_104_XP_B</vt:lpstr>
      <vt:lpstr>v_104_XP_Be</vt:lpstr>
      <vt:lpstr>v_104_XP_U</vt:lpstr>
      <vt:lpstr>v_104_XPFOA</vt:lpstr>
      <vt:lpstr>v_104_XPFOS</vt:lpstr>
      <vt:lpstr>v_104_XPHA_GAO</vt:lpstr>
      <vt:lpstr>v_104_XPHA_PAO</vt:lpstr>
      <vt:lpstr>v_104_XPP</vt:lpstr>
      <vt:lpstr>v_104_XSTR</vt:lpstr>
      <vt:lpstr>v_104_XU</vt:lpstr>
      <vt:lpstr>v_104_XVivi</vt:lpstr>
      <vt:lpstr>v_105_CB</vt:lpstr>
      <vt:lpstr>v_105_CU</vt:lpstr>
      <vt:lpstr>v_105_GCH4</vt:lpstr>
      <vt:lpstr>v_105_GCH4_atm</vt:lpstr>
      <vt:lpstr>v_105_GCO2</vt:lpstr>
      <vt:lpstr>v_105_GCO2_atm</vt:lpstr>
      <vt:lpstr>v_105_GH2</vt:lpstr>
      <vt:lpstr>v_105_GH2_atm</vt:lpstr>
      <vt:lpstr>v_105_GN2</vt:lpstr>
      <vt:lpstr>v_105_GN2_atm</vt:lpstr>
      <vt:lpstr>v_105_GN2O</vt:lpstr>
      <vt:lpstr>v_105_GN2O_atm</vt:lpstr>
      <vt:lpstr>v_105_GNH3</vt:lpstr>
      <vt:lpstr>v_105_GNH3_atm</vt:lpstr>
      <vt:lpstr>v_105_GNO</vt:lpstr>
      <vt:lpstr>v_105_GNO_atm</vt:lpstr>
      <vt:lpstr>v_105_GO2</vt:lpstr>
      <vt:lpstr>v_105_GO2_atm</vt:lpstr>
      <vt:lpstr>v_105_SALPHA</vt:lpstr>
      <vt:lpstr>v_105_SAN</vt:lpstr>
      <vt:lpstr>v_105_SB</vt:lpstr>
      <vt:lpstr>v_105_SCa</vt:lpstr>
      <vt:lpstr>v_105_SCAT</vt:lpstr>
      <vt:lpstr>v_105_SCH4</vt:lpstr>
      <vt:lpstr>v_105_SCO2</vt:lpstr>
      <vt:lpstr>v_105_SFe2</vt:lpstr>
      <vt:lpstr>v_105_SH</vt:lpstr>
      <vt:lpstr>v_105_SH2</vt:lpstr>
      <vt:lpstr>v_105_SK</vt:lpstr>
      <vt:lpstr>v_105_SMEOL</vt:lpstr>
      <vt:lpstr>v_105_SMg</vt:lpstr>
      <vt:lpstr>v_105_SN_B</vt:lpstr>
      <vt:lpstr>v_105_SN2</vt:lpstr>
      <vt:lpstr>v_105_SN2O</vt:lpstr>
      <vt:lpstr>v_105_SNH2OH</vt:lpstr>
      <vt:lpstr>v_105_SNHx</vt:lpstr>
      <vt:lpstr>v_105_SNO_AOB</vt:lpstr>
      <vt:lpstr>v_105_SNO_OHO</vt:lpstr>
      <vt:lpstr>v_105_SNO2</vt:lpstr>
      <vt:lpstr>v_105_SNO3</vt:lpstr>
      <vt:lpstr>v_105_SO2</vt:lpstr>
      <vt:lpstr>v_105_SORPswitch</vt:lpstr>
      <vt:lpstr>v_105_SP_B</vt:lpstr>
      <vt:lpstr>v_105_SPFOA</vt:lpstr>
      <vt:lpstr>v_105_SPFOS</vt:lpstr>
      <vt:lpstr>v_105_SPO4</vt:lpstr>
      <vt:lpstr>v_105_SU</vt:lpstr>
      <vt:lpstr>v_105_SVFA</vt:lpstr>
      <vt:lpstr>v_105_XACP</vt:lpstr>
      <vt:lpstr>v_105_XALGAE</vt:lpstr>
      <vt:lpstr>v_105_XAMETO</vt:lpstr>
      <vt:lpstr>v_105_XAMX</vt:lpstr>
      <vt:lpstr>v_105_XAOB</vt:lpstr>
      <vt:lpstr>v_105_XB</vt:lpstr>
      <vt:lpstr>v_105_XB_e</vt:lpstr>
      <vt:lpstr>v_105_XBSH</vt:lpstr>
      <vt:lpstr>v_105_XCaCO3</vt:lpstr>
      <vt:lpstr>v_105_XCASTO</vt:lpstr>
      <vt:lpstr>v_105_XE</vt:lpstr>
      <vt:lpstr>v_105_XE_ana</vt:lpstr>
      <vt:lpstr>v_105_XHAO_H</vt:lpstr>
      <vt:lpstr>v_105_XHAO_H_P</vt:lpstr>
      <vt:lpstr>v_105_XHAO_H_P_old</vt:lpstr>
      <vt:lpstr>v_105_XHAO_L</vt:lpstr>
      <vt:lpstr>v_105_XHAO_L_P</vt:lpstr>
      <vt:lpstr>v_105_XHAO_L_P_old</vt:lpstr>
      <vt:lpstr>v_105_XHAO_old</vt:lpstr>
      <vt:lpstr>v_105_XHFO_H</vt:lpstr>
      <vt:lpstr>v_105_XHFO_H_P</vt:lpstr>
      <vt:lpstr>v_105_XHFO_H_P_old</vt:lpstr>
      <vt:lpstr>v_105_XHFO_L</vt:lpstr>
      <vt:lpstr>v_105_XHFO_L_P</vt:lpstr>
      <vt:lpstr>v_105_XHFO_L_P_old</vt:lpstr>
      <vt:lpstr>v_105_XHFO_old</vt:lpstr>
      <vt:lpstr>v_105_XHMETO</vt:lpstr>
      <vt:lpstr>v_105_XINORG</vt:lpstr>
      <vt:lpstr>v_105_XMEOLO</vt:lpstr>
      <vt:lpstr>v_105_XN_B</vt:lpstr>
      <vt:lpstr>v_105_XN_Be</vt:lpstr>
      <vt:lpstr>v_105_XN_U</vt:lpstr>
      <vt:lpstr>v_105_XNOB</vt:lpstr>
      <vt:lpstr>v_105_XOHO</vt:lpstr>
      <vt:lpstr>v_105_XP_B</vt:lpstr>
      <vt:lpstr>v_105_XP_Be</vt:lpstr>
      <vt:lpstr>v_105_XP_U</vt:lpstr>
      <vt:lpstr>v_105_XPFOA</vt:lpstr>
      <vt:lpstr>v_105_XPFOS</vt:lpstr>
      <vt:lpstr>v_105_XPHA_GAO</vt:lpstr>
      <vt:lpstr>v_105_XPHA_PAO</vt:lpstr>
      <vt:lpstr>v_105_XPP</vt:lpstr>
      <vt:lpstr>v_105_XSTR</vt:lpstr>
      <vt:lpstr>v_105_XU</vt:lpstr>
      <vt:lpstr>v_105_XVivi</vt:lpstr>
      <vt:lpstr>v_106_CB</vt:lpstr>
      <vt:lpstr>v_106_CU</vt:lpstr>
      <vt:lpstr>v_106_GCH4</vt:lpstr>
      <vt:lpstr>v_106_GCH4_atm</vt:lpstr>
      <vt:lpstr>v_106_GCO2</vt:lpstr>
      <vt:lpstr>v_106_GCO2_atm</vt:lpstr>
      <vt:lpstr>v_106_GH2</vt:lpstr>
      <vt:lpstr>v_106_GH2_atm</vt:lpstr>
      <vt:lpstr>v_106_GN2</vt:lpstr>
      <vt:lpstr>v_106_GN2_atm</vt:lpstr>
      <vt:lpstr>v_106_GN2O</vt:lpstr>
      <vt:lpstr>v_106_GN2O_atm</vt:lpstr>
      <vt:lpstr>v_106_GNH3</vt:lpstr>
      <vt:lpstr>v_106_GNH3_atm</vt:lpstr>
      <vt:lpstr>v_106_GNO</vt:lpstr>
      <vt:lpstr>v_106_GNO_atm</vt:lpstr>
      <vt:lpstr>v_106_GO2</vt:lpstr>
      <vt:lpstr>v_106_GO2_atm</vt:lpstr>
      <vt:lpstr>v_106_SALPHA</vt:lpstr>
      <vt:lpstr>v_106_SAN</vt:lpstr>
      <vt:lpstr>v_106_SB</vt:lpstr>
      <vt:lpstr>v_106_SCa</vt:lpstr>
      <vt:lpstr>v_106_SCAT</vt:lpstr>
      <vt:lpstr>v_106_SCH4</vt:lpstr>
      <vt:lpstr>v_106_SCO2</vt:lpstr>
      <vt:lpstr>v_106_SFe2</vt:lpstr>
      <vt:lpstr>v_106_SH</vt:lpstr>
      <vt:lpstr>v_106_SH2</vt:lpstr>
      <vt:lpstr>v_106_SK</vt:lpstr>
      <vt:lpstr>v_106_SMEOL</vt:lpstr>
      <vt:lpstr>v_106_SMg</vt:lpstr>
      <vt:lpstr>v_106_SN_B</vt:lpstr>
      <vt:lpstr>v_106_SN2</vt:lpstr>
      <vt:lpstr>v_106_SN2O</vt:lpstr>
      <vt:lpstr>v_106_SNH2OH</vt:lpstr>
      <vt:lpstr>v_106_SNHx</vt:lpstr>
      <vt:lpstr>v_106_SNO_AOB</vt:lpstr>
      <vt:lpstr>v_106_SNO_OHO</vt:lpstr>
      <vt:lpstr>v_106_SNO2</vt:lpstr>
      <vt:lpstr>v_106_SNO3</vt:lpstr>
      <vt:lpstr>v_106_SO2</vt:lpstr>
      <vt:lpstr>v_106_SORPswitch</vt:lpstr>
      <vt:lpstr>v_106_SP_B</vt:lpstr>
      <vt:lpstr>v_106_SPFOA</vt:lpstr>
      <vt:lpstr>v_106_SPFOS</vt:lpstr>
      <vt:lpstr>v_106_SPO4</vt:lpstr>
      <vt:lpstr>v_106_SU</vt:lpstr>
      <vt:lpstr>v_106_SVFA</vt:lpstr>
      <vt:lpstr>v_106_XACP</vt:lpstr>
      <vt:lpstr>v_106_XALGAE</vt:lpstr>
      <vt:lpstr>v_106_XAMETO</vt:lpstr>
      <vt:lpstr>v_106_XAMX</vt:lpstr>
      <vt:lpstr>v_106_XAOB</vt:lpstr>
      <vt:lpstr>v_106_XB</vt:lpstr>
      <vt:lpstr>v_106_XB_e</vt:lpstr>
      <vt:lpstr>v_106_XBSH</vt:lpstr>
      <vt:lpstr>v_106_XCaCO3</vt:lpstr>
      <vt:lpstr>v_106_XCASTO</vt:lpstr>
      <vt:lpstr>v_106_XE</vt:lpstr>
      <vt:lpstr>v_106_XE_ana</vt:lpstr>
      <vt:lpstr>v_106_XHAO_H</vt:lpstr>
      <vt:lpstr>v_106_XHAO_H_P</vt:lpstr>
      <vt:lpstr>v_106_XHAO_H_P_old</vt:lpstr>
      <vt:lpstr>v_106_XHAO_L</vt:lpstr>
      <vt:lpstr>v_106_XHAO_L_P</vt:lpstr>
      <vt:lpstr>v_106_XHAO_L_P_old</vt:lpstr>
      <vt:lpstr>v_106_XHAO_old</vt:lpstr>
      <vt:lpstr>v_106_XHFO_H</vt:lpstr>
      <vt:lpstr>v_106_XHFO_H_P</vt:lpstr>
      <vt:lpstr>v_106_XHFO_H_P_old</vt:lpstr>
      <vt:lpstr>v_106_XHFO_L</vt:lpstr>
      <vt:lpstr>v_106_XHFO_L_P</vt:lpstr>
      <vt:lpstr>v_106_XHFO_L_P_old</vt:lpstr>
      <vt:lpstr>v_106_XHFO_old</vt:lpstr>
      <vt:lpstr>v_106_XHMETO</vt:lpstr>
      <vt:lpstr>v_106_XINORG</vt:lpstr>
      <vt:lpstr>v_106_XMEOLO</vt:lpstr>
      <vt:lpstr>v_106_XN_B</vt:lpstr>
      <vt:lpstr>v_106_XN_Be</vt:lpstr>
      <vt:lpstr>v_106_XN_U</vt:lpstr>
      <vt:lpstr>v_106_XNOB</vt:lpstr>
      <vt:lpstr>v_106_XOHO</vt:lpstr>
      <vt:lpstr>v_106_XP_B</vt:lpstr>
      <vt:lpstr>v_106_XP_Be</vt:lpstr>
      <vt:lpstr>v_106_XP_U</vt:lpstr>
      <vt:lpstr>v_106_XPFOA</vt:lpstr>
      <vt:lpstr>v_106_XPFOS</vt:lpstr>
      <vt:lpstr>v_106_XPHA_GAO</vt:lpstr>
      <vt:lpstr>v_106_XPHA_PAO</vt:lpstr>
      <vt:lpstr>v_106_XPP</vt:lpstr>
      <vt:lpstr>v_106_XSTR</vt:lpstr>
      <vt:lpstr>v_106_XU</vt:lpstr>
      <vt:lpstr>v_106_XVivi</vt:lpstr>
      <vt:lpstr>v_107_CB</vt:lpstr>
      <vt:lpstr>v_107_CU</vt:lpstr>
      <vt:lpstr>v_107_GCH4</vt:lpstr>
      <vt:lpstr>v_107_GCH4_atm</vt:lpstr>
      <vt:lpstr>v_107_GCO2</vt:lpstr>
      <vt:lpstr>v_107_GCO2_atm</vt:lpstr>
      <vt:lpstr>v_107_GH2</vt:lpstr>
      <vt:lpstr>v_107_GH2_atm</vt:lpstr>
      <vt:lpstr>v_107_GN2</vt:lpstr>
      <vt:lpstr>v_107_GN2_atm</vt:lpstr>
      <vt:lpstr>v_107_GN2O</vt:lpstr>
      <vt:lpstr>v_107_GN2O_atm</vt:lpstr>
      <vt:lpstr>v_107_GNH3</vt:lpstr>
      <vt:lpstr>v_107_GNH3_atm</vt:lpstr>
      <vt:lpstr>v_107_GNO</vt:lpstr>
      <vt:lpstr>v_107_GNO_atm</vt:lpstr>
      <vt:lpstr>v_107_GO2</vt:lpstr>
      <vt:lpstr>v_107_GO2_atm</vt:lpstr>
      <vt:lpstr>v_107_SALPHA</vt:lpstr>
      <vt:lpstr>v_107_SAN</vt:lpstr>
      <vt:lpstr>v_107_SB</vt:lpstr>
      <vt:lpstr>v_107_SCa</vt:lpstr>
      <vt:lpstr>v_107_SCAT</vt:lpstr>
      <vt:lpstr>v_107_SCH4</vt:lpstr>
      <vt:lpstr>v_107_SCO2</vt:lpstr>
      <vt:lpstr>v_107_SFe2</vt:lpstr>
      <vt:lpstr>v_107_SH</vt:lpstr>
      <vt:lpstr>v_107_SH2</vt:lpstr>
      <vt:lpstr>v_107_SK</vt:lpstr>
      <vt:lpstr>v_107_SMEOL</vt:lpstr>
      <vt:lpstr>v_107_SMg</vt:lpstr>
      <vt:lpstr>v_107_SN_B</vt:lpstr>
      <vt:lpstr>v_107_SN2</vt:lpstr>
      <vt:lpstr>v_107_SN2O</vt:lpstr>
      <vt:lpstr>v_107_SNH2OH</vt:lpstr>
      <vt:lpstr>v_107_SNHx</vt:lpstr>
      <vt:lpstr>v_107_SNO_AOB</vt:lpstr>
      <vt:lpstr>v_107_SNO_OHO</vt:lpstr>
      <vt:lpstr>v_107_SNO2</vt:lpstr>
      <vt:lpstr>v_107_SNO3</vt:lpstr>
      <vt:lpstr>v_107_SO2</vt:lpstr>
      <vt:lpstr>v_107_SORPswitch</vt:lpstr>
      <vt:lpstr>v_107_SP_B</vt:lpstr>
      <vt:lpstr>v_107_SPFOA</vt:lpstr>
      <vt:lpstr>v_107_SPFOS</vt:lpstr>
      <vt:lpstr>v_107_SPO4</vt:lpstr>
      <vt:lpstr>v_107_SU</vt:lpstr>
      <vt:lpstr>v_107_SVFA</vt:lpstr>
      <vt:lpstr>v_107_XACP</vt:lpstr>
      <vt:lpstr>v_107_XALGAE</vt:lpstr>
      <vt:lpstr>v_107_XAMETO</vt:lpstr>
      <vt:lpstr>v_107_XAMX</vt:lpstr>
      <vt:lpstr>v_107_XAOB</vt:lpstr>
      <vt:lpstr>v_107_XB</vt:lpstr>
      <vt:lpstr>v_107_XB_e</vt:lpstr>
      <vt:lpstr>v_107_XBSH</vt:lpstr>
      <vt:lpstr>v_107_XCaCO3</vt:lpstr>
      <vt:lpstr>v_107_XCASTO</vt:lpstr>
      <vt:lpstr>v_107_XE</vt:lpstr>
      <vt:lpstr>v_107_XE_ana</vt:lpstr>
      <vt:lpstr>v_107_XHAO_H</vt:lpstr>
      <vt:lpstr>v_107_XHAO_H_P</vt:lpstr>
      <vt:lpstr>v_107_XHAO_H_P_old</vt:lpstr>
      <vt:lpstr>v_107_XHAO_L</vt:lpstr>
      <vt:lpstr>v_107_XHAO_L_P</vt:lpstr>
      <vt:lpstr>v_107_XHAO_L_P_old</vt:lpstr>
      <vt:lpstr>v_107_XHAO_old</vt:lpstr>
      <vt:lpstr>v_107_XHFO_H</vt:lpstr>
      <vt:lpstr>v_107_XHFO_H_P</vt:lpstr>
      <vt:lpstr>v_107_XHFO_H_P_old</vt:lpstr>
      <vt:lpstr>v_107_XHFO_L</vt:lpstr>
      <vt:lpstr>v_107_XHFO_L_P</vt:lpstr>
      <vt:lpstr>v_107_XHFO_L_P_old</vt:lpstr>
      <vt:lpstr>v_107_XHFO_old</vt:lpstr>
      <vt:lpstr>v_107_XHMETO</vt:lpstr>
      <vt:lpstr>v_107_XINORG</vt:lpstr>
      <vt:lpstr>v_107_XMEOLO</vt:lpstr>
      <vt:lpstr>v_107_XN_B</vt:lpstr>
      <vt:lpstr>v_107_XN_Be</vt:lpstr>
      <vt:lpstr>v_107_XN_U</vt:lpstr>
      <vt:lpstr>v_107_XNOB</vt:lpstr>
      <vt:lpstr>v_107_XOHO</vt:lpstr>
      <vt:lpstr>v_107_XP_B</vt:lpstr>
      <vt:lpstr>v_107_XP_Be</vt:lpstr>
      <vt:lpstr>v_107_XP_U</vt:lpstr>
      <vt:lpstr>v_107_XPFOA</vt:lpstr>
      <vt:lpstr>v_107_XPFOS</vt:lpstr>
      <vt:lpstr>v_107_XPHA_GAO</vt:lpstr>
      <vt:lpstr>v_107_XPHA_PAO</vt:lpstr>
      <vt:lpstr>v_107_XPP</vt:lpstr>
      <vt:lpstr>v_107_XSTR</vt:lpstr>
      <vt:lpstr>v_107_XU</vt:lpstr>
      <vt:lpstr>v_107_XVivi</vt:lpstr>
      <vt:lpstr>v_108_CB</vt:lpstr>
      <vt:lpstr>v_108_CU</vt:lpstr>
      <vt:lpstr>v_108_GCH4</vt:lpstr>
      <vt:lpstr>v_108_GCH4_atm</vt:lpstr>
      <vt:lpstr>v_108_GCO2</vt:lpstr>
      <vt:lpstr>v_108_GCO2_atm</vt:lpstr>
      <vt:lpstr>v_108_GH2</vt:lpstr>
      <vt:lpstr>v_108_GH2_atm</vt:lpstr>
      <vt:lpstr>v_108_GN2</vt:lpstr>
      <vt:lpstr>v_108_GN2_atm</vt:lpstr>
      <vt:lpstr>v_108_GN2O</vt:lpstr>
      <vt:lpstr>v_108_GN2O_atm</vt:lpstr>
      <vt:lpstr>v_108_GNH3</vt:lpstr>
      <vt:lpstr>v_108_GNH3_atm</vt:lpstr>
      <vt:lpstr>v_108_GNO</vt:lpstr>
      <vt:lpstr>v_108_GNO_atm</vt:lpstr>
      <vt:lpstr>v_108_GO2</vt:lpstr>
      <vt:lpstr>v_108_GO2_atm</vt:lpstr>
      <vt:lpstr>v_108_SALPHA</vt:lpstr>
      <vt:lpstr>v_108_SAN</vt:lpstr>
      <vt:lpstr>v_108_SB</vt:lpstr>
      <vt:lpstr>v_108_SCa</vt:lpstr>
      <vt:lpstr>v_108_SCAT</vt:lpstr>
      <vt:lpstr>v_108_SCH4</vt:lpstr>
      <vt:lpstr>v_108_SCO2</vt:lpstr>
      <vt:lpstr>v_108_SFe2</vt:lpstr>
      <vt:lpstr>v_108_SH</vt:lpstr>
      <vt:lpstr>v_108_SH2</vt:lpstr>
      <vt:lpstr>v_108_SK</vt:lpstr>
      <vt:lpstr>v_108_SMEOL</vt:lpstr>
      <vt:lpstr>v_108_SMg</vt:lpstr>
      <vt:lpstr>v_108_SN_B</vt:lpstr>
      <vt:lpstr>v_108_SN2</vt:lpstr>
      <vt:lpstr>v_108_SN2O</vt:lpstr>
      <vt:lpstr>v_108_SNH2OH</vt:lpstr>
      <vt:lpstr>v_108_SNHx</vt:lpstr>
      <vt:lpstr>v_108_SNO_AOB</vt:lpstr>
      <vt:lpstr>v_108_SNO_OHO</vt:lpstr>
      <vt:lpstr>v_108_SNO2</vt:lpstr>
      <vt:lpstr>v_108_SNO3</vt:lpstr>
      <vt:lpstr>v_108_SO2</vt:lpstr>
      <vt:lpstr>v_108_SORPswitch</vt:lpstr>
      <vt:lpstr>v_108_SP_B</vt:lpstr>
      <vt:lpstr>v_108_SPFOA</vt:lpstr>
      <vt:lpstr>v_108_SPFOS</vt:lpstr>
      <vt:lpstr>v_108_SPO4</vt:lpstr>
      <vt:lpstr>v_108_SU</vt:lpstr>
      <vt:lpstr>v_108_SVFA</vt:lpstr>
      <vt:lpstr>v_108_XACP</vt:lpstr>
      <vt:lpstr>v_108_XALGAE</vt:lpstr>
      <vt:lpstr>v_108_XAMETO</vt:lpstr>
      <vt:lpstr>v_108_XAMX</vt:lpstr>
      <vt:lpstr>v_108_XAOB</vt:lpstr>
      <vt:lpstr>v_108_XB</vt:lpstr>
      <vt:lpstr>v_108_XB_e</vt:lpstr>
      <vt:lpstr>v_108_XBSH</vt:lpstr>
      <vt:lpstr>v_108_XCaCO3</vt:lpstr>
      <vt:lpstr>v_108_XCASTO</vt:lpstr>
      <vt:lpstr>v_108_XE</vt:lpstr>
      <vt:lpstr>v_108_XE_ana</vt:lpstr>
      <vt:lpstr>v_108_XHAO_H</vt:lpstr>
      <vt:lpstr>v_108_XHAO_H_P</vt:lpstr>
      <vt:lpstr>v_108_XHAO_H_P_old</vt:lpstr>
      <vt:lpstr>v_108_XHAO_L</vt:lpstr>
      <vt:lpstr>v_108_XHAO_L_P</vt:lpstr>
      <vt:lpstr>v_108_XHAO_L_P_old</vt:lpstr>
      <vt:lpstr>v_108_XHAO_old</vt:lpstr>
      <vt:lpstr>v_108_XHFO_H</vt:lpstr>
      <vt:lpstr>v_108_XHFO_H_P</vt:lpstr>
      <vt:lpstr>v_108_XHFO_H_P_old</vt:lpstr>
      <vt:lpstr>v_108_XHFO_L</vt:lpstr>
      <vt:lpstr>v_108_XHFO_L_P</vt:lpstr>
      <vt:lpstr>v_108_XHFO_L_P_old</vt:lpstr>
      <vt:lpstr>v_108_XHFO_old</vt:lpstr>
      <vt:lpstr>v_108_XHMETO</vt:lpstr>
      <vt:lpstr>v_108_XINORG</vt:lpstr>
      <vt:lpstr>v_108_XMEOLO</vt:lpstr>
      <vt:lpstr>v_108_XN_B</vt:lpstr>
      <vt:lpstr>v_108_XN_Be</vt:lpstr>
      <vt:lpstr>v_108_XN_U</vt:lpstr>
      <vt:lpstr>v_108_XNOB</vt:lpstr>
      <vt:lpstr>v_108_XOHO</vt:lpstr>
      <vt:lpstr>v_108_XP_B</vt:lpstr>
      <vt:lpstr>v_108_XP_Be</vt:lpstr>
      <vt:lpstr>v_108_XP_U</vt:lpstr>
      <vt:lpstr>v_108_XPFOA</vt:lpstr>
      <vt:lpstr>v_108_XPFOS</vt:lpstr>
      <vt:lpstr>v_108_XPHA_GAO</vt:lpstr>
      <vt:lpstr>v_108_XPHA_PAO</vt:lpstr>
      <vt:lpstr>v_108_XPP</vt:lpstr>
      <vt:lpstr>v_108_XSTR</vt:lpstr>
      <vt:lpstr>v_108_XU</vt:lpstr>
      <vt:lpstr>v_108_XVivi</vt:lpstr>
      <vt:lpstr>v_109_CB</vt:lpstr>
      <vt:lpstr>v_109_CU</vt:lpstr>
      <vt:lpstr>v_109_GCH4</vt:lpstr>
      <vt:lpstr>v_109_GCH4_atm</vt:lpstr>
      <vt:lpstr>v_109_GCO2</vt:lpstr>
      <vt:lpstr>v_109_GCO2_atm</vt:lpstr>
      <vt:lpstr>v_109_GH2</vt:lpstr>
      <vt:lpstr>v_109_GH2_atm</vt:lpstr>
      <vt:lpstr>v_109_GN2</vt:lpstr>
      <vt:lpstr>v_109_GN2_atm</vt:lpstr>
      <vt:lpstr>v_109_GN2O</vt:lpstr>
      <vt:lpstr>v_109_GN2O_atm</vt:lpstr>
      <vt:lpstr>v_109_GNH3</vt:lpstr>
      <vt:lpstr>v_109_GNH3_atm</vt:lpstr>
      <vt:lpstr>v_109_GNO</vt:lpstr>
      <vt:lpstr>v_109_GNO_atm</vt:lpstr>
      <vt:lpstr>v_109_GO2</vt:lpstr>
      <vt:lpstr>v_109_GO2_atm</vt:lpstr>
      <vt:lpstr>v_109_SALPHA</vt:lpstr>
      <vt:lpstr>v_109_SAN</vt:lpstr>
      <vt:lpstr>v_109_SB</vt:lpstr>
      <vt:lpstr>v_109_SCa</vt:lpstr>
      <vt:lpstr>v_109_SCAT</vt:lpstr>
      <vt:lpstr>v_109_SCH4</vt:lpstr>
      <vt:lpstr>v_109_SCO2</vt:lpstr>
      <vt:lpstr>v_109_SFe2</vt:lpstr>
      <vt:lpstr>v_109_SH</vt:lpstr>
      <vt:lpstr>v_109_SH2</vt:lpstr>
      <vt:lpstr>v_109_SK</vt:lpstr>
      <vt:lpstr>v_109_SMEOL</vt:lpstr>
      <vt:lpstr>v_109_SMg</vt:lpstr>
      <vt:lpstr>v_109_SN_B</vt:lpstr>
      <vt:lpstr>v_109_SN2</vt:lpstr>
      <vt:lpstr>v_109_SN2O</vt:lpstr>
      <vt:lpstr>v_109_SNH2OH</vt:lpstr>
      <vt:lpstr>v_109_SNHx</vt:lpstr>
      <vt:lpstr>v_109_SNO_AOB</vt:lpstr>
      <vt:lpstr>v_109_SNO_OHO</vt:lpstr>
      <vt:lpstr>v_109_SNO2</vt:lpstr>
      <vt:lpstr>v_109_SNO3</vt:lpstr>
      <vt:lpstr>v_109_SO2</vt:lpstr>
      <vt:lpstr>v_109_SORPswitch</vt:lpstr>
      <vt:lpstr>v_109_SP_B</vt:lpstr>
      <vt:lpstr>v_109_SPFOA</vt:lpstr>
      <vt:lpstr>v_109_SPFOS</vt:lpstr>
      <vt:lpstr>v_109_SPO4</vt:lpstr>
      <vt:lpstr>v_109_SU</vt:lpstr>
      <vt:lpstr>v_109_SVFA</vt:lpstr>
      <vt:lpstr>v_109_XACP</vt:lpstr>
      <vt:lpstr>v_109_XALGAE</vt:lpstr>
      <vt:lpstr>v_109_XAMETO</vt:lpstr>
      <vt:lpstr>v_109_XAMX</vt:lpstr>
      <vt:lpstr>v_109_XAOB</vt:lpstr>
      <vt:lpstr>v_109_XB</vt:lpstr>
      <vt:lpstr>v_109_XB_e</vt:lpstr>
      <vt:lpstr>v_109_XBSH</vt:lpstr>
      <vt:lpstr>v_109_XCaCO3</vt:lpstr>
      <vt:lpstr>v_109_XCASTO</vt:lpstr>
      <vt:lpstr>v_109_XE</vt:lpstr>
      <vt:lpstr>v_109_XE_ana</vt:lpstr>
      <vt:lpstr>v_109_XHAO_H</vt:lpstr>
      <vt:lpstr>v_109_XHAO_H_P</vt:lpstr>
      <vt:lpstr>v_109_XHAO_H_P_old</vt:lpstr>
      <vt:lpstr>v_109_XHAO_L</vt:lpstr>
      <vt:lpstr>v_109_XHAO_L_P</vt:lpstr>
      <vt:lpstr>v_109_XHAO_L_P_old</vt:lpstr>
      <vt:lpstr>v_109_XHAO_old</vt:lpstr>
      <vt:lpstr>v_109_XHFO_H</vt:lpstr>
      <vt:lpstr>v_109_XHFO_H_P</vt:lpstr>
      <vt:lpstr>v_109_XHFO_H_P_old</vt:lpstr>
      <vt:lpstr>v_109_XHFO_L</vt:lpstr>
      <vt:lpstr>v_109_XHFO_L_P</vt:lpstr>
      <vt:lpstr>v_109_XHFO_L_P_old</vt:lpstr>
      <vt:lpstr>v_109_XHFO_old</vt:lpstr>
      <vt:lpstr>v_109_XHMETO</vt:lpstr>
      <vt:lpstr>v_109_XINORG</vt:lpstr>
      <vt:lpstr>v_109_XMEOLO</vt:lpstr>
      <vt:lpstr>v_109_XN_B</vt:lpstr>
      <vt:lpstr>v_109_XN_Be</vt:lpstr>
      <vt:lpstr>v_109_XN_U</vt:lpstr>
      <vt:lpstr>v_109_XNOB</vt:lpstr>
      <vt:lpstr>v_109_XOHO</vt:lpstr>
      <vt:lpstr>v_109_XP_B</vt:lpstr>
      <vt:lpstr>v_109_XP_Be</vt:lpstr>
      <vt:lpstr>v_109_XP_U</vt:lpstr>
      <vt:lpstr>v_109_XPFOA</vt:lpstr>
      <vt:lpstr>v_109_XPFOS</vt:lpstr>
      <vt:lpstr>v_109_XPHA_GAO</vt:lpstr>
      <vt:lpstr>v_109_XPHA_PAO</vt:lpstr>
      <vt:lpstr>v_109_XPP</vt:lpstr>
      <vt:lpstr>v_109_XSTR</vt:lpstr>
      <vt:lpstr>v_109_XU</vt:lpstr>
      <vt:lpstr>v_109_XVivi</vt:lpstr>
      <vt:lpstr>v_11_CB</vt:lpstr>
      <vt:lpstr>v_11_CU</vt:lpstr>
      <vt:lpstr>v_11_GCH4</vt:lpstr>
      <vt:lpstr>v_11_GCH4_atm</vt:lpstr>
      <vt:lpstr>v_11_GCO2</vt:lpstr>
      <vt:lpstr>v_11_GCO2_atm</vt:lpstr>
      <vt:lpstr>v_11_GH2</vt:lpstr>
      <vt:lpstr>v_11_GH2_atm</vt:lpstr>
      <vt:lpstr>v_11_GN2</vt:lpstr>
      <vt:lpstr>v_11_GN2_atm</vt:lpstr>
      <vt:lpstr>v_11_GN2O</vt:lpstr>
      <vt:lpstr>v_11_GN2O_atm</vt:lpstr>
      <vt:lpstr>v_11_GNH3</vt:lpstr>
      <vt:lpstr>v_11_GNH3_atm</vt:lpstr>
      <vt:lpstr>v_11_GNO</vt:lpstr>
      <vt:lpstr>v_11_GNO_atm</vt:lpstr>
      <vt:lpstr>v_11_GO2</vt:lpstr>
      <vt:lpstr>v_11_GO2_atm</vt:lpstr>
      <vt:lpstr>v_11_SALPHA</vt:lpstr>
      <vt:lpstr>v_11_SAN</vt:lpstr>
      <vt:lpstr>v_11_SB</vt:lpstr>
      <vt:lpstr>v_11_SCa</vt:lpstr>
      <vt:lpstr>v_11_SCAT</vt:lpstr>
      <vt:lpstr>v_11_SCH4</vt:lpstr>
      <vt:lpstr>v_11_SCO2</vt:lpstr>
      <vt:lpstr>v_11_SFe2</vt:lpstr>
      <vt:lpstr>v_11_SH</vt:lpstr>
      <vt:lpstr>v_11_SH2</vt:lpstr>
      <vt:lpstr>v_11_SK</vt:lpstr>
      <vt:lpstr>v_11_SMEOL</vt:lpstr>
      <vt:lpstr>v_11_SMg</vt:lpstr>
      <vt:lpstr>v_11_SN_B</vt:lpstr>
      <vt:lpstr>v_11_SN2</vt:lpstr>
      <vt:lpstr>v_11_SN2O</vt:lpstr>
      <vt:lpstr>v_11_SNH2OH</vt:lpstr>
      <vt:lpstr>v_11_SNHx</vt:lpstr>
      <vt:lpstr>v_11_SNO_AOB</vt:lpstr>
      <vt:lpstr>v_11_SNO_OHO</vt:lpstr>
      <vt:lpstr>v_11_SNO2</vt:lpstr>
      <vt:lpstr>v_11_SNO3</vt:lpstr>
      <vt:lpstr>v_11_SO2</vt:lpstr>
      <vt:lpstr>v_11_SORPswitch</vt:lpstr>
      <vt:lpstr>v_11_SP_B</vt:lpstr>
      <vt:lpstr>v_11_SPFOA</vt:lpstr>
      <vt:lpstr>v_11_SPFOS</vt:lpstr>
      <vt:lpstr>v_11_SPO4</vt:lpstr>
      <vt:lpstr>v_11_SU</vt:lpstr>
      <vt:lpstr>v_11_SVFA</vt:lpstr>
      <vt:lpstr>v_11_XACP</vt:lpstr>
      <vt:lpstr>v_11_XALGAE</vt:lpstr>
      <vt:lpstr>v_11_XAMETO</vt:lpstr>
      <vt:lpstr>v_11_XAMX</vt:lpstr>
      <vt:lpstr>v_11_XAOB</vt:lpstr>
      <vt:lpstr>v_11_XB</vt:lpstr>
      <vt:lpstr>v_11_XB_e</vt:lpstr>
      <vt:lpstr>v_11_XBSH</vt:lpstr>
      <vt:lpstr>v_11_XCaCO3</vt:lpstr>
      <vt:lpstr>v_11_XCASTO</vt:lpstr>
      <vt:lpstr>v_11_XE</vt:lpstr>
      <vt:lpstr>v_11_XE_ana</vt:lpstr>
      <vt:lpstr>v_11_XHAO_H</vt:lpstr>
      <vt:lpstr>v_11_XHAO_H_P</vt:lpstr>
      <vt:lpstr>v_11_XHAO_H_P_old</vt:lpstr>
      <vt:lpstr>v_11_XHAO_L</vt:lpstr>
      <vt:lpstr>v_11_XHAO_L_P</vt:lpstr>
      <vt:lpstr>v_11_XHAO_L_P_old</vt:lpstr>
      <vt:lpstr>v_11_XHAO_old</vt:lpstr>
      <vt:lpstr>v_11_XHFO_H</vt:lpstr>
      <vt:lpstr>v_11_XHFO_H_P</vt:lpstr>
      <vt:lpstr>v_11_XHFO_H_P_old</vt:lpstr>
      <vt:lpstr>v_11_XHFO_L</vt:lpstr>
      <vt:lpstr>v_11_XHFO_L_P</vt:lpstr>
      <vt:lpstr>v_11_XHFO_L_P_old</vt:lpstr>
      <vt:lpstr>v_11_XHFO_old</vt:lpstr>
      <vt:lpstr>v_11_XHMETO</vt:lpstr>
      <vt:lpstr>v_11_XINORG</vt:lpstr>
      <vt:lpstr>v_11_XMEOLO</vt:lpstr>
      <vt:lpstr>v_11_XN_B</vt:lpstr>
      <vt:lpstr>v_11_XN_Be</vt:lpstr>
      <vt:lpstr>v_11_XN_U</vt:lpstr>
      <vt:lpstr>v_11_XNOB</vt:lpstr>
      <vt:lpstr>v_11_XOHO</vt:lpstr>
      <vt:lpstr>v_11_XP_B</vt:lpstr>
      <vt:lpstr>v_11_XP_Be</vt:lpstr>
      <vt:lpstr>v_11_XP_U</vt:lpstr>
      <vt:lpstr>v_11_XPFOA</vt:lpstr>
      <vt:lpstr>v_11_XPFOS</vt:lpstr>
      <vt:lpstr>v_11_XPHA_GAO</vt:lpstr>
      <vt:lpstr>v_11_XPHA_PAO</vt:lpstr>
      <vt:lpstr>v_11_XPP</vt:lpstr>
      <vt:lpstr>v_11_XSTR</vt:lpstr>
      <vt:lpstr>v_11_XU</vt:lpstr>
      <vt:lpstr>v_11_XVivi</vt:lpstr>
      <vt:lpstr>v_110_CB</vt:lpstr>
      <vt:lpstr>v_110_CU</vt:lpstr>
      <vt:lpstr>v_110_GCH4</vt:lpstr>
      <vt:lpstr>v_110_GCH4_atm</vt:lpstr>
      <vt:lpstr>v_110_GCO2</vt:lpstr>
      <vt:lpstr>v_110_GCO2_atm</vt:lpstr>
      <vt:lpstr>v_110_GH2</vt:lpstr>
      <vt:lpstr>v_110_GH2_atm</vt:lpstr>
      <vt:lpstr>v_110_GN2</vt:lpstr>
      <vt:lpstr>v_110_GN2_atm</vt:lpstr>
      <vt:lpstr>v_110_GN2O</vt:lpstr>
      <vt:lpstr>v_110_GN2O_atm</vt:lpstr>
      <vt:lpstr>v_110_GNH3</vt:lpstr>
      <vt:lpstr>v_110_GNH3_atm</vt:lpstr>
      <vt:lpstr>v_110_GNO</vt:lpstr>
      <vt:lpstr>v_110_GNO_atm</vt:lpstr>
      <vt:lpstr>v_110_GO2</vt:lpstr>
      <vt:lpstr>v_110_GO2_atm</vt:lpstr>
      <vt:lpstr>v_110_SALPHA</vt:lpstr>
      <vt:lpstr>v_110_SAN</vt:lpstr>
      <vt:lpstr>v_110_SB</vt:lpstr>
      <vt:lpstr>v_110_SCa</vt:lpstr>
      <vt:lpstr>v_110_SCAT</vt:lpstr>
      <vt:lpstr>v_110_SCH4</vt:lpstr>
      <vt:lpstr>v_110_SCO2</vt:lpstr>
      <vt:lpstr>v_110_SFe2</vt:lpstr>
      <vt:lpstr>v_110_SH</vt:lpstr>
      <vt:lpstr>v_110_SH2</vt:lpstr>
      <vt:lpstr>v_110_SK</vt:lpstr>
      <vt:lpstr>v_110_SMEOL</vt:lpstr>
      <vt:lpstr>v_110_SMg</vt:lpstr>
      <vt:lpstr>v_110_SN_B</vt:lpstr>
      <vt:lpstr>v_110_SN2</vt:lpstr>
      <vt:lpstr>v_110_SN2O</vt:lpstr>
      <vt:lpstr>v_110_SNH2OH</vt:lpstr>
      <vt:lpstr>v_110_SNHx</vt:lpstr>
      <vt:lpstr>v_110_SNO_AOB</vt:lpstr>
      <vt:lpstr>v_110_SNO_OHO</vt:lpstr>
      <vt:lpstr>v_110_SNO2</vt:lpstr>
      <vt:lpstr>v_110_SNO3</vt:lpstr>
      <vt:lpstr>v_110_SO2</vt:lpstr>
      <vt:lpstr>v_110_SORPswitch</vt:lpstr>
      <vt:lpstr>v_110_SP_B</vt:lpstr>
      <vt:lpstr>v_110_SPFOA</vt:lpstr>
      <vt:lpstr>v_110_SPFOS</vt:lpstr>
      <vt:lpstr>v_110_SPO4</vt:lpstr>
      <vt:lpstr>v_110_SU</vt:lpstr>
      <vt:lpstr>v_110_SVFA</vt:lpstr>
      <vt:lpstr>v_110_XACP</vt:lpstr>
      <vt:lpstr>v_110_XALGAE</vt:lpstr>
      <vt:lpstr>v_110_XAMETO</vt:lpstr>
      <vt:lpstr>v_110_XAMX</vt:lpstr>
      <vt:lpstr>v_110_XAOB</vt:lpstr>
      <vt:lpstr>v_110_XB</vt:lpstr>
      <vt:lpstr>v_110_XB_e</vt:lpstr>
      <vt:lpstr>v_110_XBSH</vt:lpstr>
      <vt:lpstr>v_110_XCaCO3</vt:lpstr>
      <vt:lpstr>v_110_XCASTO</vt:lpstr>
      <vt:lpstr>v_110_XE</vt:lpstr>
      <vt:lpstr>v_110_XE_ana</vt:lpstr>
      <vt:lpstr>v_110_XHAO_H</vt:lpstr>
      <vt:lpstr>v_110_XHAO_H_P</vt:lpstr>
      <vt:lpstr>v_110_XHAO_H_P_old</vt:lpstr>
      <vt:lpstr>v_110_XHAO_L</vt:lpstr>
      <vt:lpstr>v_110_XHAO_L_P</vt:lpstr>
      <vt:lpstr>v_110_XHAO_L_P_old</vt:lpstr>
      <vt:lpstr>v_110_XHAO_old</vt:lpstr>
      <vt:lpstr>v_110_XHFO_H</vt:lpstr>
      <vt:lpstr>v_110_XHFO_H_P</vt:lpstr>
      <vt:lpstr>v_110_XHFO_H_P_old</vt:lpstr>
      <vt:lpstr>v_110_XHFO_L</vt:lpstr>
      <vt:lpstr>v_110_XHFO_L_P</vt:lpstr>
      <vt:lpstr>v_110_XHFO_L_P_old</vt:lpstr>
      <vt:lpstr>v_110_XHFO_old</vt:lpstr>
      <vt:lpstr>v_110_XHMETO</vt:lpstr>
      <vt:lpstr>v_110_XINORG</vt:lpstr>
      <vt:lpstr>v_110_XMEOLO</vt:lpstr>
      <vt:lpstr>v_110_XN_B</vt:lpstr>
      <vt:lpstr>v_110_XN_Be</vt:lpstr>
      <vt:lpstr>v_110_XN_U</vt:lpstr>
      <vt:lpstr>v_110_XNOB</vt:lpstr>
      <vt:lpstr>v_110_XOHO</vt:lpstr>
      <vt:lpstr>v_110_XP_B</vt:lpstr>
      <vt:lpstr>v_110_XP_Be</vt:lpstr>
      <vt:lpstr>v_110_XP_U</vt:lpstr>
      <vt:lpstr>v_110_XPFOA</vt:lpstr>
      <vt:lpstr>v_110_XPFOS</vt:lpstr>
      <vt:lpstr>v_110_XPHA_GAO</vt:lpstr>
      <vt:lpstr>v_110_XPHA_PAO</vt:lpstr>
      <vt:lpstr>v_110_XPP</vt:lpstr>
      <vt:lpstr>v_110_XSTR</vt:lpstr>
      <vt:lpstr>v_110_XU</vt:lpstr>
      <vt:lpstr>v_110_XVivi</vt:lpstr>
      <vt:lpstr>v_111_CB</vt:lpstr>
      <vt:lpstr>v_111_CU</vt:lpstr>
      <vt:lpstr>v_111_GCH4</vt:lpstr>
      <vt:lpstr>v_111_GCH4_atm</vt:lpstr>
      <vt:lpstr>v_111_GCO2</vt:lpstr>
      <vt:lpstr>v_111_GCO2_atm</vt:lpstr>
      <vt:lpstr>v_111_GH2</vt:lpstr>
      <vt:lpstr>v_111_GH2_atm</vt:lpstr>
      <vt:lpstr>v_111_GN2</vt:lpstr>
      <vt:lpstr>v_111_GN2_atm</vt:lpstr>
      <vt:lpstr>v_111_GN2O</vt:lpstr>
      <vt:lpstr>v_111_GN2O_atm</vt:lpstr>
      <vt:lpstr>v_111_GNH3</vt:lpstr>
      <vt:lpstr>v_111_GNH3_atm</vt:lpstr>
      <vt:lpstr>v_111_GNO</vt:lpstr>
      <vt:lpstr>v_111_GNO_atm</vt:lpstr>
      <vt:lpstr>v_111_GO2</vt:lpstr>
      <vt:lpstr>v_111_GO2_atm</vt:lpstr>
      <vt:lpstr>v_111_SALPHA</vt:lpstr>
      <vt:lpstr>v_111_SAN</vt:lpstr>
      <vt:lpstr>v_111_SB</vt:lpstr>
      <vt:lpstr>v_111_SCa</vt:lpstr>
      <vt:lpstr>v_111_SCAT</vt:lpstr>
      <vt:lpstr>v_111_SCH4</vt:lpstr>
      <vt:lpstr>v_111_SCO2</vt:lpstr>
      <vt:lpstr>v_111_SFe2</vt:lpstr>
      <vt:lpstr>v_111_SH</vt:lpstr>
      <vt:lpstr>v_111_SH2</vt:lpstr>
      <vt:lpstr>v_111_SK</vt:lpstr>
      <vt:lpstr>v_111_SMEOL</vt:lpstr>
      <vt:lpstr>v_111_SMg</vt:lpstr>
      <vt:lpstr>v_111_SN_B</vt:lpstr>
      <vt:lpstr>v_111_SN2</vt:lpstr>
      <vt:lpstr>v_111_SN2O</vt:lpstr>
      <vt:lpstr>v_111_SNH2OH</vt:lpstr>
      <vt:lpstr>v_111_SNHx</vt:lpstr>
      <vt:lpstr>v_111_SNO_AOB</vt:lpstr>
      <vt:lpstr>v_111_SNO_OHO</vt:lpstr>
      <vt:lpstr>v_111_SNO2</vt:lpstr>
      <vt:lpstr>v_111_SNO3</vt:lpstr>
      <vt:lpstr>v_111_SO2</vt:lpstr>
      <vt:lpstr>v_111_SORPswitch</vt:lpstr>
      <vt:lpstr>v_111_SP_B</vt:lpstr>
      <vt:lpstr>v_111_SPFOA</vt:lpstr>
      <vt:lpstr>v_111_SPFOS</vt:lpstr>
      <vt:lpstr>v_111_SPO4</vt:lpstr>
      <vt:lpstr>v_111_SU</vt:lpstr>
      <vt:lpstr>v_111_SVFA</vt:lpstr>
      <vt:lpstr>v_111_XACP</vt:lpstr>
      <vt:lpstr>v_111_XALGAE</vt:lpstr>
      <vt:lpstr>v_111_XAMETO</vt:lpstr>
      <vt:lpstr>v_111_XAMX</vt:lpstr>
      <vt:lpstr>v_111_XAOB</vt:lpstr>
      <vt:lpstr>v_111_XB</vt:lpstr>
      <vt:lpstr>v_111_XB_e</vt:lpstr>
      <vt:lpstr>v_111_XBSH</vt:lpstr>
      <vt:lpstr>v_111_XCaCO3</vt:lpstr>
      <vt:lpstr>v_111_XCASTO</vt:lpstr>
      <vt:lpstr>v_111_XE</vt:lpstr>
      <vt:lpstr>v_111_XE_ana</vt:lpstr>
      <vt:lpstr>v_111_XHAO_H</vt:lpstr>
      <vt:lpstr>v_111_XHAO_H_P</vt:lpstr>
      <vt:lpstr>v_111_XHAO_H_P_old</vt:lpstr>
      <vt:lpstr>v_111_XHAO_L</vt:lpstr>
      <vt:lpstr>v_111_XHAO_L_P</vt:lpstr>
      <vt:lpstr>v_111_XHAO_L_P_old</vt:lpstr>
      <vt:lpstr>v_111_XHAO_old</vt:lpstr>
      <vt:lpstr>v_111_XHFO_H</vt:lpstr>
      <vt:lpstr>v_111_XHFO_H_P</vt:lpstr>
      <vt:lpstr>v_111_XHFO_H_P_old</vt:lpstr>
      <vt:lpstr>v_111_XHFO_L</vt:lpstr>
      <vt:lpstr>v_111_XHFO_L_P</vt:lpstr>
      <vt:lpstr>v_111_XHFO_L_P_old</vt:lpstr>
      <vt:lpstr>v_111_XHFO_old</vt:lpstr>
      <vt:lpstr>v_111_XHMETO</vt:lpstr>
      <vt:lpstr>v_111_XINORG</vt:lpstr>
      <vt:lpstr>v_111_XMEOLO</vt:lpstr>
      <vt:lpstr>v_111_XN_B</vt:lpstr>
      <vt:lpstr>v_111_XN_Be</vt:lpstr>
      <vt:lpstr>v_111_XN_U</vt:lpstr>
      <vt:lpstr>v_111_XNOB</vt:lpstr>
      <vt:lpstr>v_111_XOHO</vt:lpstr>
      <vt:lpstr>v_111_XP_B</vt:lpstr>
      <vt:lpstr>v_111_XP_Be</vt:lpstr>
      <vt:lpstr>v_111_XP_U</vt:lpstr>
      <vt:lpstr>v_111_XPFOA</vt:lpstr>
      <vt:lpstr>v_111_XPFOS</vt:lpstr>
      <vt:lpstr>v_111_XPHA_GAO</vt:lpstr>
      <vt:lpstr>v_111_XPHA_PAO</vt:lpstr>
      <vt:lpstr>v_111_XPP</vt:lpstr>
      <vt:lpstr>v_111_XSTR</vt:lpstr>
      <vt:lpstr>v_111_XU</vt:lpstr>
      <vt:lpstr>v_111_XVivi</vt:lpstr>
      <vt:lpstr>v_112_CB</vt:lpstr>
      <vt:lpstr>v_112_CU</vt:lpstr>
      <vt:lpstr>v_112_GCH4</vt:lpstr>
      <vt:lpstr>v_112_GCH4_atm</vt:lpstr>
      <vt:lpstr>v_112_GCO2</vt:lpstr>
      <vt:lpstr>v_112_GCO2_atm</vt:lpstr>
      <vt:lpstr>v_112_GH2</vt:lpstr>
      <vt:lpstr>v_112_GH2_atm</vt:lpstr>
      <vt:lpstr>v_112_GN2</vt:lpstr>
      <vt:lpstr>v_112_GN2_atm</vt:lpstr>
      <vt:lpstr>v_112_GN2O</vt:lpstr>
      <vt:lpstr>v_112_GN2O_atm</vt:lpstr>
      <vt:lpstr>v_112_GNH3</vt:lpstr>
      <vt:lpstr>v_112_GNH3_atm</vt:lpstr>
      <vt:lpstr>v_112_GNO</vt:lpstr>
      <vt:lpstr>v_112_GNO_atm</vt:lpstr>
      <vt:lpstr>v_112_GO2</vt:lpstr>
      <vt:lpstr>v_112_GO2_atm</vt:lpstr>
      <vt:lpstr>v_112_SALPHA</vt:lpstr>
      <vt:lpstr>v_112_SAN</vt:lpstr>
      <vt:lpstr>v_112_SB</vt:lpstr>
      <vt:lpstr>v_112_SCa</vt:lpstr>
      <vt:lpstr>v_112_SCAT</vt:lpstr>
      <vt:lpstr>v_112_SCH4</vt:lpstr>
      <vt:lpstr>v_112_SCO2</vt:lpstr>
      <vt:lpstr>v_112_SFe2</vt:lpstr>
      <vt:lpstr>v_112_SH</vt:lpstr>
      <vt:lpstr>v_112_SH2</vt:lpstr>
      <vt:lpstr>v_112_SK</vt:lpstr>
      <vt:lpstr>v_112_SMEOL</vt:lpstr>
      <vt:lpstr>v_112_SMg</vt:lpstr>
      <vt:lpstr>v_112_SN_B</vt:lpstr>
      <vt:lpstr>v_112_SN2</vt:lpstr>
      <vt:lpstr>v_112_SN2O</vt:lpstr>
      <vt:lpstr>v_112_SNH2OH</vt:lpstr>
      <vt:lpstr>v_112_SNHx</vt:lpstr>
      <vt:lpstr>v_112_SNO_AOB</vt:lpstr>
      <vt:lpstr>v_112_SNO_OHO</vt:lpstr>
      <vt:lpstr>v_112_SNO2</vt:lpstr>
      <vt:lpstr>v_112_SNO3</vt:lpstr>
      <vt:lpstr>v_112_SO2</vt:lpstr>
      <vt:lpstr>v_112_SORPswitch</vt:lpstr>
      <vt:lpstr>v_112_SP_B</vt:lpstr>
      <vt:lpstr>v_112_SPFOA</vt:lpstr>
      <vt:lpstr>v_112_SPFOS</vt:lpstr>
      <vt:lpstr>v_112_SPO4</vt:lpstr>
      <vt:lpstr>v_112_SU</vt:lpstr>
      <vt:lpstr>v_112_SVFA</vt:lpstr>
      <vt:lpstr>v_112_XACP</vt:lpstr>
      <vt:lpstr>v_112_XALGAE</vt:lpstr>
      <vt:lpstr>v_112_XAMETO</vt:lpstr>
      <vt:lpstr>v_112_XAMX</vt:lpstr>
      <vt:lpstr>v_112_XAOB</vt:lpstr>
      <vt:lpstr>v_112_XB</vt:lpstr>
      <vt:lpstr>v_112_XB_e</vt:lpstr>
      <vt:lpstr>v_112_XBSH</vt:lpstr>
      <vt:lpstr>v_112_XCaCO3</vt:lpstr>
      <vt:lpstr>v_112_XCASTO</vt:lpstr>
      <vt:lpstr>v_112_XE</vt:lpstr>
      <vt:lpstr>v_112_XE_ana</vt:lpstr>
      <vt:lpstr>v_112_XHAO_H</vt:lpstr>
      <vt:lpstr>v_112_XHAO_H_P</vt:lpstr>
      <vt:lpstr>v_112_XHAO_H_P_old</vt:lpstr>
      <vt:lpstr>v_112_XHAO_L</vt:lpstr>
      <vt:lpstr>v_112_XHAO_L_P</vt:lpstr>
      <vt:lpstr>v_112_XHAO_L_P_old</vt:lpstr>
      <vt:lpstr>v_112_XHAO_old</vt:lpstr>
      <vt:lpstr>v_112_XHFO_H</vt:lpstr>
      <vt:lpstr>v_112_XHFO_H_P</vt:lpstr>
      <vt:lpstr>v_112_XHFO_H_P_old</vt:lpstr>
      <vt:lpstr>v_112_XHFO_L</vt:lpstr>
      <vt:lpstr>v_112_XHFO_L_P</vt:lpstr>
      <vt:lpstr>v_112_XHFO_L_P_old</vt:lpstr>
      <vt:lpstr>v_112_XHFO_old</vt:lpstr>
      <vt:lpstr>v_112_XHMETO</vt:lpstr>
      <vt:lpstr>v_112_XINORG</vt:lpstr>
      <vt:lpstr>v_112_XMEOLO</vt:lpstr>
      <vt:lpstr>v_112_XN_B</vt:lpstr>
      <vt:lpstr>v_112_XN_Be</vt:lpstr>
      <vt:lpstr>v_112_XN_U</vt:lpstr>
      <vt:lpstr>v_112_XNOB</vt:lpstr>
      <vt:lpstr>v_112_XOHO</vt:lpstr>
      <vt:lpstr>v_112_XP_B</vt:lpstr>
      <vt:lpstr>v_112_XP_Be</vt:lpstr>
      <vt:lpstr>v_112_XP_U</vt:lpstr>
      <vt:lpstr>v_112_XPFOA</vt:lpstr>
      <vt:lpstr>v_112_XPFOS</vt:lpstr>
      <vt:lpstr>v_112_XPHA_GAO</vt:lpstr>
      <vt:lpstr>v_112_XPHA_PAO</vt:lpstr>
      <vt:lpstr>v_112_XPP</vt:lpstr>
      <vt:lpstr>v_112_XSTR</vt:lpstr>
      <vt:lpstr>v_112_XU</vt:lpstr>
      <vt:lpstr>v_112_XVivi</vt:lpstr>
      <vt:lpstr>v_113_CB</vt:lpstr>
      <vt:lpstr>v_113_CU</vt:lpstr>
      <vt:lpstr>v_113_GCH4</vt:lpstr>
      <vt:lpstr>v_113_GCH4_atm</vt:lpstr>
      <vt:lpstr>v_113_GCO2</vt:lpstr>
      <vt:lpstr>v_113_GCO2_atm</vt:lpstr>
      <vt:lpstr>v_113_GH2</vt:lpstr>
      <vt:lpstr>v_113_GH2_atm</vt:lpstr>
      <vt:lpstr>v_113_GN2</vt:lpstr>
      <vt:lpstr>v_113_GN2_atm</vt:lpstr>
      <vt:lpstr>v_113_GN2O</vt:lpstr>
      <vt:lpstr>v_113_GN2O_atm</vt:lpstr>
      <vt:lpstr>v_113_GNH3</vt:lpstr>
      <vt:lpstr>v_113_GNH3_atm</vt:lpstr>
      <vt:lpstr>v_113_GNO</vt:lpstr>
      <vt:lpstr>v_113_GNO_atm</vt:lpstr>
      <vt:lpstr>v_113_GO2</vt:lpstr>
      <vt:lpstr>v_113_GO2_atm</vt:lpstr>
      <vt:lpstr>v_113_SALPHA</vt:lpstr>
      <vt:lpstr>v_113_SAN</vt:lpstr>
      <vt:lpstr>v_113_SB</vt:lpstr>
      <vt:lpstr>v_113_SCa</vt:lpstr>
      <vt:lpstr>v_113_SCAT</vt:lpstr>
      <vt:lpstr>v_113_SCH4</vt:lpstr>
      <vt:lpstr>v_113_SCO2</vt:lpstr>
      <vt:lpstr>v_113_SFe2</vt:lpstr>
      <vt:lpstr>v_113_SH</vt:lpstr>
      <vt:lpstr>v_113_SH2</vt:lpstr>
      <vt:lpstr>v_113_SK</vt:lpstr>
      <vt:lpstr>v_113_SMEOL</vt:lpstr>
      <vt:lpstr>v_113_SMg</vt:lpstr>
      <vt:lpstr>v_113_SN_B</vt:lpstr>
      <vt:lpstr>v_113_SN2</vt:lpstr>
      <vt:lpstr>v_113_SN2O</vt:lpstr>
      <vt:lpstr>v_113_SNH2OH</vt:lpstr>
      <vt:lpstr>v_113_SNHx</vt:lpstr>
      <vt:lpstr>v_113_SNO_AOB</vt:lpstr>
      <vt:lpstr>v_113_SNO_OHO</vt:lpstr>
      <vt:lpstr>v_113_SNO2</vt:lpstr>
      <vt:lpstr>v_113_SNO3</vt:lpstr>
      <vt:lpstr>v_113_SO2</vt:lpstr>
      <vt:lpstr>v_113_SORPswitch</vt:lpstr>
      <vt:lpstr>v_113_SP_B</vt:lpstr>
      <vt:lpstr>v_113_SPFOA</vt:lpstr>
      <vt:lpstr>v_113_SPFOS</vt:lpstr>
      <vt:lpstr>v_113_SPO4</vt:lpstr>
      <vt:lpstr>v_113_SU</vt:lpstr>
      <vt:lpstr>v_113_SVFA</vt:lpstr>
      <vt:lpstr>v_113_XACP</vt:lpstr>
      <vt:lpstr>v_113_XALGAE</vt:lpstr>
      <vt:lpstr>v_113_XAMETO</vt:lpstr>
      <vt:lpstr>v_113_XAMX</vt:lpstr>
      <vt:lpstr>v_113_XAOB</vt:lpstr>
      <vt:lpstr>v_113_XB</vt:lpstr>
      <vt:lpstr>v_113_XB_e</vt:lpstr>
      <vt:lpstr>v_113_XBSH</vt:lpstr>
      <vt:lpstr>v_113_XCaCO3</vt:lpstr>
      <vt:lpstr>v_113_XCASTO</vt:lpstr>
      <vt:lpstr>v_113_XE</vt:lpstr>
      <vt:lpstr>v_113_XE_ana</vt:lpstr>
      <vt:lpstr>v_113_XHAO_H</vt:lpstr>
      <vt:lpstr>v_113_XHAO_H_P</vt:lpstr>
      <vt:lpstr>v_113_XHAO_H_P_old</vt:lpstr>
      <vt:lpstr>v_113_XHAO_L</vt:lpstr>
      <vt:lpstr>v_113_XHAO_L_P</vt:lpstr>
      <vt:lpstr>v_113_XHAO_L_P_old</vt:lpstr>
      <vt:lpstr>v_113_XHAO_old</vt:lpstr>
      <vt:lpstr>v_113_XHFO_H</vt:lpstr>
      <vt:lpstr>v_113_XHFO_H_P</vt:lpstr>
      <vt:lpstr>v_113_XHFO_H_P_old</vt:lpstr>
      <vt:lpstr>v_113_XHFO_L</vt:lpstr>
      <vt:lpstr>v_113_XHFO_L_P</vt:lpstr>
      <vt:lpstr>v_113_XHFO_L_P_old</vt:lpstr>
      <vt:lpstr>v_113_XHFO_old</vt:lpstr>
      <vt:lpstr>v_113_XHMETO</vt:lpstr>
      <vt:lpstr>v_113_XINORG</vt:lpstr>
      <vt:lpstr>v_113_XMEOLO</vt:lpstr>
      <vt:lpstr>v_113_XN_B</vt:lpstr>
      <vt:lpstr>v_113_XN_Be</vt:lpstr>
      <vt:lpstr>v_113_XN_U</vt:lpstr>
      <vt:lpstr>v_113_XNOB</vt:lpstr>
      <vt:lpstr>v_113_XOHO</vt:lpstr>
      <vt:lpstr>v_113_XP_B</vt:lpstr>
      <vt:lpstr>v_113_XP_Be</vt:lpstr>
      <vt:lpstr>v_113_XP_U</vt:lpstr>
      <vt:lpstr>v_113_XPFOA</vt:lpstr>
      <vt:lpstr>v_113_XPFOS</vt:lpstr>
      <vt:lpstr>v_113_XPHA_GAO</vt:lpstr>
      <vt:lpstr>v_113_XPHA_PAO</vt:lpstr>
      <vt:lpstr>v_113_XPP</vt:lpstr>
      <vt:lpstr>v_113_XSTR</vt:lpstr>
      <vt:lpstr>v_113_XU</vt:lpstr>
      <vt:lpstr>v_113_XVivi</vt:lpstr>
      <vt:lpstr>v_114_CB</vt:lpstr>
      <vt:lpstr>v_114_CU</vt:lpstr>
      <vt:lpstr>v_114_GCH4</vt:lpstr>
      <vt:lpstr>v_114_GCH4_atm</vt:lpstr>
      <vt:lpstr>v_114_GCO2</vt:lpstr>
      <vt:lpstr>v_114_GCO2_atm</vt:lpstr>
      <vt:lpstr>v_114_GH2</vt:lpstr>
      <vt:lpstr>v_114_GH2_atm</vt:lpstr>
      <vt:lpstr>v_114_GN2</vt:lpstr>
      <vt:lpstr>v_114_GN2_atm</vt:lpstr>
      <vt:lpstr>v_114_GN2O</vt:lpstr>
      <vt:lpstr>v_114_GN2O_atm</vt:lpstr>
      <vt:lpstr>v_114_GNH3</vt:lpstr>
      <vt:lpstr>v_114_GNH3_atm</vt:lpstr>
      <vt:lpstr>v_114_GNO</vt:lpstr>
      <vt:lpstr>v_114_GNO_atm</vt:lpstr>
      <vt:lpstr>v_114_GO2</vt:lpstr>
      <vt:lpstr>v_114_GO2_atm</vt:lpstr>
      <vt:lpstr>v_114_SALPHA</vt:lpstr>
      <vt:lpstr>v_114_SAN</vt:lpstr>
      <vt:lpstr>v_114_SB</vt:lpstr>
      <vt:lpstr>v_114_SCa</vt:lpstr>
      <vt:lpstr>v_114_SCAT</vt:lpstr>
      <vt:lpstr>v_114_SCH4</vt:lpstr>
      <vt:lpstr>v_114_SCO2</vt:lpstr>
      <vt:lpstr>v_114_SFe2</vt:lpstr>
      <vt:lpstr>v_114_SH</vt:lpstr>
      <vt:lpstr>v_114_SH2</vt:lpstr>
      <vt:lpstr>v_114_SK</vt:lpstr>
      <vt:lpstr>v_114_SMEOL</vt:lpstr>
      <vt:lpstr>v_114_SMg</vt:lpstr>
      <vt:lpstr>v_114_SN_B</vt:lpstr>
      <vt:lpstr>v_114_SN2</vt:lpstr>
      <vt:lpstr>v_114_SN2O</vt:lpstr>
      <vt:lpstr>v_114_SNH2OH</vt:lpstr>
      <vt:lpstr>v_114_SNHx</vt:lpstr>
      <vt:lpstr>v_114_SNO_AOB</vt:lpstr>
      <vt:lpstr>v_114_SNO_OHO</vt:lpstr>
      <vt:lpstr>v_114_SNO2</vt:lpstr>
      <vt:lpstr>v_114_SNO3</vt:lpstr>
      <vt:lpstr>v_114_SO2</vt:lpstr>
      <vt:lpstr>v_114_SORPswitch</vt:lpstr>
      <vt:lpstr>v_114_SP_B</vt:lpstr>
      <vt:lpstr>v_114_SPFOA</vt:lpstr>
      <vt:lpstr>v_114_SPFOS</vt:lpstr>
      <vt:lpstr>v_114_SPO4</vt:lpstr>
      <vt:lpstr>v_114_SU</vt:lpstr>
      <vt:lpstr>v_114_SVFA</vt:lpstr>
      <vt:lpstr>v_114_XACP</vt:lpstr>
      <vt:lpstr>v_114_XALGAE</vt:lpstr>
      <vt:lpstr>v_114_XAMETO</vt:lpstr>
      <vt:lpstr>v_114_XAMX</vt:lpstr>
      <vt:lpstr>v_114_XAOB</vt:lpstr>
      <vt:lpstr>v_114_XB</vt:lpstr>
      <vt:lpstr>v_114_XB_e</vt:lpstr>
      <vt:lpstr>v_114_XBSH</vt:lpstr>
      <vt:lpstr>v_114_XCaCO3</vt:lpstr>
      <vt:lpstr>v_114_XCASTO</vt:lpstr>
      <vt:lpstr>v_114_XE</vt:lpstr>
      <vt:lpstr>v_114_XE_ana</vt:lpstr>
      <vt:lpstr>v_114_XHAO_H</vt:lpstr>
      <vt:lpstr>v_114_XHAO_H_P</vt:lpstr>
      <vt:lpstr>v_114_XHAO_H_P_old</vt:lpstr>
      <vt:lpstr>v_114_XHAO_L</vt:lpstr>
      <vt:lpstr>v_114_XHAO_L_P</vt:lpstr>
      <vt:lpstr>v_114_XHAO_L_P_old</vt:lpstr>
      <vt:lpstr>v_114_XHAO_old</vt:lpstr>
      <vt:lpstr>v_114_XHFO_H</vt:lpstr>
      <vt:lpstr>v_114_XHFO_H_P</vt:lpstr>
      <vt:lpstr>v_114_XHFO_H_P_old</vt:lpstr>
      <vt:lpstr>v_114_XHFO_L</vt:lpstr>
      <vt:lpstr>v_114_XHFO_L_P</vt:lpstr>
      <vt:lpstr>v_114_XHFO_L_P_old</vt:lpstr>
      <vt:lpstr>v_114_XHFO_old</vt:lpstr>
      <vt:lpstr>v_114_XHMETO</vt:lpstr>
      <vt:lpstr>v_114_XINORG</vt:lpstr>
      <vt:lpstr>v_114_XMEOLO</vt:lpstr>
      <vt:lpstr>v_114_XN_B</vt:lpstr>
      <vt:lpstr>v_114_XN_Be</vt:lpstr>
      <vt:lpstr>v_114_XN_U</vt:lpstr>
      <vt:lpstr>v_114_XNOB</vt:lpstr>
      <vt:lpstr>v_114_XOHO</vt:lpstr>
      <vt:lpstr>v_114_XP_B</vt:lpstr>
      <vt:lpstr>v_114_XP_Be</vt:lpstr>
      <vt:lpstr>v_114_XP_U</vt:lpstr>
      <vt:lpstr>v_114_XPFOA</vt:lpstr>
      <vt:lpstr>v_114_XPFOS</vt:lpstr>
      <vt:lpstr>v_114_XPHA_GAO</vt:lpstr>
      <vt:lpstr>v_114_XPHA_PAO</vt:lpstr>
      <vt:lpstr>v_114_XPP</vt:lpstr>
      <vt:lpstr>v_114_XSTR</vt:lpstr>
      <vt:lpstr>v_114_XU</vt:lpstr>
      <vt:lpstr>v_114_XVivi</vt:lpstr>
      <vt:lpstr>v_115_CB</vt:lpstr>
      <vt:lpstr>v_115_CU</vt:lpstr>
      <vt:lpstr>v_115_GCH4</vt:lpstr>
      <vt:lpstr>v_115_GCH4_atm</vt:lpstr>
      <vt:lpstr>v_115_GCO2</vt:lpstr>
      <vt:lpstr>v_115_GCO2_atm</vt:lpstr>
      <vt:lpstr>v_115_GH2</vt:lpstr>
      <vt:lpstr>v_115_GH2_atm</vt:lpstr>
      <vt:lpstr>v_115_GN2</vt:lpstr>
      <vt:lpstr>v_115_GN2_atm</vt:lpstr>
      <vt:lpstr>v_115_GN2O</vt:lpstr>
      <vt:lpstr>v_115_GN2O_atm</vt:lpstr>
      <vt:lpstr>v_115_GNH3</vt:lpstr>
      <vt:lpstr>v_115_GNH3_atm</vt:lpstr>
      <vt:lpstr>v_115_GNO</vt:lpstr>
      <vt:lpstr>v_115_GNO_atm</vt:lpstr>
      <vt:lpstr>v_115_GO2</vt:lpstr>
      <vt:lpstr>v_115_GO2_atm</vt:lpstr>
      <vt:lpstr>v_115_SALPHA</vt:lpstr>
      <vt:lpstr>v_115_SAN</vt:lpstr>
      <vt:lpstr>v_115_SB</vt:lpstr>
      <vt:lpstr>v_115_SCa</vt:lpstr>
      <vt:lpstr>v_115_SCAT</vt:lpstr>
      <vt:lpstr>v_115_SCH4</vt:lpstr>
      <vt:lpstr>v_115_SCO2</vt:lpstr>
      <vt:lpstr>v_115_SFe2</vt:lpstr>
      <vt:lpstr>v_115_SH</vt:lpstr>
      <vt:lpstr>v_115_SH2</vt:lpstr>
      <vt:lpstr>v_115_SK</vt:lpstr>
      <vt:lpstr>v_115_SMEOL</vt:lpstr>
      <vt:lpstr>v_115_SMg</vt:lpstr>
      <vt:lpstr>v_115_SN_B</vt:lpstr>
      <vt:lpstr>v_115_SN2</vt:lpstr>
      <vt:lpstr>v_115_SN2O</vt:lpstr>
      <vt:lpstr>v_115_SNH2OH</vt:lpstr>
      <vt:lpstr>v_115_SNHx</vt:lpstr>
      <vt:lpstr>v_115_SNO_AOB</vt:lpstr>
      <vt:lpstr>v_115_SNO_OHO</vt:lpstr>
      <vt:lpstr>v_115_SNO2</vt:lpstr>
      <vt:lpstr>v_115_SNO3</vt:lpstr>
      <vt:lpstr>v_115_SO2</vt:lpstr>
      <vt:lpstr>v_115_SORPswitch</vt:lpstr>
      <vt:lpstr>v_115_SP_B</vt:lpstr>
      <vt:lpstr>v_115_SPFOA</vt:lpstr>
      <vt:lpstr>v_115_SPFOS</vt:lpstr>
      <vt:lpstr>v_115_SPO4</vt:lpstr>
      <vt:lpstr>v_115_SU</vt:lpstr>
      <vt:lpstr>v_115_SVFA</vt:lpstr>
      <vt:lpstr>v_115_XACP</vt:lpstr>
      <vt:lpstr>v_115_XALGAE</vt:lpstr>
      <vt:lpstr>v_115_XAMETO</vt:lpstr>
      <vt:lpstr>v_115_XAMX</vt:lpstr>
      <vt:lpstr>v_115_XAOB</vt:lpstr>
      <vt:lpstr>v_115_XB</vt:lpstr>
      <vt:lpstr>v_115_XB_e</vt:lpstr>
      <vt:lpstr>v_115_XBSH</vt:lpstr>
      <vt:lpstr>v_115_XCaCO3</vt:lpstr>
      <vt:lpstr>v_115_XCASTO</vt:lpstr>
      <vt:lpstr>v_115_XE</vt:lpstr>
      <vt:lpstr>v_115_XE_ana</vt:lpstr>
      <vt:lpstr>v_115_XHAO_H</vt:lpstr>
      <vt:lpstr>v_115_XHAO_H_P</vt:lpstr>
      <vt:lpstr>v_115_XHAO_H_P_old</vt:lpstr>
      <vt:lpstr>v_115_XHAO_L</vt:lpstr>
      <vt:lpstr>v_115_XHAO_L_P</vt:lpstr>
      <vt:lpstr>v_115_XHAO_L_P_old</vt:lpstr>
      <vt:lpstr>v_115_XHAO_old</vt:lpstr>
      <vt:lpstr>v_115_XHFO_H</vt:lpstr>
      <vt:lpstr>v_115_XHFO_H_P</vt:lpstr>
      <vt:lpstr>v_115_XHFO_H_P_old</vt:lpstr>
      <vt:lpstr>v_115_XHFO_L</vt:lpstr>
      <vt:lpstr>v_115_XHFO_L_P</vt:lpstr>
      <vt:lpstr>v_115_XHFO_L_P_old</vt:lpstr>
      <vt:lpstr>v_115_XHFO_old</vt:lpstr>
      <vt:lpstr>v_115_XHMETO</vt:lpstr>
      <vt:lpstr>v_115_XINORG</vt:lpstr>
      <vt:lpstr>v_115_XMEOLO</vt:lpstr>
      <vt:lpstr>v_115_XN_B</vt:lpstr>
      <vt:lpstr>v_115_XN_Be</vt:lpstr>
      <vt:lpstr>v_115_XN_U</vt:lpstr>
      <vt:lpstr>v_115_XNOB</vt:lpstr>
      <vt:lpstr>v_115_XOHO</vt:lpstr>
      <vt:lpstr>v_115_XP_B</vt:lpstr>
      <vt:lpstr>v_115_XP_Be</vt:lpstr>
      <vt:lpstr>v_115_XP_U</vt:lpstr>
      <vt:lpstr>v_115_XPFOA</vt:lpstr>
      <vt:lpstr>v_115_XPFOS</vt:lpstr>
      <vt:lpstr>v_115_XPHA_GAO</vt:lpstr>
      <vt:lpstr>v_115_XPHA_PAO</vt:lpstr>
      <vt:lpstr>v_115_XPP</vt:lpstr>
      <vt:lpstr>v_115_XSTR</vt:lpstr>
      <vt:lpstr>v_115_XU</vt:lpstr>
      <vt:lpstr>v_115_XVivi</vt:lpstr>
      <vt:lpstr>v_116_CB</vt:lpstr>
      <vt:lpstr>v_116_CU</vt:lpstr>
      <vt:lpstr>v_116_GCH4</vt:lpstr>
      <vt:lpstr>v_116_GCH4_atm</vt:lpstr>
      <vt:lpstr>v_116_GCO2</vt:lpstr>
      <vt:lpstr>v_116_GCO2_atm</vt:lpstr>
      <vt:lpstr>v_116_GH2</vt:lpstr>
      <vt:lpstr>v_116_GH2_atm</vt:lpstr>
      <vt:lpstr>v_116_GN2</vt:lpstr>
      <vt:lpstr>v_116_GN2_atm</vt:lpstr>
      <vt:lpstr>v_116_GN2O</vt:lpstr>
      <vt:lpstr>v_116_GN2O_atm</vt:lpstr>
      <vt:lpstr>v_116_GNH3</vt:lpstr>
      <vt:lpstr>v_116_GNH3_atm</vt:lpstr>
      <vt:lpstr>v_116_GNO</vt:lpstr>
      <vt:lpstr>v_116_GNO_atm</vt:lpstr>
      <vt:lpstr>v_116_GO2</vt:lpstr>
      <vt:lpstr>v_116_GO2_atm</vt:lpstr>
      <vt:lpstr>v_116_SALPHA</vt:lpstr>
      <vt:lpstr>v_116_SAN</vt:lpstr>
      <vt:lpstr>v_116_SB</vt:lpstr>
      <vt:lpstr>v_116_SCa</vt:lpstr>
      <vt:lpstr>v_116_SCAT</vt:lpstr>
      <vt:lpstr>v_116_SCH4</vt:lpstr>
      <vt:lpstr>v_116_SCO2</vt:lpstr>
      <vt:lpstr>v_116_SFe2</vt:lpstr>
      <vt:lpstr>v_116_SH</vt:lpstr>
      <vt:lpstr>v_116_SH2</vt:lpstr>
      <vt:lpstr>v_116_SK</vt:lpstr>
      <vt:lpstr>v_116_SMEOL</vt:lpstr>
      <vt:lpstr>v_116_SMg</vt:lpstr>
      <vt:lpstr>v_116_SN_B</vt:lpstr>
      <vt:lpstr>v_116_SN2</vt:lpstr>
      <vt:lpstr>v_116_SN2O</vt:lpstr>
      <vt:lpstr>v_116_SNH2OH</vt:lpstr>
      <vt:lpstr>v_116_SNHx</vt:lpstr>
      <vt:lpstr>v_116_SNO_AOB</vt:lpstr>
      <vt:lpstr>v_116_SNO_OHO</vt:lpstr>
      <vt:lpstr>v_116_SNO2</vt:lpstr>
      <vt:lpstr>v_116_SNO3</vt:lpstr>
      <vt:lpstr>v_116_SO2</vt:lpstr>
      <vt:lpstr>v_116_SORPswitch</vt:lpstr>
      <vt:lpstr>v_116_SP_B</vt:lpstr>
      <vt:lpstr>v_116_SPFOA</vt:lpstr>
      <vt:lpstr>v_116_SPFOS</vt:lpstr>
      <vt:lpstr>v_116_SPO4</vt:lpstr>
      <vt:lpstr>v_116_SU</vt:lpstr>
      <vt:lpstr>v_116_SVFA</vt:lpstr>
      <vt:lpstr>v_116_XACP</vt:lpstr>
      <vt:lpstr>v_116_XALGAE</vt:lpstr>
      <vt:lpstr>v_116_XAMETO</vt:lpstr>
      <vt:lpstr>v_116_XAMX</vt:lpstr>
      <vt:lpstr>v_116_XAOB</vt:lpstr>
      <vt:lpstr>v_116_XB</vt:lpstr>
      <vt:lpstr>v_116_XB_e</vt:lpstr>
      <vt:lpstr>v_116_XBSH</vt:lpstr>
      <vt:lpstr>v_116_XCaCO3</vt:lpstr>
      <vt:lpstr>v_116_XCASTO</vt:lpstr>
      <vt:lpstr>v_116_XE</vt:lpstr>
      <vt:lpstr>v_116_XE_ana</vt:lpstr>
      <vt:lpstr>v_116_XHAO_H</vt:lpstr>
      <vt:lpstr>v_116_XHAO_H_P</vt:lpstr>
      <vt:lpstr>v_116_XHAO_H_P_old</vt:lpstr>
      <vt:lpstr>v_116_XHAO_L</vt:lpstr>
      <vt:lpstr>v_116_XHAO_L_P</vt:lpstr>
      <vt:lpstr>v_116_XHAO_L_P_old</vt:lpstr>
      <vt:lpstr>v_116_XHAO_old</vt:lpstr>
      <vt:lpstr>v_116_XHFO_H</vt:lpstr>
      <vt:lpstr>v_116_XHFO_H_P</vt:lpstr>
      <vt:lpstr>v_116_XHFO_H_P_old</vt:lpstr>
      <vt:lpstr>v_116_XHFO_L</vt:lpstr>
      <vt:lpstr>v_116_XHFO_L_P</vt:lpstr>
      <vt:lpstr>v_116_XHFO_L_P_old</vt:lpstr>
      <vt:lpstr>v_116_XHFO_old</vt:lpstr>
      <vt:lpstr>v_116_XHMETO</vt:lpstr>
      <vt:lpstr>v_116_XINORG</vt:lpstr>
      <vt:lpstr>v_116_XMEOLO</vt:lpstr>
      <vt:lpstr>v_116_XN_B</vt:lpstr>
      <vt:lpstr>v_116_XN_Be</vt:lpstr>
      <vt:lpstr>v_116_XN_U</vt:lpstr>
      <vt:lpstr>v_116_XNOB</vt:lpstr>
      <vt:lpstr>v_116_XOHO</vt:lpstr>
      <vt:lpstr>v_116_XP_B</vt:lpstr>
      <vt:lpstr>v_116_XP_Be</vt:lpstr>
      <vt:lpstr>v_116_XP_U</vt:lpstr>
      <vt:lpstr>v_116_XPFOA</vt:lpstr>
      <vt:lpstr>v_116_XPFOS</vt:lpstr>
      <vt:lpstr>v_116_XPHA_GAO</vt:lpstr>
      <vt:lpstr>v_116_XPHA_PAO</vt:lpstr>
      <vt:lpstr>v_116_XPP</vt:lpstr>
      <vt:lpstr>v_116_XSTR</vt:lpstr>
      <vt:lpstr>v_116_XU</vt:lpstr>
      <vt:lpstr>v_116_XVivi</vt:lpstr>
      <vt:lpstr>v_117_CB</vt:lpstr>
      <vt:lpstr>v_117_CU</vt:lpstr>
      <vt:lpstr>v_117_GCH4</vt:lpstr>
      <vt:lpstr>v_117_GCH4_atm</vt:lpstr>
      <vt:lpstr>v_117_GCO2</vt:lpstr>
      <vt:lpstr>v_117_GCO2_atm</vt:lpstr>
      <vt:lpstr>v_117_GH2</vt:lpstr>
      <vt:lpstr>v_117_GH2_atm</vt:lpstr>
      <vt:lpstr>v_117_GN2</vt:lpstr>
      <vt:lpstr>v_117_GN2_atm</vt:lpstr>
      <vt:lpstr>v_117_GN2O</vt:lpstr>
      <vt:lpstr>v_117_GN2O_atm</vt:lpstr>
      <vt:lpstr>v_117_GNH3</vt:lpstr>
      <vt:lpstr>v_117_GNH3_atm</vt:lpstr>
      <vt:lpstr>v_117_GNO</vt:lpstr>
      <vt:lpstr>v_117_GNO_atm</vt:lpstr>
      <vt:lpstr>v_117_GO2</vt:lpstr>
      <vt:lpstr>v_117_GO2_atm</vt:lpstr>
      <vt:lpstr>v_117_SALPHA</vt:lpstr>
      <vt:lpstr>v_117_SAN</vt:lpstr>
      <vt:lpstr>v_117_SB</vt:lpstr>
      <vt:lpstr>v_117_SCa</vt:lpstr>
      <vt:lpstr>v_117_SCAT</vt:lpstr>
      <vt:lpstr>v_117_SCH4</vt:lpstr>
      <vt:lpstr>v_117_SCO2</vt:lpstr>
      <vt:lpstr>v_117_SFe2</vt:lpstr>
      <vt:lpstr>v_117_SH</vt:lpstr>
      <vt:lpstr>v_117_SH2</vt:lpstr>
      <vt:lpstr>v_117_SK</vt:lpstr>
      <vt:lpstr>v_117_SMEOL</vt:lpstr>
      <vt:lpstr>v_117_SMg</vt:lpstr>
      <vt:lpstr>v_117_SN_B</vt:lpstr>
      <vt:lpstr>v_117_SN2</vt:lpstr>
      <vt:lpstr>v_117_SN2O</vt:lpstr>
      <vt:lpstr>v_117_SNH2OH</vt:lpstr>
      <vt:lpstr>v_117_SNHx</vt:lpstr>
      <vt:lpstr>v_117_SNO_AOB</vt:lpstr>
      <vt:lpstr>v_117_SNO_OHO</vt:lpstr>
      <vt:lpstr>v_117_SNO2</vt:lpstr>
      <vt:lpstr>v_117_SNO3</vt:lpstr>
      <vt:lpstr>v_117_SO2</vt:lpstr>
      <vt:lpstr>v_117_SORPswitch</vt:lpstr>
      <vt:lpstr>v_117_SP_B</vt:lpstr>
      <vt:lpstr>v_117_SPFOA</vt:lpstr>
      <vt:lpstr>v_117_SPFOS</vt:lpstr>
      <vt:lpstr>v_117_SPO4</vt:lpstr>
      <vt:lpstr>v_117_SU</vt:lpstr>
      <vt:lpstr>v_117_SVFA</vt:lpstr>
      <vt:lpstr>v_117_XACP</vt:lpstr>
      <vt:lpstr>v_117_XALGAE</vt:lpstr>
      <vt:lpstr>v_117_XAMETO</vt:lpstr>
      <vt:lpstr>v_117_XAMX</vt:lpstr>
      <vt:lpstr>v_117_XAOB</vt:lpstr>
      <vt:lpstr>v_117_XB</vt:lpstr>
      <vt:lpstr>v_117_XB_e</vt:lpstr>
      <vt:lpstr>v_117_XBSH</vt:lpstr>
      <vt:lpstr>v_117_XCaCO3</vt:lpstr>
      <vt:lpstr>v_117_XCASTO</vt:lpstr>
      <vt:lpstr>v_117_XE</vt:lpstr>
      <vt:lpstr>v_117_XE_ana</vt:lpstr>
      <vt:lpstr>v_117_XHAO_H</vt:lpstr>
      <vt:lpstr>v_117_XHAO_H_P</vt:lpstr>
      <vt:lpstr>v_117_XHAO_H_P_old</vt:lpstr>
      <vt:lpstr>v_117_XHAO_L</vt:lpstr>
      <vt:lpstr>v_117_XHAO_L_P</vt:lpstr>
      <vt:lpstr>v_117_XHAO_L_P_old</vt:lpstr>
      <vt:lpstr>v_117_XHAO_old</vt:lpstr>
      <vt:lpstr>v_117_XHFO_H</vt:lpstr>
      <vt:lpstr>v_117_XHFO_H_P</vt:lpstr>
      <vt:lpstr>v_117_XHFO_H_P_old</vt:lpstr>
      <vt:lpstr>v_117_XHFO_L</vt:lpstr>
      <vt:lpstr>v_117_XHFO_L_P</vt:lpstr>
      <vt:lpstr>v_117_XHFO_L_P_old</vt:lpstr>
      <vt:lpstr>v_117_XHFO_old</vt:lpstr>
      <vt:lpstr>v_117_XHMETO</vt:lpstr>
      <vt:lpstr>v_117_XINORG</vt:lpstr>
      <vt:lpstr>v_117_XMEOLO</vt:lpstr>
      <vt:lpstr>v_117_XN_B</vt:lpstr>
      <vt:lpstr>v_117_XN_Be</vt:lpstr>
      <vt:lpstr>v_117_XN_U</vt:lpstr>
      <vt:lpstr>v_117_XNOB</vt:lpstr>
      <vt:lpstr>v_117_XOHO</vt:lpstr>
      <vt:lpstr>v_117_XP_B</vt:lpstr>
      <vt:lpstr>v_117_XP_Be</vt:lpstr>
      <vt:lpstr>v_117_XP_U</vt:lpstr>
      <vt:lpstr>v_117_XPFOA</vt:lpstr>
      <vt:lpstr>v_117_XPFOS</vt:lpstr>
      <vt:lpstr>v_117_XPHA_GAO</vt:lpstr>
      <vt:lpstr>v_117_XPHA_PAO</vt:lpstr>
      <vt:lpstr>v_117_XPP</vt:lpstr>
      <vt:lpstr>v_117_XSTR</vt:lpstr>
      <vt:lpstr>v_117_XU</vt:lpstr>
      <vt:lpstr>v_117_XVivi</vt:lpstr>
      <vt:lpstr>v_118_CB</vt:lpstr>
      <vt:lpstr>v_118_CU</vt:lpstr>
      <vt:lpstr>v_118_GCH4</vt:lpstr>
      <vt:lpstr>v_118_GCH4_atm</vt:lpstr>
      <vt:lpstr>v_118_GCO2</vt:lpstr>
      <vt:lpstr>v_118_GCO2_atm</vt:lpstr>
      <vt:lpstr>v_118_GH2</vt:lpstr>
      <vt:lpstr>v_118_GH2_atm</vt:lpstr>
      <vt:lpstr>v_118_GN2</vt:lpstr>
      <vt:lpstr>v_118_GN2_atm</vt:lpstr>
      <vt:lpstr>v_118_GN2O</vt:lpstr>
      <vt:lpstr>v_118_GN2O_atm</vt:lpstr>
      <vt:lpstr>v_118_GNH3</vt:lpstr>
      <vt:lpstr>v_118_GNH3_atm</vt:lpstr>
      <vt:lpstr>v_118_GNO</vt:lpstr>
      <vt:lpstr>v_118_GNO_atm</vt:lpstr>
      <vt:lpstr>v_118_GO2</vt:lpstr>
      <vt:lpstr>v_118_GO2_atm</vt:lpstr>
      <vt:lpstr>v_118_SALPHA</vt:lpstr>
      <vt:lpstr>v_118_SAN</vt:lpstr>
      <vt:lpstr>v_118_SB</vt:lpstr>
      <vt:lpstr>v_118_SCa</vt:lpstr>
      <vt:lpstr>v_118_SCAT</vt:lpstr>
      <vt:lpstr>v_118_SCH4</vt:lpstr>
      <vt:lpstr>v_118_SCO2</vt:lpstr>
      <vt:lpstr>v_118_SFe2</vt:lpstr>
      <vt:lpstr>v_118_SH</vt:lpstr>
      <vt:lpstr>v_118_SH2</vt:lpstr>
      <vt:lpstr>v_118_SK</vt:lpstr>
      <vt:lpstr>v_118_SMEOL</vt:lpstr>
      <vt:lpstr>v_118_SMg</vt:lpstr>
      <vt:lpstr>v_118_SN_B</vt:lpstr>
      <vt:lpstr>v_118_SN2</vt:lpstr>
      <vt:lpstr>v_118_SN2O</vt:lpstr>
      <vt:lpstr>v_118_SNH2OH</vt:lpstr>
      <vt:lpstr>v_118_SNHx</vt:lpstr>
      <vt:lpstr>v_118_SNO_AOB</vt:lpstr>
      <vt:lpstr>v_118_SNO_OHO</vt:lpstr>
      <vt:lpstr>v_118_SNO2</vt:lpstr>
      <vt:lpstr>v_118_SNO3</vt:lpstr>
      <vt:lpstr>v_118_SO2</vt:lpstr>
      <vt:lpstr>v_118_SORPswitch</vt:lpstr>
      <vt:lpstr>v_118_SP_B</vt:lpstr>
      <vt:lpstr>v_118_SPFOA</vt:lpstr>
      <vt:lpstr>v_118_SPFOS</vt:lpstr>
      <vt:lpstr>v_118_SPO4</vt:lpstr>
      <vt:lpstr>v_118_SU</vt:lpstr>
      <vt:lpstr>v_118_SVFA</vt:lpstr>
      <vt:lpstr>v_118_XACP</vt:lpstr>
      <vt:lpstr>v_118_XALGAE</vt:lpstr>
      <vt:lpstr>v_118_XAMETO</vt:lpstr>
      <vt:lpstr>v_118_XAMX</vt:lpstr>
      <vt:lpstr>v_118_XAOB</vt:lpstr>
      <vt:lpstr>v_118_XB</vt:lpstr>
      <vt:lpstr>v_118_XB_e</vt:lpstr>
      <vt:lpstr>v_118_XBSH</vt:lpstr>
      <vt:lpstr>v_118_XCaCO3</vt:lpstr>
      <vt:lpstr>v_118_XCASTO</vt:lpstr>
      <vt:lpstr>v_118_XE</vt:lpstr>
      <vt:lpstr>v_118_XE_ana</vt:lpstr>
      <vt:lpstr>v_118_XHAO_H</vt:lpstr>
      <vt:lpstr>v_118_XHAO_H_P</vt:lpstr>
      <vt:lpstr>v_118_XHAO_H_P_old</vt:lpstr>
      <vt:lpstr>v_118_XHAO_L</vt:lpstr>
      <vt:lpstr>v_118_XHAO_L_P</vt:lpstr>
      <vt:lpstr>v_118_XHAO_L_P_old</vt:lpstr>
      <vt:lpstr>v_118_XHAO_old</vt:lpstr>
      <vt:lpstr>v_118_XHFO_H</vt:lpstr>
      <vt:lpstr>v_118_XHFO_H_P</vt:lpstr>
      <vt:lpstr>v_118_XHFO_H_P_old</vt:lpstr>
      <vt:lpstr>v_118_XHFO_L</vt:lpstr>
      <vt:lpstr>v_118_XHFO_L_P</vt:lpstr>
      <vt:lpstr>v_118_XHFO_L_P_old</vt:lpstr>
      <vt:lpstr>v_118_XHFO_old</vt:lpstr>
      <vt:lpstr>v_118_XHMETO</vt:lpstr>
      <vt:lpstr>v_118_XINORG</vt:lpstr>
      <vt:lpstr>v_118_XMEOLO</vt:lpstr>
      <vt:lpstr>v_118_XN_B</vt:lpstr>
      <vt:lpstr>v_118_XN_Be</vt:lpstr>
      <vt:lpstr>v_118_XN_U</vt:lpstr>
      <vt:lpstr>v_118_XNOB</vt:lpstr>
      <vt:lpstr>v_118_XOHO</vt:lpstr>
      <vt:lpstr>v_118_XP_B</vt:lpstr>
      <vt:lpstr>v_118_XP_Be</vt:lpstr>
      <vt:lpstr>v_118_XP_U</vt:lpstr>
      <vt:lpstr>v_118_XPFOA</vt:lpstr>
      <vt:lpstr>v_118_XPFOS</vt:lpstr>
      <vt:lpstr>v_118_XPHA_GAO</vt:lpstr>
      <vt:lpstr>v_118_XPHA_PAO</vt:lpstr>
      <vt:lpstr>v_118_XPP</vt:lpstr>
      <vt:lpstr>v_118_XSTR</vt:lpstr>
      <vt:lpstr>v_118_XU</vt:lpstr>
      <vt:lpstr>v_118_XVivi</vt:lpstr>
      <vt:lpstr>v_119_CB</vt:lpstr>
      <vt:lpstr>v_119_CU</vt:lpstr>
      <vt:lpstr>v_119_GCH4</vt:lpstr>
      <vt:lpstr>v_119_GCH4_atm</vt:lpstr>
      <vt:lpstr>v_119_GCO2</vt:lpstr>
      <vt:lpstr>v_119_GCO2_atm</vt:lpstr>
      <vt:lpstr>v_119_GH2</vt:lpstr>
      <vt:lpstr>v_119_GH2_atm</vt:lpstr>
      <vt:lpstr>v_119_GN2</vt:lpstr>
      <vt:lpstr>v_119_GN2_atm</vt:lpstr>
      <vt:lpstr>v_119_GN2O</vt:lpstr>
      <vt:lpstr>v_119_GN2O_atm</vt:lpstr>
      <vt:lpstr>v_119_GNH3</vt:lpstr>
      <vt:lpstr>v_119_GNH3_atm</vt:lpstr>
      <vt:lpstr>v_119_GNO</vt:lpstr>
      <vt:lpstr>v_119_GNO_atm</vt:lpstr>
      <vt:lpstr>v_119_GO2</vt:lpstr>
      <vt:lpstr>v_119_GO2_atm</vt:lpstr>
      <vt:lpstr>v_119_SALPHA</vt:lpstr>
      <vt:lpstr>v_119_SAN</vt:lpstr>
      <vt:lpstr>v_119_SB</vt:lpstr>
      <vt:lpstr>v_119_SCa</vt:lpstr>
      <vt:lpstr>v_119_SCAT</vt:lpstr>
      <vt:lpstr>v_119_SCH4</vt:lpstr>
      <vt:lpstr>v_119_SCO2</vt:lpstr>
      <vt:lpstr>v_119_SFe2</vt:lpstr>
      <vt:lpstr>v_119_SH</vt:lpstr>
      <vt:lpstr>v_119_SH2</vt:lpstr>
      <vt:lpstr>v_119_SK</vt:lpstr>
      <vt:lpstr>v_119_SMEOL</vt:lpstr>
      <vt:lpstr>v_119_SMg</vt:lpstr>
      <vt:lpstr>v_119_SN_B</vt:lpstr>
      <vt:lpstr>v_119_SN2</vt:lpstr>
      <vt:lpstr>v_119_SN2O</vt:lpstr>
      <vt:lpstr>v_119_SNH2OH</vt:lpstr>
      <vt:lpstr>v_119_SNHx</vt:lpstr>
      <vt:lpstr>v_119_SNO_AOB</vt:lpstr>
      <vt:lpstr>v_119_SNO_OHO</vt:lpstr>
      <vt:lpstr>v_119_SNO2</vt:lpstr>
      <vt:lpstr>v_119_SNO3</vt:lpstr>
      <vt:lpstr>v_119_SO2</vt:lpstr>
      <vt:lpstr>v_119_SORPswitch</vt:lpstr>
      <vt:lpstr>v_119_SP_B</vt:lpstr>
      <vt:lpstr>v_119_SPFOA</vt:lpstr>
      <vt:lpstr>v_119_SPFOS</vt:lpstr>
      <vt:lpstr>v_119_SPO4</vt:lpstr>
      <vt:lpstr>v_119_SU</vt:lpstr>
      <vt:lpstr>v_119_SVFA</vt:lpstr>
      <vt:lpstr>v_119_XACP</vt:lpstr>
      <vt:lpstr>v_119_XALGAE</vt:lpstr>
      <vt:lpstr>v_119_XAMETO</vt:lpstr>
      <vt:lpstr>v_119_XAMX</vt:lpstr>
      <vt:lpstr>v_119_XAOB</vt:lpstr>
      <vt:lpstr>v_119_XB</vt:lpstr>
      <vt:lpstr>v_119_XB_e</vt:lpstr>
      <vt:lpstr>v_119_XBSH</vt:lpstr>
      <vt:lpstr>v_119_XCaCO3</vt:lpstr>
      <vt:lpstr>v_119_XCASTO</vt:lpstr>
      <vt:lpstr>v_119_XE</vt:lpstr>
      <vt:lpstr>v_119_XE_ana</vt:lpstr>
      <vt:lpstr>v_119_XHAO_H</vt:lpstr>
      <vt:lpstr>v_119_XHAO_H_P</vt:lpstr>
      <vt:lpstr>v_119_XHAO_H_P_old</vt:lpstr>
      <vt:lpstr>v_119_XHAO_L</vt:lpstr>
      <vt:lpstr>v_119_XHAO_L_P</vt:lpstr>
      <vt:lpstr>v_119_XHAO_L_P_old</vt:lpstr>
      <vt:lpstr>v_119_XHAO_old</vt:lpstr>
      <vt:lpstr>v_119_XHFO_H</vt:lpstr>
      <vt:lpstr>v_119_XHFO_H_P</vt:lpstr>
      <vt:lpstr>v_119_XHFO_H_P_old</vt:lpstr>
      <vt:lpstr>v_119_XHFO_L</vt:lpstr>
      <vt:lpstr>v_119_XHFO_L_P</vt:lpstr>
      <vt:lpstr>v_119_XHFO_L_P_old</vt:lpstr>
      <vt:lpstr>v_119_XHFO_old</vt:lpstr>
      <vt:lpstr>v_119_XHMETO</vt:lpstr>
      <vt:lpstr>v_119_XINORG</vt:lpstr>
      <vt:lpstr>v_119_XMEOLO</vt:lpstr>
      <vt:lpstr>v_119_XN_B</vt:lpstr>
      <vt:lpstr>v_119_XN_Be</vt:lpstr>
      <vt:lpstr>v_119_XN_U</vt:lpstr>
      <vt:lpstr>v_119_XNOB</vt:lpstr>
      <vt:lpstr>v_119_XOHO</vt:lpstr>
      <vt:lpstr>v_119_XP_B</vt:lpstr>
      <vt:lpstr>v_119_XP_Be</vt:lpstr>
      <vt:lpstr>v_119_XP_U</vt:lpstr>
      <vt:lpstr>v_119_XPFOA</vt:lpstr>
      <vt:lpstr>v_119_XPFOS</vt:lpstr>
      <vt:lpstr>v_119_XPHA_GAO</vt:lpstr>
      <vt:lpstr>v_119_XPHA_PAO</vt:lpstr>
      <vt:lpstr>v_119_XPP</vt:lpstr>
      <vt:lpstr>v_119_XSTR</vt:lpstr>
      <vt:lpstr>v_119_XU</vt:lpstr>
      <vt:lpstr>v_119_XVivi</vt:lpstr>
      <vt:lpstr>v_12_CB</vt:lpstr>
      <vt:lpstr>v_12_CU</vt:lpstr>
      <vt:lpstr>v_12_GCH4</vt:lpstr>
      <vt:lpstr>v_12_GCH4_atm</vt:lpstr>
      <vt:lpstr>v_12_GCO2</vt:lpstr>
      <vt:lpstr>v_12_GCO2_atm</vt:lpstr>
      <vt:lpstr>v_12_GH2</vt:lpstr>
      <vt:lpstr>v_12_GH2_atm</vt:lpstr>
      <vt:lpstr>v_12_GN2</vt:lpstr>
      <vt:lpstr>v_12_GN2_atm</vt:lpstr>
      <vt:lpstr>v_12_GN2O</vt:lpstr>
      <vt:lpstr>v_12_GN2O_atm</vt:lpstr>
      <vt:lpstr>v_12_GNH3</vt:lpstr>
      <vt:lpstr>v_12_GNH3_atm</vt:lpstr>
      <vt:lpstr>v_12_GNO</vt:lpstr>
      <vt:lpstr>v_12_GNO_atm</vt:lpstr>
      <vt:lpstr>v_12_GO2</vt:lpstr>
      <vt:lpstr>v_12_GO2_atm</vt:lpstr>
      <vt:lpstr>v_12_SALPHA</vt:lpstr>
      <vt:lpstr>v_12_SAN</vt:lpstr>
      <vt:lpstr>v_12_SB</vt:lpstr>
      <vt:lpstr>v_12_SCa</vt:lpstr>
      <vt:lpstr>v_12_SCAT</vt:lpstr>
      <vt:lpstr>v_12_SCH4</vt:lpstr>
      <vt:lpstr>v_12_SCO2</vt:lpstr>
      <vt:lpstr>v_12_SFe2</vt:lpstr>
      <vt:lpstr>v_12_SH</vt:lpstr>
      <vt:lpstr>v_12_SH2</vt:lpstr>
      <vt:lpstr>v_12_SK</vt:lpstr>
      <vt:lpstr>v_12_SMEOL</vt:lpstr>
      <vt:lpstr>v_12_SMg</vt:lpstr>
      <vt:lpstr>v_12_SN_B</vt:lpstr>
      <vt:lpstr>v_12_SN2</vt:lpstr>
      <vt:lpstr>v_12_SN2O</vt:lpstr>
      <vt:lpstr>v_12_SNH2OH</vt:lpstr>
      <vt:lpstr>v_12_SNHx</vt:lpstr>
      <vt:lpstr>v_12_SNO_AOB</vt:lpstr>
      <vt:lpstr>v_12_SNO_OHO</vt:lpstr>
      <vt:lpstr>v_12_SNO2</vt:lpstr>
      <vt:lpstr>v_12_SNO3</vt:lpstr>
      <vt:lpstr>v_12_SO2</vt:lpstr>
      <vt:lpstr>v_12_SORPswitch</vt:lpstr>
      <vt:lpstr>v_12_SP_B</vt:lpstr>
      <vt:lpstr>v_12_SPFOA</vt:lpstr>
      <vt:lpstr>v_12_SPFOS</vt:lpstr>
      <vt:lpstr>v_12_SPO4</vt:lpstr>
      <vt:lpstr>v_12_SU</vt:lpstr>
      <vt:lpstr>v_12_SVFA</vt:lpstr>
      <vt:lpstr>v_12_XACP</vt:lpstr>
      <vt:lpstr>v_12_XALGAE</vt:lpstr>
      <vt:lpstr>v_12_XAMETO</vt:lpstr>
      <vt:lpstr>v_12_XAMX</vt:lpstr>
      <vt:lpstr>v_12_XAOB</vt:lpstr>
      <vt:lpstr>v_12_XB</vt:lpstr>
      <vt:lpstr>v_12_XB_e</vt:lpstr>
      <vt:lpstr>v_12_XBSH</vt:lpstr>
      <vt:lpstr>v_12_XCaCO3</vt:lpstr>
      <vt:lpstr>v_12_XCASTO</vt:lpstr>
      <vt:lpstr>v_12_XE</vt:lpstr>
      <vt:lpstr>v_12_XE_ana</vt:lpstr>
      <vt:lpstr>v_12_XHAO_H</vt:lpstr>
      <vt:lpstr>v_12_XHAO_H_P</vt:lpstr>
      <vt:lpstr>v_12_XHAO_H_P_old</vt:lpstr>
      <vt:lpstr>v_12_XHAO_L</vt:lpstr>
      <vt:lpstr>v_12_XHAO_L_P</vt:lpstr>
      <vt:lpstr>v_12_XHAO_L_P_old</vt:lpstr>
      <vt:lpstr>v_12_XHAO_old</vt:lpstr>
      <vt:lpstr>v_12_XHFO_H</vt:lpstr>
      <vt:lpstr>v_12_XHFO_H_P</vt:lpstr>
      <vt:lpstr>v_12_XHFO_H_P_old</vt:lpstr>
      <vt:lpstr>v_12_XHFO_L</vt:lpstr>
      <vt:lpstr>v_12_XHFO_L_P</vt:lpstr>
      <vt:lpstr>v_12_XHFO_L_P_old</vt:lpstr>
      <vt:lpstr>v_12_XHFO_old</vt:lpstr>
      <vt:lpstr>v_12_XHMETO</vt:lpstr>
      <vt:lpstr>v_12_XINORG</vt:lpstr>
      <vt:lpstr>v_12_XMEOLO</vt:lpstr>
      <vt:lpstr>v_12_XN_B</vt:lpstr>
      <vt:lpstr>v_12_XN_Be</vt:lpstr>
      <vt:lpstr>v_12_XN_U</vt:lpstr>
      <vt:lpstr>v_12_XNOB</vt:lpstr>
      <vt:lpstr>v_12_XOHO</vt:lpstr>
      <vt:lpstr>v_12_XP_B</vt:lpstr>
      <vt:lpstr>v_12_XP_Be</vt:lpstr>
      <vt:lpstr>v_12_XP_U</vt:lpstr>
      <vt:lpstr>v_12_XPFOA</vt:lpstr>
      <vt:lpstr>v_12_XPFOS</vt:lpstr>
      <vt:lpstr>v_12_XPHA_GAO</vt:lpstr>
      <vt:lpstr>v_12_XPHA_PAO</vt:lpstr>
      <vt:lpstr>v_12_XPP</vt:lpstr>
      <vt:lpstr>v_12_XSTR</vt:lpstr>
      <vt:lpstr>v_12_XU</vt:lpstr>
      <vt:lpstr>v_12_XVivi</vt:lpstr>
      <vt:lpstr>v_120_CB</vt:lpstr>
      <vt:lpstr>v_120_CU</vt:lpstr>
      <vt:lpstr>v_120_GCH4</vt:lpstr>
      <vt:lpstr>v_120_GCH4_atm</vt:lpstr>
      <vt:lpstr>v_120_GCO2</vt:lpstr>
      <vt:lpstr>v_120_GCO2_atm</vt:lpstr>
      <vt:lpstr>v_120_GH2</vt:lpstr>
      <vt:lpstr>v_120_GH2_atm</vt:lpstr>
      <vt:lpstr>v_120_GN2</vt:lpstr>
      <vt:lpstr>v_120_GN2_atm</vt:lpstr>
      <vt:lpstr>v_120_GN2O</vt:lpstr>
      <vt:lpstr>v_120_GN2O_atm</vt:lpstr>
      <vt:lpstr>v_120_GNH3</vt:lpstr>
      <vt:lpstr>v_120_GNH3_atm</vt:lpstr>
      <vt:lpstr>v_120_GNO</vt:lpstr>
      <vt:lpstr>v_120_GNO_atm</vt:lpstr>
      <vt:lpstr>v_120_GO2</vt:lpstr>
      <vt:lpstr>v_120_GO2_atm</vt:lpstr>
      <vt:lpstr>v_120_SALPHA</vt:lpstr>
      <vt:lpstr>v_120_SAN</vt:lpstr>
      <vt:lpstr>v_120_SB</vt:lpstr>
      <vt:lpstr>v_120_SCa</vt:lpstr>
      <vt:lpstr>v_120_SCAT</vt:lpstr>
      <vt:lpstr>v_120_SCH4</vt:lpstr>
      <vt:lpstr>v_120_SCO2</vt:lpstr>
      <vt:lpstr>v_120_SFe2</vt:lpstr>
      <vt:lpstr>v_120_SH</vt:lpstr>
      <vt:lpstr>v_120_SH2</vt:lpstr>
      <vt:lpstr>v_120_SK</vt:lpstr>
      <vt:lpstr>v_120_SMEOL</vt:lpstr>
      <vt:lpstr>v_120_SMg</vt:lpstr>
      <vt:lpstr>v_120_SN_B</vt:lpstr>
      <vt:lpstr>v_120_SN2</vt:lpstr>
      <vt:lpstr>v_120_SN2O</vt:lpstr>
      <vt:lpstr>v_120_SNH2OH</vt:lpstr>
      <vt:lpstr>v_120_SNHx</vt:lpstr>
      <vt:lpstr>v_120_SNO_AOB</vt:lpstr>
      <vt:lpstr>v_120_SNO_OHO</vt:lpstr>
      <vt:lpstr>v_120_SNO2</vt:lpstr>
      <vt:lpstr>v_120_SNO3</vt:lpstr>
      <vt:lpstr>v_120_SO2</vt:lpstr>
      <vt:lpstr>v_120_SORPswitch</vt:lpstr>
      <vt:lpstr>v_120_SP_B</vt:lpstr>
      <vt:lpstr>v_120_SPFOA</vt:lpstr>
      <vt:lpstr>v_120_SPFOS</vt:lpstr>
      <vt:lpstr>v_120_SPO4</vt:lpstr>
      <vt:lpstr>v_120_SU</vt:lpstr>
      <vt:lpstr>v_120_SVFA</vt:lpstr>
      <vt:lpstr>v_120_XACP</vt:lpstr>
      <vt:lpstr>v_120_XALGAE</vt:lpstr>
      <vt:lpstr>v_120_XAMETO</vt:lpstr>
      <vt:lpstr>v_120_XAMX</vt:lpstr>
      <vt:lpstr>v_120_XAOB</vt:lpstr>
      <vt:lpstr>v_120_XB</vt:lpstr>
      <vt:lpstr>v_120_XB_e</vt:lpstr>
      <vt:lpstr>v_120_XBSH</vt:lpstr>
      <vt:lpstr>v_120_XCaCO3</vt:lpstr>
      <vt:lpstr>v_120_XCASTO</vt:lpstr>
      <vt:lpstr>v_120_XE</vt:lpstr>
      <vt:lpstr>v_120_XE_ana</vt:lpstr>
      <vt:lpstr>v_120_XHAO_H</vt:lpstr>
      <vt:lpstr>v_120_XHAO_H_P</vt:lpstr>
      <vt:lpstr>v_120_XHAO_H_P_old</vt:lpstr>
      <vt:lpstr>v_120_XHAO_L</vt:lpstr>
      <vt:lpstr>v_120_XHAO_L_P</vt:lpstr>
      <vt:lpstr>v_120_XHAO_L_P_old</vt:lpstr>
      <vt:lpstr>v_120_XHAO_old</vt:lpstr>
      <vt:lpstr>v_120_XHFO_H</vt:lpstr>
      <vt:lpstr>v_120_XHFO_H_P</vt:lpstr>
      <vt:lpstr>v_120_XHFO_H_P_old</vt:lpstr>
      <vt:lpstr>v_120_XHFO_L</vt:lpstr>
      <vt:lpstr>v_120_XHFO_L_P</vt:lpstr>
      <vt:lpstr>v_120_XHFO_L_P_old</vt:lpstr>
      <vt:lpstr>v_120_XHFO_old</vt:lpstr>
      <vt:lpstr>v_120_XHMETO</vt:lpstr>
      <vt:lpstr>v_120_XINORG</vt:lpstr>
      <vt:lpstr>v_120_XMEOLO</vt:lpstr>
      <vt:lpstr>v_120_XN_B</vt:lpstr>
      <vt:lpstr>v_120_XN_Be</vt:lpstr>
      <vt:lpstr>v_120_XN_U</vt:lpstr>
      <vt:lpstr>v_120_XNOB</vt:lpstr>
      <vt:lpstr>v_120_XOHO</vt:lpstr>
      <vt:lpstr>v_120_XP_B</vt:lpstr>
      <vt:lpstr>v_120_XP_Be</vt:lpstr>
      <vt:lpstr>v_120_XP_U</vt:lpstr>
      <vt:lpstr>v_120_XPFOA</vt:lpstr>
      <vt:lpstr>v_120_XPFOS</vt:lpstr>
      <vt:lpstr>v_120_XPHA_GAO</vt:lpstr>
      <vt:lpstr>v_120_XPHA_PAO</vt:lpstr>
      <vt:lpstr>v_120_XPP</vt:lpstr>
      <vt:lpstr>v_120_XSTR</vt:lpstr>
      <vt:lpstr>v_120_XU</vt:lpstr>
      <vt:lpstr>v_120_XVivi</vt:lpstr>
      <vt:lpstr>v_13_CB</vt:lpstr>
      <vt:lpstr>v_13_CU</vt:lpstr>
      <vt:lpstr>v_13_GCH4</vt:lpstr>
      <vt:lpstr>v_13_GCH4_atm</vt:lpstr>
      <vt:lpstr>v_13_GCO2</vt:lpstr>
      <vt:lpstr>v_13_GCO2_atm</vt:lpstr>
      <vt:lpstr>v_13_GH2</vt:lpstr>
      <vt:lpstr>v_13_GH2_atm</vt:lpstr>
      <vt:lpstr>v_13_GN2</vt:lpstr>
      <vt:lpstr>v_13_GN2_atm</vt:lpstr>
      <vt:lpstr>v_13_GN2O</vt:lpstr>
      <vt:lpstr>v_13_GN2O_atm</vt:lpstr>
      <vt:lpstr>v_13_GNH3</vt:lpstr>
      <vt:lpstr>v_13_GNH3_atm</vt:lpstr>
      <vt:lpstr>v_13_GNO</vt:lpstr>
      <vt:lpstr>v_13_GNO_atm</vt:lpstr>
      <vt:lpstr>v_13_GO2</vt:lpstr>
      <vt:lpstr>v_13_GO2_atm</vt:lpstr>
      <vt:lpstr>v_13_SALPHA</vt:lpstr>
      <vt:lpstr>v_13_SAN</vt:lpstr>
      <vt:lpstr>v_13_SB</vt:lpstr>
      <vt:lpstr>v_13_SCa</vt:lpstr>
      <vt:lpstr>v_13_SCAT</vt:lpstr>
      <vt:lpstr>v_13_SCH4</vt:lpstr>
      <vt:lpstr>v_13_SCO2</vt:lpstr>
      <vt:lpstr>v_13_SFe2</vt:lpstr>
      <vt:lpstr>v_13_SH</vt:lpstr>
      <vt:lpstr>v_13_SH2</vt:lpstr>
      <vt:lpstr>v_13_SK</vt:lpstr>
      <vt:lpstr>v_13_SMEOL</vt:lpstr>
      <vt:lpstr>v_13_SMg</vt:lpstr>
      <vt:lpstr>v_13_SN_B</vt:lpstr>
      <vt:lpstr>v_13_SN2</vt:lpstr>
      <vt:lpstr>v_13_SN2O</vt:lpstr>
      <vt:lpstr>v_13_SNH2OH</vt:lpstr>
      <vt:lpstr>v_13_SNHx</vt:lpstr>
      <vt:lpstr>v_13_SNO_AOB</vt:lpstr>
      <vt:lpstr>v_13_SNO_OHO</vt:lpstr>
      <vt:lpstr>v_13_SNO2</vt:lpstr>
      <vt:lpstr>v_13_SNO3</vt:lpstr>
      <vt:lpstr>v_13_SO2</vt:lpstr>
      <vt:lpstr>v_13_SORPswitch</vt:lpstr>
      <vt:lpstr>v_13_SP_B</vt:lpstr>
      <vt:lpstr>v_13_SPFOA</vt:lpstr>
      <vt:lpstr>v_13_SPFOS</vt:lpstr>
      <vt:lpstr>v_13_SPO4</vt:lpstr>
      <vt:lpstr>v_13_SU</vt:lpstr>
      <vt:lpstr>v_13_SVFA</vt:lpstr>
      <vt:lpstr>v_13_XACP</vt:lpstr>
      <vt:lpstr>v_13_XALGAE</vt:lpstr>
      <vt:lpstr>v_13_XAMETO</vt:lpstr>
      <vt:lpstr>v_13_XAMX</vt:lpstr>
      <vt:lpstr>v_13_XAOB</vt:lpstr>
      <vt:lpstr>v_13_XB</vt:lpstr>
      <vt:lpstr>v_13_XB_e</vt:lpstr>
      <vt:lpstr>v_13_XBSH</vt:lpstr>
      <vt:lpstr>v_13_XCaCO3</vt:lpstr>
      <vt:lpstr>v_13_XCASTO</vt:lpstr>
      <vt:lpstr>v_13_XE</vt:lpstr>
      <vt:lpstr>v_13_XE_ana</vt:lpstr>
      <vt:lpstr>v_13_XHAO_H</vt:lpstr>
      <vt:lpstr>v_13_XHAO_H_P</vt:lpstr>
      <vt:lpstr>v_13_XHAO_H_P_old</vt:lpstr>
      <vt:lpstr>v_13_XHAO_L</vt:lpstr>
      <vt:lpstr>v_13_XHAO_L_P</vt:lpstr>
      <vt:lpstr>v_13_XHAO_L_P_old</vt:lpstr>
      <vt:lpstr>v_13_XHAO_old</vt:lpstr>
      <vt:lpstr>v_13_XHFO_H</vt:lpstr>
      <vt:lpstr>v_13_XHFO_H_P</vt:lpstr>
      <vt:lpstr>v_13_XHFO_H_P_old</vt:lpstr>
      <vt:lpstr>v_13_XHFO_L</vt:lpstr>
      <vt:lpstr>v_13_XHFO_L_P</vt:lpstr>
      <vt:lpstr>v_13_XHFO_L_P_old</vt:lpstr>
      <vt:lpstr>v_13_XHFO_old</vt:lpstr>
      <vt:lpstr>v_13_XHMETO</vt:lpstr>
      <vt:lpstr>v_13_XINORG</vt:lpstr>
      <vt:lpstr>v_13_XMEOLO</vt:lpstr>
      <vt:lpstr>v_13_XN_B</vt:lpstr>
      <vt:lpstr>v_13_XN_Be</vt:lpstr>
      <vt:lpstr>v_13_XN_U</vt:lpstr>
      <vt:lpstr>v_13_XNOB</vt:lpstr>
      <vt:lpstr>v_13_XOHO</vt:lpstr>
      <vt:lpstr>v_13_XP_B</vt:lpstr>
      <vt:lpstr>v_13_XP_Be</vt:lpstr>
      <vt:lpstr>v_13_XP_U</vt:lpstr>
      <vt:lpstr>v_13_XPFOA</vt:lpstr>
      <vt:lpstr>v_13_XPFOS</vt:lpstr>
      <vt:lpstr>v_13_XPHA_GAO</vt:lpstr>
      <vt:lpstr>v_13_XPHA_PAO</vt:lpstr>
      <vt:lpstr>v_13_XPP</vt:lpstr>
      <vt:lpstr>v_13_XSTR</vt:lpstr>
      <vt:lpstr>v_13_XU</vt:lpstr>
      <vt:lpstr>v_13_XVivi</vt:lpstr>
      <vt:lpstr>v_14_CB</vt:lpstr>
      <vt:lpstr>v_14_CU</vt:lpstr>
      <vt:lpstr>v_14_GCH4</vt:lpstr>
      <vt:lpstr>v_14_GCH4_atm</vt:lpstr>
      <vt:lpstr>v_14_GCO2</vt:lpstr>
      <vt:lpstr>v_14_GCO2_atm</vt:lpstr>
      <vt:lpstr>v_14_GH2</vt:lpstr>
      <vt:lpstr>v_14_GH2_atm</vt:lpstr>
      <vt:lpstr>v_14_GN2</vt:lpstr>
      <vt:lpstr>v_14_GN2_atm</vt:lpstr>
      <vt:lpstr>v_14_GN2O</vt:lpstr>
      <vt:lpstr>v_14_GN2O_atm</vt:lpstr>
      <vt:lpstr>v_14_GNH3</vt:lpstr>
      <vt:lpstr>v_14_GNH3_atm</vt:lpstr>
      <vt:lpstr>v_14_GNO</vt:lpstr>
      <vt:lpstr>v_14_GNO_atm</vt:lpstr>
      <vt:lpstr>v_14_GO2</vt:lpstr>
      <vt:lpstr>v_14_GO2_atm</vt:lpstr>
      <vt:lpstr>v_14_SALPHA</vt:lpstr>
      <vt:lpstr>v_14_SAN</vt:lpstr>
      <vt:lpstr>v_14_SB</vt:lpstr>
      <vt:lpstr>v_14_SCa</vt:lpstr>
      <vt:lpstr>v_14_SCAT</vt:lpstr>
      <vt:lpstr>v_14_SCH4</vt:lpstr>
      <vt:lpstr>v_14_SCO2</vt:lpstr>
      <vt:lpstr>v_14_SFe2</vt:lpstr>
      <vt:lpstr>v_14_SH</vt:lpstr>
      <vt:lpstr>v_14_SH2</vt:lpstr>
      <vt:lpstr>v_14_SK</vt:lpstr>
      <vt:lpstr>v_14_SMEOL</vt:lpstr>
      <vt:lpstr>v_14_SMg</vt:lpstr>
      <vt:lpstr>v_14_SN_B</vt:lpstr>
      <vt:lpstr>v_14_SN2</vt:lpstr>
      <vt:lpstr>v_14_SN2O</vt:lpstr>
      <vt:lpstr>v_14_SNH2OH</vt:lpstr>
      <vt:lpstr>v_14_SNHx</vt:lpstr>
      <vt:lpstr>v_14_SNO_AOB</vt:lpstr>
      <vt:lpstr>v_14_SNO_OHO</vt:lpstr>
      <vt:lpstr>v_14_SNO2</vt:lpstr>
      <vt:lpstr>v_14_SNO3</vt:lpstr>
      <vt:lpstr>v_14_SO2</vt:lpstr>
      <vt:lpstr>v_14_SORPswitch</vt:lpstr>
      <vt:lpstr>v_14_SP_B</vt:lpstr>
      <vt:lpstr>v_14_SPFOA</vt:lpstr>
      <vt:lpstr>v_14_SPFOS</vt:lpstr>
      <vt:lpstr>v_14_SPO4</vt:lpstr>
      <vt:lpstr>v_14_SU</vt:lpstr>
      <vt:lpstr>v_14_SVFA</vt:lpstr>
      <vt:lpstr>v_14_XACP</vt:lpstr>
      <vt:lpstr>v_14_XALGAE</vt:lpstr>
      <vt:lpstr>v_14_XAMETO</vt:lpstr>
      <vt:lpstr>v_14_XAMX</vt:lpstr>
      <vt:lpstr>v_14_XAOB</vt:lpstr>
      <vt:lpstr>v_14_XB</vt:lpstr>
      <vt:lpstr>v_14_XB_e</vt:lpstr>
      <vt:lpstr>v_14_XBSH</vt:lpstr>
      <vt:lpstr>v_14_XCaCO3</vt:lpstr>
      <vt:lpstr>v_14_XCASTO</vt:lpstr>
      <vt:lpstr>v_14_XE</vt:lpstr>
      <vt:lpstr>v_14_XE_ana</vt:lpstr>
      <vt:lpstr>v_14_XHAO_H</vt:lpstr>
      <vt:lpstr>v_14_XHAO_H_P</vt:lpstr>
      <vt:lpstr>v_14_XHAO_H_P_old</vt:lpstr>
      <vt:lpstr>v_14_XHAO_L</vt:lpstr>
      <vt:lpstr>v_14_XHAO_L_P</vt:lpstr>
      <vt:lpstr>v_14_XHAO_L_P_old</vt:lpstr>
      <vt:lpstr>v_14_XHAO_old</vt:lpstr>
      <vt:lpstr>v_14_XHFO_H</vt:lpstr>
      <vt:lpstr>v_14_XHFO_H_P</vt:lpstr>
      <vt:lpstr>v_14_XHFO_H_P_old</vt:lpstr>
      <vt:lpstr>v_14_XHFO_L</vt:lpstr>
      <vt:lpstr>v_14_XHFO_L_P</vt:lpstr>
      <vt:lpstr>v_14_XHFO_L_P_old</vt:lpstr>
      <vt:lpstr>v_14_XHFO_old</vt:lpstr>
      <vt:lpstr>v_14_XHMETO</vt:lpstr>
      <vt:lpstr>v_14_XINORG</vt:lpstr>
      <vt:lpstr>v_14_XMEOLO</vt:lpstr>
      <vt:lpstr>v_14_XN_B</vt:lpstr>
      <vt:lpstr>v_14_XN_Be</vt:lpstr>
      <vt:lpstr>v_14_XN_U</vt:lpstr>
      <vt:lpstr>v_14_XNOB</vt:lpstr>
      <vt:lpstr>v_14_XOHO</vt:lpstr>
      <vt:lpstr>v_14_XP_B</vt:lpstr>
      <vt:lpstr>v_14_XP_Be</vt:lpstr>
      <vt:lpstr>v_14_XP_U</vt:lpstr>
      <vt:lpstr>v_14_XPFOA</vt:lpstr>
      <vt:lpstr>v_14_XPFOS</vt:lpstr>
      <vt:lpstr>v_14_XPHA_GAO</vt:lpstr>
      <vt:lpstr>v_14_XPHA_PAO</vt:lpstr>
      <vt:lpstr>v_14_XPP</vt:lpstr>
      <vt:lpstr>v_14_XSTR</vt:lpstr>
      <vt:lpstr>v_14_XU</vt:lpstr>
      <vt:lpstr>v_14_XVivi</vt:lpstr>
      <vt:lpstr>v_15_CB</vt:lpstr>
      <vt:lpstr>v_15_CU</vt:lpstr>
      <vt:lpstr>v_15_GCH4</vt:lpstr>
      <vt:lpstr>v_15_GCH4_atm</vt:lpstr>
      <vt:lpstr>v_15_GCO2</vt:lpstr>
      <vt:lpstr>v_15_GCO2_atm</vt:lpstr>
      <vt:lpstr>v_15_GH2</vt:lpstr>
      <vt:lpstr>v_15_GH2_atm</vt:lpstr>
      <vt:lpstr>v_15_GN2</vt:lpstr>
      <vt:lpstr>v_15_GN2_atm</vt:lpstr>
      <vt:lpstr>v_15_GN2O</vt:lpstr>
      <vt:lpstr>v_15_GN2O_atm</vt:lpstr>
      <vt:lpstr>v_15_GNH3</vt:lpstr>
      <vt:lpstr>v_15_GNH3_atm</vt:lpstr>
      <vt:lpstr>v_15_GNO</vt:lpstr>
      <vt:lpstr>v_15_GNO_atm</vt:lpstr>
      <vt:lpstr>v_15_GO2</vt:lpstr>
      <vt:lpstr>v_15_GO2_atm</vt:lpstr>
      <vt:lpstr>v_15_SALPHA</vt:lpstr>
      <vt:lpstr>v_15_SAN</vt:lpstr>
      <vt:lpstr>v_15_SB</vt:lpstr>
      <vt:lpstr>v_15_SCa</vt:lpstr>
      <vt:lpstr>v_15_SCAT</vt:lpstr>
      <vt:lpstr>v_15_SCH4</vt:lpstr>
      <vt:lpstr>v_15_SCO2</vt:lpstr>
      <vt:lpstr>v_15_SFe2</vt:lpstr>
      <vt:lpstr>v_15_SH</vt:lpstr>
      <vt:lpstr>v_15_SH2</vt:lpstr>
      <vt:lpstr>v_15_SK</vt:lpstr>
      <vt:lpstr>v_15_SMEOL</vt:lpstr>
      <vt:lpstr>v_15_SMg</vt:lpstr>
      <vt:lpstr>v_15_SN_B</vt:lpstr>
      <vt:lpstr>v_15_SN2</vt:lpstr>
      <vt:lpstr>v_15_SN2O</vt:lpstr>
      <vt:lpstr>v_15_SNH2OH</vt:lpstr>
      <vt:lpstr>v_15_SNHx</vt:lpstr>
      <vt:lpstr>v_15_SNO_AOB</vt:lpstr>
      <vt:lpstr>v_15_SNO_OHO</vt:lpstr>
      <vt:lpstr>v_15_SNO2</vt:lpstr>
      <vt:lpstr>v_15_SNO3</vt:lpstr>
      <vt:lpstr>v_15_SO2</vt:lpstr>
      <vt:lpstr>v_15_SORPswitch</vt:lpstr>
      <vt:lpstr>v_15_SP_B</vt:lpstr>
      <vt:lpstr>v_15_SPFOA</vt:lpstr>
      <vt:lpstr>v_15_SPFOS</vt:lpstr>
      <vt:lpstr>v_15_SPO4</vt:lpstr>
      <vt:lpstr>v_15_SU</vt:lpstr>
      <vt:lpstr>v_15_SVFA</vt:lpstr>
      <vt:lpstr>v_15_XACP</vt:lpstr>
      <vt:lpstr>v_15_XALGAE</vt:lpstr>
      <vt:lpstr>v_15_XAMETO</vt:lpstr>
      <vt:lpstr>v_15_XAMX</vt:lpstr>
      <vt:lpstr>v_15_XAOB</vt:lpstr>
      <vt:lpstr>v_15_XB</vt:lpstr>
      <vt:lpstr>v_15_XB_e</vt:lpstr>
      <vt:lpstr>v_15_XBSH</vt:lpstr>
      <vt:lpstr>v_15_XCaCO3</vt:lpstr>
      <vt:lpstr>v_15_XCASTO</vt:lpstr>
      <vt:lpstr>v_15_XE</vt:lpstr>
      <vt:lpstr>v_15_XE_ana</vt:lpstr>
      <vt:lpstr>v_15_XHAO_H</vt:lpstr>
      <vt:lpstr>v_15_XHAO_H_P</vt:lpstr>
      <vt:lpstr>v_15_XHAO_H_P_old</vt:lpstr>
      <vt:lpstr>v_15_XHAO_L</vt:lpstr>
      <vt:lpstr>v_15_XHAO_L_P</vt:lpstr>
      <vt:lpstr>v_15_XHAO_L_P_old</vt:lpstr>
      <vt:lpstr>v_15_XHAO_old</vt:lpstr>
      <vt:lpstr>v_15_XHFO_H</vt:lpstr>
      <vt:lpstr>v_15_XHFO_H_P</vt:lpstr>
      <vt:lpstr>v_15_XHFO_H_P_old</vt:lpstr>
      <vt:lpstr>v_15_XHFO_L</vt:lpstr>
      <vt:lpstr>v_15_XHFO_L_P</vt:lpstr>
      <vt:lpstr>v_15_XHFO_L_P_old</vt:lpstr>
      <vt:lpstr>v_15_XHFO_old</vt:lpstr>
      <vt:lpstr>v_15_XHMETO</vt:lpstr>
      <vt:lpstr>v_15_XINORG</vt:lpstr>
      <vt:lpstr>v_15_XMEOLO</vt:lpstr>
      <vt:lpstr>v_15_XN_B</vt:lpstr>
      <vt:lpstr>v_15_XN_Be</vt:lpstr>
      <vt:lpstr>v_15_XN_U</vt:lpstr>
      <vt:lpstr>v_15_XNOB</vt:lpstr>
      <vt:lpstr>v_15_XOHO</vt:lpstr>
      <vt:lpstr>v_15_XP_B</vt:lpstr>
      <vt:lpstr>v_15_XP_Be</vt:lpstr>
      <vt:lpstr>v_15_XP_U</vt:lpstr>
      <vt:lpstr>v_15_XPFOA</vt:lpstr>
      <vt:lpstr>v_15_XPFOS</vt:lpstr>
      <vt:lpstr>v_15_XPHA_GAO</vt:lpstr>
      <vt:lpstr>v_15_XPHA_PAO</vt:lpstr>
      <vt:lpstr>v_15_XPP</vt:lpstr>
      <vt:lpstr>v_15_XSTR</vt:lpstr>
      <vt:lpstr>v_15_XU</vt:lpstr>
      <vt:lpstr>v_15_XVivi</vt:lpstr>
      <vt:lpstr>v_16_CB</vt:lpstr>
      <vt:lpstr>v_16_CU</vt:lpstr>
      <vt:lpstr>v_16_GCH4</vt:lpstr>
      <vt:lpstr>v_16_GCH4_atm</vt:lpstr>
      <vt:lpstr>v_16_GCO2</vt:lpstr>
      <vt:lpstr>v_16_GCO2_atm</vt:lpstr>
      <vt:lpstr>v_16_GH2</vt:lpstr>
      <vt:lpstr>v_16_GH2_atm</vt:lpstr>
      <vt:lpstr>v_16_GN2</vt:lpstr>
      <vt:lpstr>v_16_GN2_atm</vt:lpstr>
      <vt:lpstr>v_16_GN2O</vt:lpstr>
      <vt:lpstr>v_16_GN2O_atm</vt:lpstr>
      <vt:lpstr>v_16_GNH3</vt:lpstr>
      <vt:lpstr>v_16_GNH3_atm</vt:lpstr>
      <vt:lpstr>v_16_GNO</vt:lpstr>
      <vt:lpstr>v_16_GNO_atm</vt:lpstr>
      <vt:lpstr>v_16_GO2</vt:lpstr>
      <vt:lpstr>v_16_GO2_atm</vt:lpstr>
      <vt:lpstr>v_16_SALPHA</vt:lpstr>
      <vt:lpstr>v_16_SAN</vt:lpstr>
      <vt:lpstr>v_16_SB</vt:lpstr>
      <vt:lpstr>v_16_SCa</vt:lpstr>
      <vt:lpstr>v_16_SCAT</vt:lpstr>
      <vt:lpstr>v_16_SCH4</vt:lpstr>
      <vt:lpstr>v_16_SCO2</vt:lpstr>
      <vt:lpstr>v_16_SFe2</vt:lpstr>
      <vt:lpstr>v_16_SH</vt:lpstr>
      <vt:lpstr>v_16_SH2</vt:lpstr>
      <vt:lpstr>v_16_SK</vt:lpstr>
      <vt:lpstr>v_16_SMEOL</vt:lpstr>
      <vt:lpstr>v_16_SMg</vt:lpstr>
      <vt:lpstr>v_16_SN_B</vt:lpstr>
      <vt:lpstr>v_16_SN2</vt:lpstr>
      <vt:lpstr>v_16_SN2O</vt:lpstr>
      <vt:lpstr>v_16_SNH2OH</vt:lpstr>
      <vt:lpstr>v_16_SNHx</vt:lpstr>
      <vt:lpstr>v_16_SNO_AOB</vt:lpstr>
      <vt:lpstr>v_16_SNO_OHO</vt:lpstr>
      <vt:lpstr>v_16_SNO2</vt:lpstr>
      <vt:lpstr>v_16_SNO3</vt:lpstr>
      <vt:lpstr>v_16_SO2</vt:lpstr>
      <vt:lpstr>v_16_SORPswitch</vt:lpstr>
      <vt:lpstr>v_16_SP_B</vt:lpstr>
      <vt:lpstr>v_16_SPFOA</vt:lpstr>
      <vt:lpstr>v_16_SPFOS</vt:lpstr>
      <vt:lpstr>v_16_SPO4</vt:lpstr>
      <vt:lpstr>v_16_SU</vt:lpstr>
      <vt:lpstr>v_16_SVFA</vt:lpstr>
      <vt:lpstr>v_16_XACP</vt:lpstr>
      <vt:lpstr>v_16_XALGAE</vt:lpstr>
      <vt:lpstr>v_16_XAMETO</vt:lpstr>
      <vt:lpstr>v_16_XAMX</vt:lpstr>
      <vt:lpstr>v_16_XAOB</vt:lpstr>
      <vt:lpstr>v_16_XB</vt:lpstr>
      <vt:lpstr>v_16_XB_e</vt:lpstr>
      <vt:lpstr>v_16_XBSH</vt:lpstr>
      <vt:lpstr>v_16_XCaCO3</vt:lpstr>
      <vt:lpstr>v_16_XCASTO</vt:lpstr>
      <vt:lpstr>v_16_XE</vt:lpstr>
      <vt:lpstr>v_16_XE_ana</vt:lpstr>
      <vt:lpstr>v_16_XHAO_H</vt:lpstr>
      <vt:lpstr>v_16_XHAO_H_P</vt:lpstr>
      <vt:lpstr>v_16_XHAO_H_P_old</vt:lpstr>
      <vt:lpstr>v_16_XHAO_L</vt:lpstr>
      <vt:lpstr>v_16_XHAO_L_P</vt:lpstr>
      <vt:lpstr>v_16_XHAO_L_P_old</vt:lpstr>
      <vt:lpstr>v_16_XHAO_old</vt:lpstr>
      <vt:lpstr>v_16_XHFO_H</vt:lpstr>
      <vt:lpstr>v_16_XHFO_H_P</vt:lpstr>
      <vt:lpstr>v_16_XHFO_H_P_old</vt:lpstr>
      <vt:lpstr>v_16_XHFO_L</vt:lpstr>
      <vt:lpstr>v_16_XHFO_L_P</vt:lpstr>
      <vt:lpstr>v_16_XHFO_L_P_old</vt:lpstr>
      <vt:lpstr>v_16_XHFO_old</vt:lpstr>
      <vt:lpstr>v_16_XHMETO</vt:lpstr>
      <vt:lpstr>v_16_XINORG</vt:lpstr>
      <vt:lpstr>v_16_XMEOLO</vt:lpstr>
      <vt:lpstr>v_16_XN_B</vt:lpstr>
      <vt:lpstr>v_16_XN_Be</vt:lpstr>
      <vt:lpstr>v_16_XN_U</vt:lpstr>
      <vt:lpstr>v_16_XNOB</vt:lpstr>
      <vt:lpstr>v_16_XOHO</vt:lpstr>
      <vt:lpstr>v_16_XP_B</vt:lpstr>
      <vt:lpstr>v_16_XP_Be</vt:lpstr>
      <vt:lpstr>v_16_XP_U</vt:lpstr>
      <vt:lpstr>v_16_XPFOA</vt:lpstr>
      <vt:lpstr>v_16_XPFOS</vt:lpstr>
      <vt:lpstr>v_16_XPHA_GAO</vt:lpstr>
      <vt:lpstr>v_16_XPHA_PAO</vt:lpstr>
      <vt:lpstr>v_16_XPP</vt:lpstr>
      <vt:lpstr>v_16_XSTR</vt:lpstr>
      <vt:lpstr>v_16_XU</vt:lpstr>
      <vt:lpstr>v_16_XVivi</vt:lpstr>
      <vt:lpstr>v_17_CB</vt:lpstr>
      <vt:lpstr>v_17_CU</vt:lpstr>
      <vt:lpstr>v_17_GCH4</vt:lpstr>
      <vt:lpstr>v_17_GCH4_atm</vt:lpstr>
      <vt:lpstr>v_17_GCO2</vt:lpstr>
      <vt:lpstr>v_17_GCO2_atm</vt:lpstr>
      <vt:lpstr>v_17_GH2</vt:lpstr>
      <vt:lpstr>v_17_GH2_atm</vt:lpstr>
      <vt:lpstr>v_17_GN2</vt:lpstr>
      <vt:lpstr>v_17_GN2_atm</vt:lpstr>
      <vt:lpstr>v_17_GN2O</vt:lpstr>
      <vt:lpstr>v_17_GN2O_atm</vt:lpstr>
      <vt:lpstr>v_17_GNH3</vt:lpstr>
      <vt:lpstr>v_17_GNH3_atm</vt:lpstr>
      <vt:lpstr>v_17_GNO</vt:lpstr>
      <vt:lpstr>v_17_GNO_atm</vt:lpstr>
      <vt:lpstr>v_17_GO2</vt:lpstr>
      <vt:lpstr>v_17_GO2_atm</vt:lpstr>
      <vt:lpstr>v_17_SALPHA</vt:lpstr>
      <vt:lpstr>v_17_SAN</vt:lpstr>
      <vt:lpstr>v_17_SB</vt:lpstr>
      <vt:lpstr>v_17_SCa</vt:lpstr>
      <vt:lpstr>v_17_SCAT</vt:lpstr>
      <vt:lpstr>v_17_SCH4</vt:lpstr>
      <vt:lpstr>v_17_SCO2</vt:lpstr>
      <vt:lpstr>v_17_SFe2</vt:lpstr>
      <vt:lpstr>v_17_SH</vt:lpstr>
      <vt:lpstr>v_17_SH2</vt:lpstr>
      <vt:lpstr>v_17_SK</vt:lpstr>
      <vt:lpstr>v_17_SMEOL</vt:lpstr>
      <vt:lpstr>v_17_SMg</vt:lpstr>
      <vt:lpstr>v_17_SN_B</vt:lpstr>
      <vt:lpstr>v_17_SN2</vt:lpstr>
      <vt:lpstr>v_17_SN2O</vt:lpstr>
      <vt:lpstr>v_17_SNH2OH</vt:lpstr>
      <vt:lpstr>v_17_SNHx</vt:lpstr>
      <vt:lpstr>v_17_SNO_AOB</vt:lpstr>
      <vt:lpstr>v_17_SNO_OHO</vt:lpstr>
      <vt:lpstr>v_17_SNO2</vt:lpstr>
      <vt:lpstr>v_17_SNO3</vt:lpstr>
      <vt:lpstr>v_17_SO2</vt:lpstr>
      <vt:lpstr>v_17_SORPswitch</vt:lpstr>
      <vt:lpstr>v_17_SP_B</vt:lpstr>
      <vt:lpstr>v_17_SPFOA</vt:lpstr>
      <vt:lpstr>v_17_SPFOS</vt:lpstr>
      <vt:lpstr>v_17_SPO4</vt:lpstr>
      <vt:lpstr>v_17_SU</vt:lpstr>
      <vt:lpstr>v_17_SVFA</vt:lpstr>
      <vt:lpstr>v_17_XACP</vt:lpstr>
      <vt:lpstr>v_17_XALGAE</vt:lpstr>
      <vt:lpstr>v_17_XAMETO</vt:lpstr>
      <vt:lpstr>v_17_XAMX</vt:lpstr>
      <vt:lpstr>v_17_XAOB</vt:lpstr>
      <vt:lpstr>v_17_XB</vt:lpstr>
      <vt:lpstr>v_17_XB_e</vt:lpstr>
      <vt:lpstr>v_17_XBSH</vt:lpstr>
      <vt:lpstr>v_17_XCaCO3</vt:lpstr>
      <vt:lpstr>v_17_XCASTO</vt:lpstr>
      <vt:lpstr>v_17_XE</vt:lpstr>
      <vt:lpstr>v_17_XE_ana</vt:lpstr>
      <vt:lpstr>v_17_XHAO_H</vt:lpstr>
      <vt:lpstr>v_17_XHAO_H_P</vt:lpstr>
      <vt:lpstr>v_17_XHAO_H_P_old</vt:lpstr>
      <vt:lpstr>v_17_XHAO_L</vt:lpstr>
      <vt:lpstr>v_17_XHAO_L_P</vt:lpstr>
      <vt:lpstr>v_17_XHAO_L_P_old</vt:lpstr>
      <vt:lpstr>v_17_XHAO_old</vt:lpstr>
      <vt:lpstr>v_17_XHFO_H</vt:lpstr>
      <vt:lpstr>v_17_XHFO_H_P</vt:lpstr>
      <vt:lpstr>v_17_XHFO_H_P_old</vt:lpstr>
      <vt:lpstr>v_17_XHFO_L</vt:lpstr>
      <vt:lpstr>v_17_XHFO_L_P</vt:lpstr>
      <vt:lpstr>v_17_XHFO_L_P_old</vt:lpstr>
      <vt:lpstr>v_17_XHFO_old</vt:lpstr>
      <vt:lpstr>v_17_XHMETO</vt:lpstr>
      <vt:lpstr>v_17_XINORG</vt:lpstr>
      <vt:lpstr>v_17_XMEOLO</vt:lpstr>
      <vt:lpstr>v_17_XN_B</vt:lpstr>
      <vt:lpstr>v_17_XN_Be</vt:lpstr>
      <vt:lpstr>v_17_XN_U</vt:lpstr>
      <vt:lpstr>v_17_XNOB</vt:lpstr>
      <vt:lpstr>v_17_XOHO</vt:lpstr>
      <vt:lpstr>v_17_XP_B</vt:lpstr>
      <vt:lpstr>v_17_XP_Be</vt:lpstr>
      <vt:lpstr>v_17_XP_U</vt:lpstr>
      <vt:lpstr>v_17_XPFOA</vt:lpstr>
      <vt:lpstr>v_17_XPFOS</vt:lpstr>
      <vt:lpstr>v_17_XPHA_GAO</vt:lpstr>
      <vt:lpstr>v_17_XPHA_PAO</vt:lpstr>
      <vt:lpstr>v_17_XPP</vt:lpstr>
      <vt:lpstr>v_17_XSTR</vt:lpstr>
      <vt:lpstr>v_17_XU</vt:lpstr>
      <vt:lpstr>v_17_XVivi</vt:lpstr>
      <vt:lpstr>v_18_CB</vt:lpstr>
      <vt:lpstr>v_18_CU</vt:lpstr>
      <vt:lpstr>v_18_GCH4</vt:lpstr>
      <vt:lpstr>v_18_GCH4_atm</vt:lpstr>
      <vt:lpstr>v_18_GCO2</vt:lpstr>
      <vt:lpstr>v_18_GCO2_atm</vt:lpstr>
      <vt:lpstr>v_18_GH2</vt:lpstr>
      <vt:lpstr>v_18_GH2_atm</vt:lpstr>
      <vt:lpstr>v_18_GN2</vt:lpstr>
      <vt:lpstr>v_18_GN2_atm</vt:lpstr>
      <vt:lpstr>v_18_GN2O</vt:lpstr>
      <vt:lpstr>v_18_GN2O_atm</vt:lpstr>
      <vt:lpstr>v_18_GNH3</vt:lpstr>
      <vt:lpstr>v_18_GNH3_atm</vt:lpstr>
      <vt:lpstr>v_18_GNO</vt:lpstr>
      <vt:lpstr>v_18_GNO_atm</vt:lpstr>
      <vt:lpstr>v_18_GO2</vt:lpstr>
      <vt:lpstr>v_18_GO2_atm</vt:lpstr>
      <vt:lpstr>v_18_SALPHA</vt:lpstr>
      <vt:lpstr>v_18_SAN</vt:lpstr>
      <vt:lpstr>v_18_SB</vt:lpstr>
      <vt:lpstr>v_18_SCa</vt:lpstr>
      <vt:lpstr>v_18_SCAT</vt:lpstr>
      <vt:lpstr>v_18_SCH4</vt:lpstr>
      <vt:lpstr>v_18_SCO2</vt:lpstr>
      <vt:lpstr>v_18_SFe2</vt:lpstr>
      <vt:lpstr>v_18_SH</vt:lpstr>
      <vt:lpstr>v_18_SH2</vt:lpstr>
      <vt:lpstr>v_18_SK</vt:lpstr>
      <vt:lpstr>v_18_SMEOL</vt:lpstr>
      <vt:lpstr>v_18_SMg</vt:lpstr>
      <vt:lpstr>v_18_SN_B</vt:lpstr>
      <vt:lpstr>v_18_SN2</vt:lpstr>
      <vt:lpstr>v_18_SN2O</vt:lpstr>
      <vt:lpstr>v_18_SNH2OH</vt:lpstr>
      <vt:lpstr>v_18_SNHx</vt:lpstr>
      <vt:lpstr>v_18_SNO_AOB</vt:lpstr>
      <vt:lpstr>v_18_SNO_OHO</vt:lpstr>
      <vt:lpstr>v_18_SNO2</vt:lpstr>
      <vt:lpstr>v_18_SNO3</vt:lpstr>
      <vt:lpstr>v_18_SO2</vt:lpstr>
      <vt:lpstr>v_18_SORPswitch</vt:lpstr>
      <vt:lpstr>v_18_SP_B</vt:lpstr>
      <vt:lpstr>v_18_SPFOA</vt:lpstr>
      <vt:lpstr>v_18_SPFOS</vt:lpstr>
      <vt:lpstr>v_18_SPO4</vt:lpstr>
      <vt:lpstr>v_18_SU</vt:lpstr>
      <vt:lpstr>v_18_SVFA</vt:lpstr>
      <vt:lpstr>v_18_XACP</vt:lpstr>
      <vt:lpstr>v_18_XALGAE</vt:lpstr>
      <vt:lpstr>v_18_XAMETO</vt:lpstr>
      <vt:lpstr>v_18_XAMX</vt:lpstr>
      <vt:lpstr>v_18_XAOB</vt:lpstr>
      <vt:lpstr>v_18_XB</vt:lpstr>
      <vt:lpstr>v_18_XB_e</vt:lpstr>
      <vt:lpstr>v_18_XBSH</vt:lpstr>
      <vt:lpstr>v_18_XCaCO3</vt:lpstr>
      <vt:lpstr>v_18_XCASTO</vt:lpstr>
      <vt:lpstr>v_18_XE</vt:lpstr>
      <vt:lpstr>v_18_XE_ana</vt:lpstr>
      <vt:lpstr>v_18_XHAO_H</vt:lpstr>
      <vt:lpstr>v_18_XHAO_H_P</vt:lpstr>
      <vt:lpstr>v_18_XHAO_H_P_old</vt:lpstr>
      <vt:lpstr>v_18_XHAO_L</vt:lpstr>
      <vt:lpstr>v_18_XHAO_L_P</vt:lpstr>
      <vt:lpstr>v_18_XHAO_L_P_old</vt:lpstr>
      <vt:lpstr>v_18_XHAO_old</vt:lpstr>
      <vt:lpstr>v_18_XHFO_H</vt:lpstr>
      <vt:lpstr>v_18_XHFO_H_P</vt:lpstr>
      <vt:lpstr>v_18_XHFO_H_P_old</vt:lpstr>
      <vt:lpstr>v_18_XHFO_L</vt:lpstr>
      <vt:lpstr>v_18_XHFO_L_P</vt:lpstr>
      <vt:lpstr>v_18_XHFO_L_P_old</vt:lpstr>
      <vt:lpstr>v_18_XHFO_old</vt:lpstr>
      <vt:lpstr>v_18_XHMETO</vt:lpstr>
      <vt:lpstr>v_18_XINORG</vt:lpstr>
      <vt:lpstr>v_18_XMEOLO</vt:lpstr>
      <vt:lpstr>v_18_XN_B</vt:lpstr>
      <vt:lpstr>v_18_XN_Be</vt:lpstr>
      <vt:lpstr>v_18_XN_U</vt:lpstr>
      <vt:lpstr>v_18_XNOB</vt:lpstr>
      <vt:lpstr>v_18_XOHO</vt:lpstr>
      <vt:lpstr>v_18_XP_B</vt:lpstr>
      <vt:lpstr>v_18_XP_Be</vt:lpstr>
      <vt:lpstr>v_18_XP_U</vt:lpstr>
      <vt:lpstr>v_18_XPFOA</vt:lpstr>
      <vt:lpstr>v_18_XPFOS</vt:lpstr>
      <vt:lpstr>v_18_XPHA_GAO</vt:lpstr>
      <vt:lpstr>v_18_XPHA_PAO</vt:lpstr>
      <vt:lpstr>v_18_XPP</vt:lpstr>
      <vt:lpstr>v_18_XSTR</vt:lpstr>
      <vt:lpstr>v_18_XU</vt:lpstr>
      <vt:lpstr>v_18_XVivi</vt:lpstr>
      <vt:lpstr>v_19_CB</vt:lpstr>
      <vt:lpstr>v_19_CU</vt:lpstr>
      <vt:lpstr>v_19_GCH4</vt:lpstr>
      <vt:lpstr>v_19_GCH4_atm</vt:lpstr>
      <vt:lpstr>v_19_GCO2</vt:lpstr>
      <vt:lpstr>v_19_GCO2_atm</vt:lpstr>
      <vt:lpstr>v_19_GH2</vt:lpstr>
      <vt:lpstr>v_19_GH2_atm</vt:lpstr>
      <vt:lpstr>v_19_GN2</vt:lpstr>
      <vt:lpstr>v_19_GN2_atm</vt:lpstr>
      <vt:lpstr>v_19_GN2O</vt:lpstr>
      <vt:lpstr>v_19_GN2O_atm</vt:lpstr>
      <vt:lpstr>v_19_GNH3</vt:lpstr>
      <vt:lpstr>v_19_GNH3_atm</vt:lpstr>
      <vt:lpstr>v_19_GNO</vt:lpstr>
      <vt:lpstr>v_19_GNO_atm</vt:lpstr>
      <vt:lpstr>v_19_GO2</vt:lpstr>
      <vt:lpstr>v_19_GO2_atm</vt:lpstr>
      <vt:lpstr>v_19_SALPHA</vt:lpstr>
      <vt:lpstr>v_19_SAN</vt:lpstr>
      <vt:lpstr>v_19_SB</vt:lpstr>
      <vt:lpstr>v_19_SCa</vt:lpstr>
      <vt:lpstr>v_19_SCAT</vt:lpstr>
      <vt:lpstr>v_19_SCH4</vt:lpstr>
      <vt:lpstr>v_19_SCO2</vt:lpstr>
      <vt:lpstr>v_19_SFe2</vt:lpstr>
      <vt:lpstr>v_19_SH</vt:lpstr>
      <vt:lpstr>v_19_SH2</vt:lpstr>
      <vt:lpstr>v_19_SK</vt:lpstr>
      <vt:lpstr>v_19_SMEOL</vt:lpstr>
      <vt:lpstr>v_19_SMg</vt:lpstr>
      <vt:lpstr>v_19_SN_B</vt:lpstr>
      <vt:lpstr>v_19_SN2</vt:lpstr>
      <vt:lpstr>v_19_SN2O</vt:lpstr>
      <vt:lpstr>v_19_SNH2OH</vt:lpstr>
      <vt:lpstr>v_19_SNHx</vt:lpstr>
      <vt:lpstr>v_19_SNO_AOB</vt:lpstr>
      <vt:lpstr>v_19_SNO_OHO</vt:lpstr>
      <vt:lpstr>v_19_SNO2</vt:lpstr>
      <vt:lpstr>v_19_SNO3</vt:lpstr>
      <vt:lpstr>v_19_SO2</vt:lpstr>
      <vt:lpstr>v_19_SORPswitch</vt:lpstr>
      <vt:lpstr>v_19_SP_B</vt:lpstr>
      <vt:lpstr>v_19_SPFOA</vt:lpstr>
      <vt:lpstr>v_19_SPFOS</vt:lpstr>
      <vt:lpstr>v_19_SPO4</vt:lpstr>
      <vt:lpstr>v_19_SU</vt:lpstr>
      <vt:lpstr>v_19_SVFA</vt:lpstr>
      <vt:lpstr>v_19_XACP</vt:lpstr>
      <vt:lpstr>v_19_XALGAE</vt:lpstr>
      <vt:lpstr>v_19_XAMETO</vt:lpstr>
      <vt:lpstr>v_19_XAMX</vt:lpstr>
      <vt:lpstr>v_19_XAOB</vt:lpstr>
      <vt:lpstr>v_19_XB</vt:lpstr>
      <vt:lpstr>v_19_XB_e</vt:lpstr>
      <vt:lpstr>v_19_XBSH</vt:lpstr>
      <vt:lpstr>v_19_XCaCO3</vt:lpstr>
      <vt:lpstr>v_19_XCASTO</vt:lpstr>
      <vt:lpstr>v_19_XE</vt:lpstr>
      <vt:lpstr>v_19_XE_ana</vt:lpstr>
      <vt:lpstr>v_19_XHAO_H</vt:lpstr>
      <vt:lpstr>v_19_XHAO_H_P</vt:lpstr>
      <vt:lpstr>v_19_XHAO_H_P_old</vt:lpstr>
      <vt:lpstr>v_19_XHAO_L</vt:lpstr>
      <vt:lpstr>v_19_XHAO_L_P</vt:lpstr>
      <vt:lpstr>v_19_XHAO_L_P_old</vt:lpstr>
      <vt:lpstr>v_19_XHAO_old</vt:lpstr>
      <vt:lpstr>v_19_XHFO_H</vt:lpstr>
      <vt:lpstr>v_19_XHFO_H_P</vt:lpstr>
      <vt:lpstr>v_19_XHFO_H_P_old</vt:lpstr>
      <vt:lpstr>v_19_XHFO_L</vt:lpstr>
      <vt:lpstr>v_19_XHFO_L_P</vt:lpstr>
      <vt:lpstr>v_19_XHFO_L_P_old</vt:lpstr>
      <vt:lpstr>v_19_XHFO_old</vt:lpstr>
      <vt:lpstr>v_19_XHMETO</vt:lpstr>
      <vt:lpstr>v_19_XINORG</vt:lpstr>
      <vt:lpstr>v_19_XMEOLO</vt:lpstr>
      <vt:lpstr>v_19_XN_B</vt:lpstr>
      <vt:lpstr>v_19_XN_Be</vt:lpstr>
      <vt:lpstr>v_19_XN_U</vt:lpstr>
      <vt:lpstr>v_19_XNOB</vt:lpstr>
      <vt:lpstr>v_19_XOHO</vt:lpstr>
      <vt:lpstr>v_19_XP_B</vt:lpstr>
      <vt:lpstr>v_19_XP_Be</vt:lpstr>
      <vt:lpstr>v_19_XP_U</vt:lpstr>
      <vt:lpstr>v_19_XPFOA</vt:lpstr>
      <vt:lpstr>v_19_XPFOS</vt:lpstr>
      <vt:lpstr>v_19_XPHA_GAO</vt:lpstr>
      <vt:lpstr>v_19_XPHA_PAO</vt:lpstr>
      <vt:lpstr>v_19_XPP</vt:lpstr>
      <vt:lpstr>v_19_XSTR</vt:lpstr>
      <vt:lpstr>v_19_XU</vt:lpstr>
      <vt:lpstr>v_19_XVivi</vt:lpstr>
      <vt:lpstr>v_2_CB</vt:lpstr>
      <vt:lpstr>v_2_CU</vt:lpstr>
      <vt:lpstr>v_2_GCH4</vt:lpstr>
      <vt:lpstr>v_2_GCH4_atm</vt:lpstr>
      <vt:lpstr>v_2_GCO2</vt:lpstr>
      <vt:lpstr>v_2_GCO2_atm</vt:lpstr>
      <vt:lpstr>v_2_GH2</vt:lpstr>
      <vt:lpstr>v_2_GH2_atm</vt:lpstr>
      <vt:lpstr>v_2_GN2</vt:lpstr>
      <vt:lpstr>v_2_GN2_atm</vt:lpstr>
      <vt:lpstr>v_2_GN2O</vt:lpstr>
      <vt:lpstr>v_2_GN2O_atm</vt:lpstr>
      <vt:lpstr>v_2_GNH3</vt:lpstr>
      <vt:lpstr>v_2_GNH3_atm</vt:lpstr>
      <vt:lpstr>v_2_GNO</vt:lpstr>
      <vt:lpstr>v_2_GNO_atm</vt:lpstr>
      <vt:lpstr>v_2_GO2</vt:lpstr>
      <vt:lpstr>v_2_GO2_atm</vt:lpstr>
      <vt:lpstr>v_2_SALPHA</vt:lpstr>
      <vt:lpstr>v_2_SAN</vt:lpstr>
      <vt:lpstr>v_2_SB</vt:lpstr>
      <vt:lpstr>v_2_SCa</vt:lpstr>
      <vt:lpstr>v_2_SCAT</vt:lpstr>
      <vt:lpstr>v_2_SCH4</vt:lpstr>
      <vt:lpstr>v_2_SCO2</vt:lpstr>
      <vt:lpstr>v_2_SFe2</vt:lpstr>
      <vt:lpstr>v_2_SH</vt:lpstr>
      <vt:lpstr>v_2_SH2</vt:lpstr>
      <vt:lpstr>v_2_SK</vt:lpstr>
      <vt:lpstr>v_2_SMEOL</vt:lpstr>
      <vt:lpstr>v_2_SMg</vt:lpstr>
      <vt:lpstr>v_2_SN_B</vt:lpstr>
      <vt:lpstr>v_2_SN2</vt:lpstr>
      <vt:lpstr>v_2_SN2O</vt:lpstr>
      <vt:lpstr>v_2_SNH2OH</vt:lpstr>
      <vt:lpstr>v_2_SNHx</vt:lpstr>
      <vt:lpstr>v_2_SNO_AOB</vt:lpstr>
      <vt:lpstr>v_2_SNO_OHO</vt:lpstr>
      <vt:lpstr>v_2_SNO2</vt:lpstr>
      <vt:lpstr>v_2_SNO3</vt:lpstr>
      <vt:lpstr>v_2_SO2</vt:lpstr>
      <vt:lpstr>v_2_SORPswitch</vt:lpstr>
      <vt:lpstr>v_2_SP_B</vt:lpstr>
      <vt:lpstr>v_2_SPFOA</vt:lpstr>
      <vt:lpstr>v_2_SPFOS</vt:lpstr>
      <vt:lpstr>v_2_SPO4</vt:lpstr>
      <vt:lpstr>v_2_SU</vt:lpstr>
      <vt:lpstr>v_2_SVFA</vt:lpstr>
      <vt:lpstr>v_2_XACP</vt:lpstr>
      <vt:lpstr>v_2_XALGAE</vt:lpstr>
      <vt:lpstr>v_2_XAMETO</vt:lpstr>
      <vt:lpstr>v_2_XAMX</vt:lpstr>
      <vt:lpstr>v_2_XAOB</vt:lpstr>
      <vt:lpstr>v_2_XB</vt:lpstr>
      <vt:lpstr>v_2_XB_e</vt:lpstr>
      <vt:lpstr>v_2_XBSH</vt:lpstr>
      <vt:lpstr>v_2_XCaCO3</vt:lpstr>
      <vt:lpstr>v_2_XCASTO</vt:lpstr>
      <vt:lpstr>v_2_XE</vt:lpstr>
      <vt:lpstr>v_2_XE_ana</vt:lpstr>
      <vt:lpstr>v_2_XHAO_H</vt:lpstr>
      <vt:lpstr>v_2_XHAO_H_P</vt:lpstr>
      <vt:lpstr>v_2_XHAO_H_P_old</vt:lpstr>
      <vt:lpstr>v_2_XHAO_L</vt:lpstr>
      <vt:lpstr>v_2_XHAO_L_P</vt:lpstr>
      <vt:lpstr>v_2_XHAO_L_P_old</vt:lpstr>
      <vt:lpstr>v_2_XHAO_old</vt:lpstr>
      <vt:lpstr>v_2_XHFO_H</vt:lpstr>
      <vt:lpstr>v_2_XHFO_H_P</vt:lpstr>
      <vt:lpstr>v_2_XHFO_H_P_old</vt:lpstr>
      <vt:lpstr>v_2_XHFO_L</vt:lpstr>
      <vt:lpstr>v_2_XHFO_L_P</vt:lpstr>
      <vt:lpstr>v_2_XHFO_L_P_old</vt:lpstr>
      <vt:lpstr>v_2_XHFO_old</vt:lpstr>
      <vt:lpstr>v_2_XHMETO</vt:lpstr>
      <vt:lpstr>v_2_XINORG</vt:lpstr>
      <vt:lpstr>v_2_XMEOLO</vt:lpstr>
      <vt:lpstr>v_2_XN_B</vt:lpstr>
      <vt:lpstr>v_2_XN_Be</vt:lpstr>
      <vt:lpstr>v_2_XN_U</vt:lpstr>
      <vt:lpstr>v_2_XNOB</vt:lpstr>
      <vt:lpstr>v_2_XOHO</vt:lpstr>
      <vt:lpstr>v_2_XP_B</vt:lpstr>
      <vt:lpstr>v_2_XP_Be</vt:lpstr>
      <vt:lpstr>v_2_XP_U</vt:lpstr>
      <vt:lpstr>v_2_XPFOA</vt:lpstr>
      <vt:lpstr>v_2_XPFOS</vt:lpstr>
      <vt:lpstr>v_2_XPHA_GAO</vt:lpstr>
      <vt:lpstr>v_2_XPHA_PAO</vt:lpstr>
      <vt:lpstr>v_2_XPP</vt:lpstr>
      <vt:lpstr>v_2_XSTR</vt:lpstr>
      <vt:lpstr>v_2_XU</vt:lpstr>
      <vt:lpstr>v_2_XVivi</vt:lpstr>
      <vt:lpstr>v_20_CB</vt:lpstr>
      <vt:lpstr>v_20_CU</vt:lpstr>
      <vt:lpstr>v_20_GCH4</vt:lpstr>
      <vt:lpstr>v_20_GCH4_atm</vt:lpstr>
      <vt:lpstr>v_20_GCO2</vt:lpstr>
      <vt:lpstr>v_20_GCO2_atm</vt:lpstr>
      <vt:lpstr>v_20_GH2</vt:lpstr>
      <vt:lpstr>v_20_GH2_atm</vt:lpstr>
      <vt:lpstr>v_20_GN2</vt:lpstr>
      <vt:lpstr>v_20_GN2_atm</vt:lpstr>
      <vt:lpstr>v_20_GN2O</vt:lpstr>
      <vt:lpstr>v_20_GN2O_atm</vt:lpstr>
      <vt:lpstr>v_20_GNH3</vt:lpstr>
      <vt:lpstr>v_20_GNH3_atm</vt:lpstr>
      <vt:lpstr>v_20_GNO</vt:lpstr>
      <vt:lpstr>v_20_GNO_atm</vt:lpstr>
      <vt:lpstr>v_20_GO2</vt:lpstr>
      <vt:lpstr>v_20_GO2_atm</vt:lpstr>
      <vt:lpstr>v_20_SALPHA</vt:lpstr>
      <vt:lpstr>v_20_SAN</vt:lpstr>
      <vt:lpstr>v_20_SB</vt:lpstr>
      <vt:lpstr>v_20_SCa</vt:lpstr>
      <vt:lpstr>v_20_SCAT</vt:lpstr>
      <vt:lpstr>v_20_SCH4</vt:lpstr>
      <vt:lpstr>v_20_SCO2</vt:lpstr>
      <vt:lpstr>v_20_SFe2</vt:lpstr>
      <vt:lpstr>v_20_SH</vt:lpstr>
      <vt:lpstr>v_20_SH2</vt:lpstr>
      <vt:lpstr>v_20_SK</vt:lpstr>
      <vt:lpstr>v_20_SMEOL</vt:lpstr>
      <vt:lpstr>v_20_SMg</vt:lpstr>
      <vt:lpstr>v_20_SN_B</vt:lpstr>
      <vt:lpstr>v_20_SN2</vt:lpstr>
      <vt:lpstr>v_20_SN2O</vt:lpstr>
      <vt:lpstr>v_20_SNH2OH</vt:lpstr>
      <vt:lpstr>v_20_SNHx</vt:lpstr>
      <vt:lpstr>v_20_SNO_AOB</vt:lpstr>
      <vt:lpstr>v_20_SNO_OHO</vt:lpstr>
      <vt:lpstr>v_20_SNO2</vt:lpstr>
      <vt:lpstr>v_20_SNO3</vt:lpstr>
      <vt:lpstr>v_20_SO2</vt:lpstr>
      <vt:lpstr>v_20_SORPswitch</vt:lpstr>
      <vt:lpstr>v_20_SP_B</vt:lpstr>
      <vt:lpstr>v_20_SPFOA</vt:lpstr>
      <vt:lpstr>v_20_SPFOS</vt:lpstr>
      <vt:lpstr>v_20_SPO4</vt:lpstr>
      <vt:lpstr>v_20_SU</vt:lpstr>
      <vt:lpstr>v_20_SVFA</vt:lpstr>
      <vt:lpstr>v_20_XACP</vt:lpstr>
      <vt:lpstr>v_20_XALGAE</vt:lpstr>
      <vt:lpstr>v_20_XAMETO</vt:lpstr>
      <vt:lpstr>v_20_XAMX</vt:lpstr>
      <vt:lpstr>v_20_XAOB</vt:lpstr>
      <vt:lpstr>v_20_XB</vt:lpstr>
      <vt:lpstr>v_20_XB_e</vt:lpstr>
      <vt:lpstr>v_20_XBSH</vt:lpstr>
      <vt:lpstr>v_20_XCaCO3</vt:lpstr>
      <vt:lpstr>v_20_XCASTO</vt:lpstr>
      <vt:lpstr>v_20_XE</vt:lpstr>
      <vt:lpstr>v_20_XE_ana</vt:lpstr>
      <vt:lpstr>v_20_XHAO_H</vt:lpstr>
      <vt:lpstr>v_20_XHAO_H_P</vt:lpstr>
      <vt:lpstr>v_20_XHAO_H_P_old</vt:lpstr>
      <vt:lpstr>v_20_XHAO_L</vt:lpstr>
      <vt:lpstr>v_20_XHAO_L_P</vt:lpstr>
      <vt:lpstr>v_20_XHAO_L_P_old</vt:lpstr>
      <vt:lpstr>v_20_XHAO_old</vt:lpstr>
      <vt:lpstr>v_20_XHFO_H</vt:lpstr>
      <vt:lpstr>v_20_XHFO_H_P</vt:lpstr>
      <vt:lpstr>v_20_XHFO_H_P_old</vt:lpstr>
      <vt:lpstr>v_20_XHFO_L</vt:lpstr>
      <vt:lpstr>v_20_XHFO_L_P</vt:lpstr>
      <vt:lpstr>v_20_XHFO_L_P_old</vt:lpstr>
      <vt:lpstr>v_20_XHFO_old</vt:lpstr>
      <vt:lpstr>v_20_XHMETO</vt:lpstr>
      <vt:lpstr>v_20_XINORG</vt:lpstr>
      <vt:lpstr>v_20_XMEOLO</vt:lpstr>
      <vt:lpstr>v_20_XN_B</vt:lpstr>
      <vt:lpstr>v_20_XN_Be</vt:lpstr>
      <vt:lpstr>v_20_XN_U</vt:lpstr>
      <vt:lpstr>v_20_XNOB</vt:lpstr>
      <vt:lpstr>v_20_XOHO</vt:lpstr>
      <vt:lpstr>v_20_XP_B</vt:lpstr>
      <vt:lpstr>v_20_XP_Be</vt:lpstr>
      <vt:lpstr>v_20_XP_U</vt:lpstr>
      <vt:lpstr>v_20_XPFOA</vt:lpstr>
      <vt:lpstr>v_20_XPFOS</vt:lpstr>
      <vt:lpstr>v_20_XPHA_GAO</vt:lpstr>
      <vt:lpstr>v_20_XPHA_PAO</vt:lpstr>
      <vt:lpstr>v_20_XPP</vt:lpstr>
      <vt:lpstr>v_20_XSTR</vt:lpstr>
      <vt:lpstr>v_20_XU</vt:lpstr>
      <vt:lpstr>v_20_XVivi</vt:lpstr>
      <vt:lpstr>v_21_CB</vt:lpstr>
      <vt:lpstr>v_21_CU</vt:lpstr>
      <vt:lpstr>v_21_GCH4</vt:lpstr>
      <vt:lpstr>v_21_GCH4_atm</vt:lpstr>
      <vt:lpstr>v_21_GCO2</vt:lpstr>
      <vt:lpstr>v_21_GCO2_atm</vt:lpstr>
      <vt:lpstr>v_21_GH2</vt:lpstr>
      <vt:lpstr>v_21_GH2_atm</vt:lpstr>
      <vt:lpstr>v_21_GN2</vt:lpstr>
      <vt:lpstr>v_21_GN2_atm</vt:lpstr>
      <vt:lpstr>v_21_GN2O</vt:lpstr>
      <vt:lpstr>v_21_GN2O_atm</vt:lpstr>
      <vt:lpstr>v_21_GNH3</vt:lpstr>
      <vt:lpstr>v_21_GNH3_atm</vt:lpstr>
      <vt:lpstr>v_21_GNO</vt:lpstr>
      <vt:lpstr>v_21_GNO_atm</vt:lpstr>
      <vt:lpstr>v_21_GO2</vt:lpstr>
      <vt:lpstr>v_21_GO2_atm</vt:lpstr>
      <vt:lpstr>v_21_SALPHA</vt:lpstr>
      <vt:lpstr>v_21_SAN</vt:lpstr>
      <vt:lpstr>v_21_SB</vt:lpstr>
      <vt:lpstr>v_21_SCa</vt:lpstr>
      <vt:lpstr>v_21_SCAT</vt:lpstr>
      <vt:lpstr>v_21_SCH4</vt:lpstr>
      <vt:lpstr>v_21_SCO2</vt:lpstr>
      <vt:lpstr>v_21_SFe2</vt:lpstr>
      <vt:lpstr>v_21_SH</vt:lpstr>
      <vt:lpstr>v_21_SH2</vt:lpstr>
      <vt:lpstr>v_21_SK</vt:lpstr>
      <vt:lpstr>v_21_SMEOL</vt:lpstr>
      <vt:lpstr>v_21_SMg</vt:lpstr>
      <vt:lpstr>v_21_SN_B</vt:lpstr>
      <vt:lpstr>v_21_SN2</vt:lpstr>
      <vt:lpstr>v_21_SN2O</vt:lpstr>
      <vt:lpstr>v_21_SNH2OH</vt:lpstr>
      <vt:lpstr>v_21_SNHx</vt:lpstr>
      <vt:lpstr>v_21_SNO_AOB</vt:lpstr>
      <vt:lpstr>v_21_SNO_OHO</vt:lpstr>
      <vt:lpstr>v_21_SNO2</vt:lpstr>
      <vt:lpstr>v_21_SNO3</vt:lpstr>
      <vt:lpstr>v_21_SO2</vt:lpstr>
      <vt:lpstr>v_21_SORPswitch</vt:lpstr>
      <vt:lpstr>v_21_SP_B</vt:lpstr>
      <vt:lpstr>v_21_SPFOA</vt:lpstr>
      <vt:lpstr>v_21_SPFOS</vt:lpstr>
      <vt:lpstr>v_21_SPO4</vt:lpstr>
      <vt:lpstr>v_21_SU</vt:lpstr>
      <vt:lpstr>v_21_SVFA</vt:lpstr>
      <vt:lpstr>v_21_XACP</vt:lpstr>
      <vt:lpstr>v_21_XALGAE</vt:lpstr>
      <vt:lpstr>v_21_XAMETO</vt:lpstr>
      <vt:lpstr>v_21_XAMX</vt:lpstr>
      <vt:lpstr>v_21_XAOB</vt:lpstr>
      <vt:lpstr>v_21_XB</vt:lpstr>
      <vt:lpstr>v_21_XB_e</vt:lpstr>
      <vt:lpstr>v_21_XBSH</vt:lpstr>
      <vt:lpstr>v_21_XCaCO3</vt:lpstr>
      <vt:lpstr>v_21_XCASTO</vt:lpstr>
      <vt:lpstr>v_21_XE</vt:lpstr>
      <vt:lpstr>v_21_XE_ana</vt:lpstr>
      <vt:lpstr>v_21_XHAO_H</vt:lpstr>
      <vt:lpstr>v_21_XHAO_H_P</vt:lpstr>
      <vt:lpstr>v_21_XHAO_H_P_old</vt:lpstr>
      <vt:lpstr>v_21_XHAO_L</vt:lpstr>
      <vt:lpstr>v_21_XHAO_L_P</vt:lpstr>
      <vt:lpstr>v_21_XHAO_L_P_old</vt:lpstr>
      <vt:lpstr>v_21_XHAO_old</vt:lpstr>
      <vt:lpstr>v_21_XHFO_H</vt:lpstr>
      <vt:lpstr>v_21_XHFO_H_P</vt:lpstr>
      <vt:lpstr>v_21_XHFO_H_P_old</vt:lpstr>
      <vt:lpstr>v_21_XHFO_L</vt:lpstr>
      <vt:lpstr>v_21_XHFO_L_P</vt:lpstr>
      <vt:lpstr>v_21_XHFO_L_P_old</vt:lpstr>
      <vt:lpstr>v_21_XHFO_old</vt:lpstr>
      <vt:lpstr>v_21_XHMETO</vt:lpstr>
      <vt:lpstr>v_21_XINORG</vt:lpstr>
      <vt:lpstr>v_21_XMEOLO</vt:lpstr>
      <vt:lpstr>v_21_XN_B</vt:lpstr>
      <vt:lpstr>v_21_XN_Be</vt:lpstr>
      <vt:lpstr>v_21_XN_U</vt:lpstr>
      <vt:lpstr>v_21_XNOB</vt:lpstr>
      <vt:lpstr>v_21_XOHO</vt:lpstr>
      <vt:lpstr>v_21_XP_B</vt:lpstr>
      <vt:lpstr>v_21_XP_Be</vt:lpstr>
      <vt:lpstr>v_21_XP_U</vt:lpstr>
      <vt:lpstr>v_21_XPFOA</vt:lpstr>
      <vt:lpstr>v_21_XPFOS</vt:lpstr>
      <vt:lpstr>v_21_XPHA_GAO</vt:lpstr>
      <vt:lpstr>v_21_XPHA_PAO</vt:lpstr>
      <vt:lpstr>v_21_XPP</vt:lpstr>
      <vt:lpstr>v_21_XSTR</vt:lpstr>
      <vt:lpstr>v_21_XU</vt:lpstr>
      <vt:lpstr>v_21_XVivi</vt:lpstr>
      <vt:lpstr>v_22_CB</vt:lpstr>
      <vt:lpstr>v_22_CU</vt:lpstr>
      <vt:lpstr>v_22_GCH4</vt:lpstr>
      <vt:lpstr>v_22_GCH4_atm</vt:lpstr>
      <vt:lpstr>v_22_GCO2</vt:lpstr>
      <vt:lpstr>v_22_GCO2_atm</vt:lpstr>
      <vt:lpstr>v_22_GH2</vt:lpstr>
      <vt:lpstr>v_22_GH2_atm</vt:lpstr>
      <vt:lpstr>v_22_GN2</vt:lpstr>
      <vt:lpstr>v_22_GN2_atm</vt:lpstr>
      <vt:lpstr>v_22_GN2O</vt:lpstr>
      <vt:lpstr>v_22_GN2O_atm</vt:lpstr>
      <vt:lpstr>v_22_GNH3</vt:lpstr>
      <vt:lpstr>v_22_GNH3_atm</vt:lpstr>
      <vt:lpstr>v_22_GNO</vt:lpstr>
      <vt:lpstr>v_22_GNO_atm</vt:lpstr>
      <vt:lpstr>v_22_GO2</vt:lpstr>
      <vt:lpstr>v_22_GO2_atm</vt:lpstr>
      <vt:lpstr>v_22_SALPHA</vt:lpstr>
      <vt:lpstr>v_22_SAN</vt:lpstr>
      <vt:lpstr>v_22_SB</vt:lpstr>
      <vt:lpstr>v_22_SCa</vt:lpstr>
      <vt:lpstr>v_22_SCAT</vt:lpstr>
      <vt:lpstr>v_22_SCH4</vt:lpstr>
      <vt:lpstr>v_22_SCO2</vt:lpstr>
      <vt:lpstr>v_22_SFe2</vt:lpstr>
      <vt:lpstr>v_22_SH</vt:lpstr>
      <vt:lpstr>v_22_SH2</vt:lpstr>
      <vt:lpstr>v_22_SK</vt:lpstr>
      <vt:lpstr>v_22_SMEOL</vt:lpstr>
      <vt:lpstr>v_22_SMg</vt:lpstr>
      <vt:lpstr>v_22_SN_B</vt:lpstr>
      <vt:lpstr>v_22_SN2</vt:lpstr>
      <vt:lpstr>v_22_SN2O</vt:lpstr>
      <vt:lpstr>v_22_SNH2OH</vt:lpstr>
      <vt:lpstr>v_22_SNHx</vt:lpstr>
      <vt:lpstr>v_22_SNO_AOB</vt:lpstr>
      <vt:lpstr>v_22_SNO_OHO</vt:lpstr>
      <vt:lpstr>v_22_SNO2</vt:lpstr>
      <vt:lpstr>v_22_SNO3</vt:lpstr>
      <vt:lpstr>v_22_SO2</vt:lpstr>
      <vt:lpstr>v_22_SORPswitch</vt:lpstr>
      <vt:lpstr>v_22_SP_B</vt:lpstr>
      <vt:lpstr>v_22_SPFOA</vt:lpstr>
      <vt:lpstr>v_22_SPFOS</vt:lpstr>
      <vt:lpstr>v_22_SPO4</vt:lpstr>
      <vt:lpstr>v_22_SU</vt:lpstr>
      <vt:lpstr>v_22_SVFA</vt:lpstr>
      <vt:lpstr>v_22_XACP</vt:lpstr>
      <vt:lpstr>v_22_XALGAE</vt:lpstr>
      <vt:lpstr>v_22_XAMETO</vt:lpstr>
      <vt:lpstr>v_22_XAMX</vt:lpstr>
      <vt:lpstr>v_22_XAOB</vt:lpstr>
      <vt:lpstr>v_22_XB</vt:lpstr>
      <vt:lpstr>v_22_XB_e</vt:lpstr>
      <vt:lpstr>v_22_XBSH</vt:lpstr>
      <vt:lpstr>v_22_XCaCO3</vt:lpstr>
      <vt:lpstr>v_22_XCASTO</vt:lpstr>
      <vt:lpstr>v_22_XE</vt:lpstr>
      <vt:lpstr>v_22_XE_ana</vt:lpstr>
      <vt:lpstr>v_22_XHAO_H</vt:lpstr>
      <vt:lpstr>v_22_XHAO_H_P</vt:lpstr>
      <vt:lpstr>v_22_XHAO_H_P_old</vt:lpstr>
      <vt:lpstr>v_22_XHAO_L</vt:lpstr>
      <vt:lpstr>v_22_XHAO_L_P</vt:lpstr>
      <vt:lpstr>v_22_XHAO_L_P_old</vt:lpstr>
      <vt:lpstr>v_22_XHAO_old</vt:lpstr>
      <vt:lpstr>v_22_XHFO_H</vt:lpstr>
      <vt:lpstr>v_22_XHFO_H_P</vt:lpstr>
      <vt:lpstr>v_22_XHFO_H_P_old</vt:lpstr>
      <vt:lpstr>v_22_XHFO_L</vt:lpstr>
      <vt:lpstr>v_22_XHFO_L_P</vt:lpstr>
      <vt:lpstr>v_22_XHFO_L_P_old</vt:lpstr>
      <vt:lpstr>v_22_XHFO_old</vt:lpstr>
      <vt:lpstr>v_22_XHMETO</vt:lpstr>
      <vt:lpstr>v_22_XINORG</vt:lpstr>
      <vt:lpstr>v_22_XMEOLO</vt:lpstr>
      <vt:lpstr>v_22_XN_B</vt:lpstr>
      <vt:lpstr>v_22_XN_Be</vt:lpstr>
      <vt:lpstr>v_22_XN_U</vt:lpstr>
      <vt:lpstr>v_22_XNOB</vt:lpstr>
      <vt:lpstr>v_22_XOHO</vt:lpstr>
      <vt:lpstr>v_22_XP_B</vt:lpstr>
      <vt:lpstr>v_22_XP_Be</vt:lpstr>
      <vt:lpstr>v_22_XP_U</vt:lpstr>
      <vt:lpstr>v_22_XPFOA</vt:lpstr>
      <vt:lpstr>v_22_XPFOS</vt:lpstr>
      <vt:lpstr>v_22_XPHA_GAO</vt:lpstr>
      <vt:lpstr>v_22_XPHA_PAO</vt:lpstr>
      <vt:lpstr>v_22_XPP</vt:lpstr>
      <vt:lpstr>v_22_XSTR</vt:lpstr>
      <vt:lpstr>v_22_XU</vt:lpstr>
      <vt:lpstr>v_22_XVivi</vt:lpstr>
      <vt:lpstr>v_23_CB</vt:lpstr>
      <vt:lpstr>v_23_CU</vt:lpstr>
      <vt:lpstr>v_23_GCH4</vt:lpstr>
      <vt:lpstr>v_23_GCH4_atm</vt:lpstr>
      <vt:lpstr>v_23_GCO2</vt:lpstr>
      <vt:lpstr>v_23_GCO2_atm</vt:lpstr>
      <vt:lpstr>v_23_GH2</vt:lpstr>
      <vt:lpstr>v_23_GH2_atm</vt:lpstr>
      <vt:lpstr>v_23_GN2</vt:lpstr>
      <vt:lpstr>v_23_GN2_atm</vt:lpstr>
      <vt:lpstr>v_23_GN2O</vt:lpstr>
      <vt:lpstr>v_23_GN2O_atm</vt:lpstr>
      <vt:lpstr>v_23_GNH3</vt:lpstr>
      <vt:lpstr>v_23_GNH3_atm</vt:lpstr>
      <vt:lpstr>v_23_GNO</vt:lpstr>
      <vt:lpstr>v_23_GNO_atm</vt:lpstr>
      <vt:lpstr>v_23_GO2</vt:lpstr>
      <vt:lpstr>v_23_GO2_atm</vt:lpstr>
      <vt:lpstr>v_23_SALPHA</vt:lpstr>
      <vt:lpstr>v_23_SAN</vt:lpstr>
      <vt:lpstr>v_23_SB</vt:lpstr>
      <vt:lpstr>v_23_SCa</vt:lpstr>
      <vt:lpstr>v_23_SCAT</vt:lpstr>
      <vt:lpstr>v_23_SCH4</vt:lpstr>
      <vt:lpstr>v_23_SCO2</vt:lpstr>
      <vt:lpstr>v_23_SFe2</vt:lpstr>
      <vt:lpstr>v_23_SH</vt:lpstr>
      <vt:lpstr>v_23_SH2</vt:lpstr>
      <vt:lpstr>v_23_SK</vt:lpstr>
      <vt:lpstr>v_23_SMEOL</vt:lpstr>
      <vt:lpstr>v_23_SMg</vt:lpstr>
      <vt:lpstr>v_23_SN_B</vt:lpstr>
      <vt:lpstr>v_23_SN2</vt:lpstr>
      <vt:lpstr>v_23_SN2O</vt:lpstr>
      <vt:lpstr>v_23_SNH2OH</vt:lpstr>
      <vt:lpstr>v_23_SNHx</vt:lpstr>
      <vt:lpstr>v_23_SNO_AOB</vt:lpstr>
      <vt:lpstr>v_23_SNO_OHO</vt:lpstr>
      <vt:lpstr>v_23_SNO2</vt:lpstr>
      <vt:lpstr>v_23_SNO3</vt:lpstr>
      <vt:lpstr>v_23_SO2</vt:lpstr>
      <vt:lpstr>v_23_SORPswitch</vt:lpstr>
      <vt:lpstr>v_23_SP_B</vt:lpstr>
      <vt:lpstr>v_23_SPFOA</vt:lpstr>
      <vt:lpstr>v_23_SPFOS</vt:lpstr>
      <vt:lpstr>v_23_SPO4</vt:lpstr>
      <vt:lpstr>v_23_SU</vt:lpstr>
      <vt:lpstr>v_23_SVFA</vt:lpstr>
      <vt:lpstr>v_23_XACP</vt:lpstr>
      <vt:lpstr>v_23_XALGAE</vt:lpstr>
      <vt:lpstr>v_23_XAMETO</vt:lpstr>
      <vt:lpstr>v_23_XAMX</vt:lpstr>
      <vt:lpstr>v_23_XAOB</vt:lpstr>
      <vt:lpstr>v_23_XB</vt:lpstr>
      <vt:lpstr>v_23_XB_e</vt:lpstr>
      <vt:lpstr>v_23_XBSH</vt:lpstr>
      <vt:lpstr>v_23_XCaCO3</vt:lpstr>
      <vt:lpstr>v_23_XCASTO</vt:lpstr>
      <vt:lpstr>v_23_XE</vt:lpstr>
      <vt:lpstr>v_23_XE_ana</vt:lpstr>
      <vt:lpstr>v_23_XHAO_H</vt:lpstr>
      <vt:lpstr>v_23_XHAO_H_P</vt:lpstr>
      <vt:lpstr>v_23_XHAO_H_P_old</vt:lpstr>
      <vt:lpstr>v_23_XHAO_L</vt:lpstr>
      <vt:lpstr>v_23_XHAO_L_P</vt:lpstr>
      <vt:lpstr>v_23_XHAO_L_P_old</vt:lpstr>
      <vt:lpstr>v_23_XHAO_old</vt:lpstr>
      <vt:lpstr>v_23_XHFO_H</vt:lpstr>
      <vt:lpstr>v_23_XHFO_H_P</vt:lpstr>
      <vt:lpstr>v_23_XHFO_H_P_old</vt:lpstr>
      <vt:lpstr>v_23_XHFO_L</vt:lpstr>
      <vt:lpstr>v_23_XHFO_L_P</vt:lpstr>
      <vt:lpstr>v_23_XHFO_L_P_old</vt:lpstr>
      <vt:lpstr>v_23_XHFO_old</vt:lpstr>
      <vt:lpstr>v_23_XHMETO</vt:lpstr>
      <vt:lpstr>v_23_XINORG</vt:lpstr>
      <vt:lpstr>v_23_XMEOLO</vt:lpstr>
      <vt:lpstr>v_23_XN_B</vt:lpstr>
      <vt:lpstr>v_23_XN_Be</vt:lpstr>
      <vt:lpstr>v_23_XN_U</vt:lpstr>
      <vt:lpstr>v_23_XNOB</vt:lpstr>
      <vt:lpstr>v_23_XOHO</vt:lpstr>
      <vt:lpstr>v_23_XP_B</vt:lpstr>
      <vt:lpstr>v_23_XP_Be</vt:lpstr>
      <vt:lpstr>v_23_XP_U</vt:lpstr>
      <vt:lpstr>v_23_XPFOA</vt:lpstr>
      <vt:lpstr>v_23_XPFOS</vt:lpstr>
      <vt:lpstr>v_23_XPHA_GAO</vt:lpstr>
      <vt:lpstr>v_23_XPHA_PAO</vt:lpstr>
      <vt:lpstr>v_23_XPP</vt:lpstr>
      <vt:lpstr>v_23_XSTR</vt:lpstr>
      <vt:lpstr>v_23_XU</vt:lpstr>
      <vt:lpstr>v_23_XVivi</vt:lpstr>
      <vt:lpstr>v_24_CB</vt:lpstr>
      <vt:lpstr>v_24_CU</vt:lpstr>
      <vt:lpstr>v_24_GCH4</vt:lpstr>
      <vt:lpstr>v_24_GCH4_atm</vt:lpstr>
      <vt:lpstr>v_24_GCO2</vt:lpstr>
      <vt:lpstr>v_24_GCO2_atm</vt:lpstr>
      <vt:lpstr>v_24_GH2</vt:lpstr>
      <vt:lpstr>v_24_GH2_atm</vt:lpstr>
      <vt:lpstr>v_24_GN2</vt:lpstr>
      <vt:lpstr>v_24_GN2_atm</vt:lpstr>
      <vt:lpstr>v_24_GN2O</vt:lpstr>
      <vt:lpstr>v_24_GN2O_atm</vt:lpstr>
      <vt:lpstr>v_24_GNH3</vt:lpstr>
      <vt:lpstr>v_24_GNH3_atm</vt:lpstr>
      <vt:lpstr>v_24_GNO</vt:lpstr>
      <vt:lpstr>v_24_GNO_atm</vt:lpstr>
      <vt:lpstr>v_24_GO2</vt:lpstr>
      <vt:lpstr>v_24_GO2_atm</vt:lpstr>
      <vt:lpstr>v_24_SALPHA</vt:lpstr>
      <vt:lpstr>v_24_SAN</vt:lpstr>
      <vt:lpstr>v_24_SB</vt:lpstr>
      <vt:lpstr>v_24_SCa</vt:lpstr>
      <vt:lpstr>v_24_SCAT</vt:lpstr>
      <vt:lpstr>v_24_SCH4</vt:lpstr>
      <vt:lpstr>v_24_SCO2</vt:lpstr>
      <vt:lpstr>v_24_SFe2</vt:lpstr>
      <vt:lpstr>v_24_SH</vt:lpstr>
      <vt:lpstr>v_24_SH2</vt:lpstr>
      <vt:lpstr>v_24_SK</vt:lpstr>
      <vt:lpstr>v_24_SMEOL</vt:lpstr>
      <vt:lpstr>v_24_SMg</vt:lpstr>
      <vt:lpstr>v_24_SN_B</vt:lpstr>
      <vt:lpstr>v_24_SN2</vt:lpstr>
      <vt:lpstr>v_24_SN2O</vt:lpstr>
      <vt:lpstr>v_24_SNH2OH</vt:lpstr>
      <vt:lpstr>v_24_SNHx</vt:lpstr>
      <vt:lpstr>v_24_SNO_AOB</vt:lpstr>
      <vt:lpstr>v_24_SNO_OHO</vt:lpstr>
      <vt:lpstr>v_24_SNO2</vt:lpstr>
      <vt:lpstr>v_24_SNO3</vt:lpstr>
      <vt:lpstr>v_24_SO2</vt:lpstr>
      <vt:lpstr>v_24_SORPswitch</vt:lpstr>
      <vt:lpstr>v_24_SP_B</vt:lpstr>
      <vt:lpstr>v_24_SPFOA</vt:lpstr>
      <vt:lpstr>v_24_SPFOS</vt:lpstr>
      <vt:lpstr>v_24_SPO4</vt:lpstr>
      <vt:lpstr>v_24_SU</vt:lpstr>
      <vt:lpstr>v_24_SVFA</vt:lpstr>
      <vt:lpstr>v_24_XACP</vt:lpstr>
      <vt:lpstr>v_24_XALGAE</vt:lpstr>
      <vt:lpstr>v_24_XAMETO</vt:lpstr>
      <vt:lpstr>v_24_XAMX</vt:lpstr>
      <vt:lpstr>v_24_XAOB</vt:lpstr>
      <vt:lpstr>v_24_XB</vt:lpstr>
      <vt:lpstr>v_24_XB_e</vt:lpstr>
      <vt:lpstr>v_24_XBSH</vt:lpstr>
      <vt:lpstr>v_24_XCaCO3</vt:lpstr>
      <vt:lpstr>v_24_XCASTO</vt:lpstr>
      <vt:lpstr>v_24_XE</vt:lpstr>
      <vt:lpstr>v_24_XE_ana</vt:lpstr>
      <vt:lpstr>v_24_XHAO_H</vt:lpstr>
      <vt:lpstr>v_24_XHAO_H_P</vt:lpstr>
      <vt:lpstr>v_24_XHAO_H_P_old</vt:lpstr>
      <vt:lpstr>v_24_XHAO_L</vt:lpstr>
      <vt:lpstr>v_24_XHAO_L_P</vt:lpstr>
      <vt:lpstr>v_24_XHAO_L_P_old</vt:lpstr>
      <vt:lpstr>v_24_XHAO_old</vt:lpstr>
      <vt:lpstr>v_24_XHFO_H</vt:lpstr>
      <vt:lpstr>v_24_XHFO_H_P</vt:lpstr>
      <vt:lpstr>v_24_XHFO_H_P_old</vt:lpstr>
      <vt:lpstr>v_24_XHFO_L</vt:lpstr>
      <vt:lpstr>v_24_XHFO_L_P</vt:lpstr>
      <vt:lpstr>v_24_XHFO_L_P_old</vt:lpstr>
      <vt:lpstr>v_24_XHFO_old</vt:lpstr>
      <vt:lpstr>v_24_XHMETO</vt:lpstr>
      <vt:lpstr>v_24_XINORG</vt:lpstr>
      <vt:lpstr>v_24_XMEOLO</vt:lpstr>
      <vt:lpstr>v_24_XN_B</vt:lpstr>
      <vt:lpstr>v_24_XN_Be</vt:lpstr>
      <vt:lpstr>v_24_XN_U</vt:lpstr>
      <vt:lpstr>v_24_XNOB</vt:lpstr>
      <vt:lpstr>v_24_XOHO</vt:lpstr>
      <vt:lpstr>v_24_XP_B</vt:lpstr>
      <vt:lpstr>v_24_XP_Be</vt:lpstr>
      <vt:lpstr>v_24_XP_U</vt:lpstr>
      <vt:lpstr>v_24_XPFOA</vt:lpstr>
      <vt:lpstr>v_24_XPFOS</vt:lpstr>
      <vt:lpstr>v_24_XPHA_GAO</vt:lpstr>
      <vt:lpstr>v_24_XPHA_PAO</vt:lpstr>
      <vt:lpstr>v_24_XPP</vt:lpstr>
      <vt:lpstr>v_24_XSTR</vt:lpstr>
      <vt:lpstr>v_24_XU</vt:lpstr>
      <vt:lpstr>v_24_XVivi</vt:lpstr>
      <vt:lpstr>v_25_CB</vt:lpstr>
      <vt:lpstr>v_25_CU</vt:lpstr>
      <vt:lpstr>v_25_GCH4</vt:lpstr>
      <vt:lpstr>v_25_GCH4_atm</vt:lpstr>
      <vt:lpstr>v_25_GCO2</vt:lpstr>
      <vt:lpstr>v_25_GCO2_atm</vt:lpstr>
      <vt:lpstr>v_25_GH2</vt:lpstr>
      <vt:lpstr>v_25_GH2_atm</vt:lpstr>
      <vt:lpstr>v_25_GN2</vt:lpstr>
      <vt:lpstr>v_25_GN2_atm</vt:lpstr>
      <vt:lpstr>v_25_GN2O</vt:lpstr>
      <vt:lpstr>v_25_GN2O_atm</vt:lpstr>
      <vt:lpstr>v_25_GNH3</vt:lpstr>
      <vt:lpstr>v_25_GNH3_atm</vt:lpstr>
      <vt:lpstr>v_25_GNO</vt:lpstr>
      <vt:lpstr>v_25_GNO_atm</vt:lpstr>
      <vt:lpstr>v_25_GO2</vt:lpstr>
      <vt:lpstr>v_25_GO2_atm</vt:lpstr>
      <vt:lpstr>v_25_SALPHA</vt:lpstr>
      <vt:lpstr>v_25_SAN</vt:lpstr>
      <vt:lpstr>v_25_SB</vt:lpstr>
      <vt:lpstr>v_25_SCa</vt:lpstr>
      <vt:lpstr>v_25_SCAT</vt:lpstr>
      <vt:lpstr>v_25_SCH4</vt:lpstr>
      <vt:lpstr>v_25_SCO2</vt:lpstr>
      <vt:lpstr>v_25_SFe2</vt:lpstr>
      <vt:lpstr>v_25_SH</vt:lpstr>
      <vt:lpstr>v_25_SH2</vt:lpstr>
      <vt:lpstr>v_25_SK</vt:lpstr>
      <vt:lpstr>v_25_SMEOL</vt:lpstr>
      <vt:lpstr>v_25_SMg</vt:lpstr>
      <vt:lpstr>v_25_SN_B</vt:lpstr>
      <vt:lpstr>v_25_SN2</vt:lpstr>
      <vt:lpstr>v_25_SN2O</vt:lpstr>
      <vt:lpstr>v_25_SNH2OH</vt:lpstr>
      <vt:lpstr>v_25_SNHx</vt:lpstr>
      <vt:lpstr>v_25_SNO_AOB</vt:lpstr>
      <vt:lpstr>v_25_SNO_OHO</vt:lpstr>
      <vt:lpstr>v_25_SNO2</vt:lpstr>
      <vt:lpstr>v_25_SNO3</vt:lpstr>
      <vt:lpstr>v_25_SO2</vt:lpstr>
      <vt:lpstr>v_25_SORPswitch</vt:lpstr>
      <vt:lpstr>v_25_SP_B</vt:lpstr>
      <vt:lpstr>v_25_SPFOA</vt:lpstr>
      <vt:lpstr>v_25_SPFOS</vt:lpstr>
      <vt:lpstr>v_25_SPO4</vt:lpstr>
      <vt:lpstr>v_25_SU</vt:lpstr>
      <vt:lpstr>v_25_SVFA</vt:lpstr>
      <vt:lpstr>v_25_XACP</vt:lpstr>
      <vt:lpstr>v_25_XALGAE</vt:lpstr>
      <vt:lpstr>v_25_XAMETO</vt:lpstr>
      <vt:lpstr>v_25_XAMX</vt:lpstr>
      <vt:lpstr>v_25_XAOB</vt:lpstr>
      <vt:lpstr>v_25_XB</vt:lpstr>
      <vt:lpstr>v_25_XB_e</vt:lpstr>
      <vt:lpstr>v_25_XBSH</vt:lpstr>
      <vt:lpstr>v_25_XCaCO3</vt:lpstr>
      <vt:lpstr>v_25_XCASTO</vt:lpstr>
      <vt:lpstr>v_25_XE</vt:lpstr>
      <vt:lpstr>v_25_XE_ana</vt:lpstr>
      <vt:lpstr>v_25_XHAO_H</vt:lpstr>
      <vt:lpstr>v_25_XHAO_H_P</vt:lpstr>
      <vt:lpstr>v_25_XHAO_H_P_old</vt:lpstr>
      <vt:lpstr>v_25_XHAO_L</vt:lpstr>
      <vt:lpstr>v_25_XHAO_L_P</vt:lpstr>
      <vt:lpstr>v_25_XHAO_L_P_old</vt:lpstr>
      <vt:lpstr>v_25_XHAO_old</vt:lpstr>
      <vt:lpstr>v_25_XHFO_H</vt:lpstr>
      <vt:lpstr>v_25_XHFO_H_P</vt:lpstr>
      <vt:lpstr>v_25_XHFO_H_P_old</vt:lpstr>
      <vt:lpstr>v_25_XHFO_L</vt:lpstr>
      <vt:lpstr>v_25_XHFO_L_P</vt:lpstr>
      <vt:lpstr>v_25_XHFO_L_P_old</vt:lpstr>
      <vt:lpstr>v_25_XHFO_old</vt:lpstr>
      <vt:lpstr>v_25_XHMETO</vt:lpstr>
      <vt:lpstr>v_25_XINORG</vt:lpstr>
      <vt:lpstr>v_25_XMEOLO</vt:lpstr>
      <vt:lpstr>v_25_XN_B</vt:lpstr>
      <vt:lpstr>v_25_XN_Be</vt:lpstr>
      <vt:lpstr>v_25_XN_U</vt:lpstr>
      <vt:lpstr>v_25_XNOB</vt:lpstr>
      <vt:lpstr>v_25_XOHO</vt:lpstr>
      <vt:lpstr>v_25_XP_B</vt:lpstr>
      <vt:lpstr>v_25_XP_Be</vt:lpstr>
      <vt:lpstr>v_25_XP_U</vt:lpstr>
      <vt:lpstr>v_25_XPFOA</vt:lpstr>
      <vt:lpstr>v_25_XPFOS</vt:lpstr>
      <vt:lpstr>v_25_XPHA_GAO</vt:lpstr>
      <vt:lpstr>v_25_XPHA_PAO</vt:lpstr>
      <vt:lpstr>v_25_XPP</vt:lpstr>
      <vt:lpstr>v_25_XSTR</vt:lpstr>
      <vt:lpstr>v_25_XU</vt:lpstr>
      <vt:lpstr>v_25_XVivi</vt:lpstr>
      <vt:lpstr>v_26_CB</vt:lpstr>
      <vt:lpstr>v_26_CU</vt:lpstr>
      <vt:lpstr>v_26_GCH4</vt:lpstr>
      <vt:lpstr>v_26_GCH4_atm</vt:lpstr>
      <vt:lpstr>v_26_GCO2</vt:lpstr>
      <vt:lpstr>v_26_GCO2_atm</vt:lpstr>
      <vt:lpstr>v_26_GH2</vt:lpstr>
      <vt:lpstr>v_26_GH2_atm</vt:lpstr>
      <vt:lpstr>v_26_GN2</vt:lpstr>
      <vt:lpstr>v_26_GN2_atm</vt:lpstr>
      <vt:lpstr>v_26_GN2O</vt:lpstr>
      <vt:lpstr>v_26_GN2O_atm</vt:lpstr>
      <vt:lpstr>v_26_GNH3</vt:lpstr>
      <vt:lpstr>v_26_GNH3_atm</vt:lpstr>
      <vt:lpstr>v_26_GNO</vt:lpstr>
      <vt:lpstr>v_26_GNO_atm</vt:lpstr>
      <vt:lpstr>v_26_GO2</vt:lpstr>
      <vt:lpstr>v_26_GO2_atm</vt:lpstr>
      <vt:lpstr>v_26_SALPHA</vt:lpstr>
      <vt:lpstr>v_26_SAN</vt:lpstr>
      <vt:lpstr>v_26_SB</vt:lpstr>
      <vt:lpstr>v_26_SCa</vt:lpstr>
      <vt:lpstr>v_26_SCAT</vt:lpstr>
      <vt:lpstr>v_26_SCH4</vt:lpstr>
      <vt:lpstr>v_26_SCO2</vt:lpstr>
      <vt:lpstr>v_26_SFe2</vt:lpstr>
      <vt:lpstr>v_26_SH</vt:lpstr>
      <vt:lpstr>v_26_SH2</vt:lpstr>
      <vt:lpstr>v_26_SK</vt:lpstr>
      <vt:lpstr>v_26_SMEOL</vt:lpstr>
      <vt:lpstr>v_26_SMg</vt:lpstr>
      <vt:lpstr>v_26_SN_B</vt:lpstr>
      <vt:lpstr>v_26_SN2</vt:lpstr>
      <vt:lpstr>v_26_SN2O</vt:lpstr>
      <vt:lpstr>v_26_SNH2OH</vt:lpstr>
      <vt:lpstr>v_26_SNHx</vt:lpstr>
      <vt:lpstr>v_26_SNO_AOB</vt:lpstr>
      <vt:lpstr>v_26_SNO_OHO</vt:lpstr>
      <vt:lpstr>v_26_SNO2</vt:lpstr>
      <vt:lpstr>v_26_SNO3</vt:lpstr>
      <vt:lpstr>v_26_SO2</vt:lpstr>
      <vt:lpstr>v_26_SORPswitch</vt:lpstr>
      <vt:lpstr>v_26_SP_B</vt:lpstr>
      <vt:lpstr>v_26_SPFOA</vt:lpstr>
      <vt:lpstr>v_26_SPFOS</vt:lpstr>
      <vt:lpstr>v_26_SPO4</vt:lpstr>
      <vt:lpstr>v_26_SU</vt:lpstr>
      <vt:lpstr>v_26_SVFA</vt:lpstr>
      <vt:lpstr>v_26_XACP</vt:lpstr>
      <vt:lpstr>v_26_XALGAE</vt:lpstr>
      <vt:lpstr>v_26_XAMETO</vt:lpstr>
      <vt:lpstr>v_26_XAMX</vt:lpstr>
      <vt:lpstr>v_26_XAOB</vt:lpstr>
      <vt:lpstr>v_26_XB</vt:lpstr>
      <vt:lpstr>v_26_XB_e</vt:lpstr>
      <vt:lpstr>v_26_XBSH</vt:lpstr>
      <vt:lpstr>v_26_XCaCO3</vt:lpstr>
      <vt:lpstr>v_26_XCASTO</vt:lpstr>
      <vt:lpstr>v_26_XE</vt:lpstr>
      <vt:lpstr>v_26_XE_ana</vt:lpstr>
      <vt:lpstr>v_26_XHAO_H</vt:lpstr>
      <vt:lpstr>v_26_XHAO_H_P</vt:lpstr>
      <vt:lpstr>v_26_XHAO_H_P_old</vt:lpstr>
      <vt:lpstr>v_26_XHAO_L</vt:lpstr>
      <vt:lpstr>v_26_XHAO_L_P</vt:lpstr>
      <vt:lpstr>v_26_XHAO_L_P_old</vt:lpstr>
      <vt:lpstr>v_26_XHAO_old</vt:lpstr>
      <vt:lpstr>v_26_XHFO_H</vt:lpstr>
      <vt:lpstr>v_26_XHFO_H_P</vt:lpstr>
      <vt:lpstr>v_26_XHFO_H_P_old</vt:lpstr>
      <vt:lpstr>v_26_XHFO_L</vt:lpstr>
      <vt:lpstr>v_26_XHFO_L_P</vt:lpstr>
      <vt:lpstr>v_26_XHFO_L_P_old</vt:lpstr>
      <vt:lpstr>v_26_XHFO_old</vt:lpstr>
      <vt:lpstr>v_26_XHMETO</vt:lpstr>
      <vt:lpstr>v_26_XINORG</vt:lpstr>
      <vt:lpstr>v_26_XMEOLO</vt:lpstr>
      <vt:lpstr>v_26_XN_B</vt:lpstr>
      <vt:lpstr>v_26_XN_Be</vt:lpstr>
      <vt:lpstr>v_26_XN_U</vt:lpstr>
      <vt:lpstr>v_26_XNOB</vt:lpstr>
      <vt:lpstr>v_26_XOHO</vt:lpstr>
      <vt:lpstr>v_26_XP_B</vt:lpstr>
      <vt:lpstr>v_26_XP_Be</vt:lpstr>
      <vt:lpstr>v_26_XP_U</vt:lpstr>
      <vt:lpstr>v_26_XPFOA</vt:lpstr>
      <vt:lpstr>v_26_XPFOS</vt:lpstr>
      <vt:lpstr>v_26_XPHA_GAO</vt:lpstr>
      <vt:lpstr>v_26_XPHA_PAO</vt:lpstr>
      <vt:lpstr>v_26_XPP</vt:lpstr>
      <vt:lpstr>v_26_XSTR</vt:lpstr>
      <vt:lpstr>v_26_XU</vt:lpstr>
      <vt:lpstr>v_26_XVivi</vt:lpstr>
      <vt:lpstr>v_27_CB</vt:lpstr>
      <vt:lpstr>v_27_CU</vt:lpstr>
      <vt:lpstr>v_27_GCH4</vt:lpstr>
      <vt:lpstr>v_27_GCH4_atm</vt:lpstr>
      <vt:lpstr>v_27_GCO2</vt:lpstr>
      <vt:lpstr>v_27_GCO2_atm</vt:lpstr>
      <vt:lpstr>v_27_GH2</vt:lpstr>
      <vt:lpstr>v_27_GH2_atm</vt:lpstr>
      <vt:lpstr>v_27_GN2</vt:lpstr>
      <vt:lpstr>v_27_GN2_atm</vt:lpstr>
      <vt:lpstr>v_27_GN2O</vt:lpstr>
      <vt:lpstr>v_27_GN2O_atm</vt:lpstr>
      <vt:lpstr>v_27_GNH3</vt:lpstr>
      <vt:lpstr>v_27_GNH3_atm</vt:lpstr>
      <vt:lpstr>v_27_GNO</vt:lpstr>
      <vt:lpstr>v_27_GNO_atm</vt:lpstr>
      <vt:lpstr>v_27_GO2</vt:lpstr>
      <vt:lpstr>v_27_GO2_atm</vt:lpstr>
      <vt:lpstr>v_27_SALPHA</vt:lpstr>
      <vt:lpstr>v_27_SAN</vt:lpstr>
      <vt:lpstr>v_27_SB</vt:lpstr>
      <vt:lpstr>v_27_SCa</vt:lpstr>
      <vt:lpstr>v_27_SCAT</vt:lpstr>
      <vt:lpstr>v_27_SCH4</vt:lpstr>
      <vt:lpstr>v_27_SCO2</vt:lpstr>
      <vt:lpstr>v_27_SFe2</vt:lpstr>
      <vt:lpstr>v_27_SH</vt:lpstr>
      <vt:lpstr>v_27_SH2</vt:lpstr>
      <vt:lpstr>v_27_SK</vt:lpstr>
      <vt:lpstr>v_27_SMEOL</vt:lpstr>
      <vt:lpstr>v_27_SMg</vt:lpstr>
      <vt:lpstr>v_27_SN_B</vt:lpstr>
      <vt:lpstr>v_27_SN2</vt:lpstr>
      <vt:lpstr>v_27_SN2O</vt:lpstr>
      <vt:lpstr>v_27_SNH2OH</vt:lpstr>
      <vt:lpstr>v_27_SNHx</vt:lpstr>
      <vt:lpstr>v_27_SNO_AOB</vt:lpstr>
      <vt:lpstr>v_27_SNO_OHO</vt:lpstr>
      <vt:lpstr>v_27_SNO2</vt:lpstr>
      <vt:lpstr>v_27_SNO3</vt:lpstr>
      <vt:lpstr>v_27_SO2</vt:lpstr>
      <vt:lpstr>v_27_SORPswitch</vt:lpstr>
      <vt:lpstr>v_27_SP_B</vt:lpstr>
      <vt:lpstr>v_27_SPFOA</vt:lpstr>
      <vt:lpstr>v_27_SPFOS</vt:lpstr>
      <vt:lpstr>v_27_SPO4</vt:lpstr>
      <vt:lpstr>v_27_SU</vt:lpstr>
      <vt:lpstr>v_27_SVFA</vt:lpstr>
      <vt:lpstr>v_27_XACP</vt:lpstr>
      <vt:lpstr>v_27_XALGAE</vt:lpstr>
      <vt:lpstr>v_27_XAMETO</vt:lpstr>
      <vt:lpstr>v_27_XAMX</vt:lpstr>
      <vt:lpstr>v_27_XAOB</vt:lpstr>
      <vt:lpstr>v_27_XB</vt:lpstr>
      <vt:lpstr>v_27_XB_e</vt:lpstr>
      <vt:lpstr>v_27_XBSH</vt:lpstr>
      <vt:lpstr>v_27_XCaCO3</vt:lpstr>
      <vt:lpstr>v_27_XCASTO</vt:lpstr>
      <vt:lpstr>v_27_XE</vt:lpstr>
      <vt:lpstr>v_27_XE_ana</vt:lpstr>
      <vt:lpstr>v_27_XHAO_H</vt:lpstr>
      <vt:lpstr>v_27_XHAO_H_P</vt:lpstr>
      <vt:lpstr>v_27_XHAO_H_P_old</vt:lpstr>
      <vt:lpstr>v_27_XHAO_L</vt:lpstr>
      <vt:lpstr>v_27_XHAO_L_P</vt:lpstr>
      <vt:lpstr>v_27_XHAO_L_P_old</vt:lpstr>
      <vt:lpstr>v_27_XHAO_old</vt:lpstr>
      <vt:lpstr>v_27_XHFO_H</vt:lpstr>
      <vt:lpstr>v_27_XHFO_H_P</vt:lpstr>
      <vt:lpstr>v_27_XHFO_H_P_old</vt:lpstr>
      <vt:lpstr>v_27_XHFO_L</vt:lpstr>
      <vt:lpstr>v_27_XHFO_L_P</vt:lpstr>
      <vt:lpstr>v_27_XHFO_L_P_old</vt:lpstr>
      <vt:lpstr>v_27_XHFO_old</vt:lpstr>
      <vt:lpstr>v_27_XHMETO</vt:lpstr>
      <vt:lpstr>v_27_XINORG</vt:lpstr>
      <vt:lpstr>v_27_XMEOLO</vt:lpstr>
      <vt:lpstr>v_27_XN_B</vt:lpstr>
      <vt:lpstr>v_27_XN_Be</vt:lpstr>
      <vt:lpstr>v_27_XN_U</vt:lpstr>
      <vt:lpstr>v_27_XNOB</vt:lpstr>
      <vt:lpstr>v_27_XOHO</vt:lpstr>
      <vt:lpstr>v_27_XP_B</vt:lpstr>
      <vt:lpstr>v_27_XP_Be</vt:lpstr>
      <vt:lpstr>v_27_XP_U</vt:lpstr>
      <vt:lpstr>v_27_XPFOA</vt:lpstr>
      <vt:lpstr>v_27_XPFOS</vt:lpstr>
      <vt:lpstr>v_27_XPHA_GAO</vt:lpstr>
      <vt:lpstr>v_27_XPHA_PAO</vt:lpstr>
      <vt:lpstr>v_27_XPP</vt:lpstr>
      <vt:lpstr>v_27_XSTR</vt:lpstr>
      <vt:lpstr>v_27_XU</vt:lpstr>
      <vt:lpstr>v_27_XVivi</vt:lpstr>
      <vt:lpstr>v_28_CB</vt:lpstr>
      <vt:lpstr>v_28_CU</vt:lpstr>
      <vt:lpstr>v_28_GCH4</vt:lpstr>
      <vt:lpstr>v_28_GCH4_atm</vt:lpstr>
      <vt:lpstr>v_28_GCO2</vt:lpstr>
      <vt:lpstr>v_28_GCO2_atm</vt:lpstr>
      <vt:lpstr>v_28_GH2</vt:lpstr>
      <vt:lpstr>v_28_GH2_atm</vt:lpstr>
      <vt:lpstr>v_28_GN2</vt:lpstr>
      <vt:lpstr>v_28_GN2_atm</vt:lpstr>
      <vt:lpstr>v_28_GN2O</vt:lpstr>
      <vt:lpstr>v_28_GN2O_atm</vt:lpstr>
      <vt:lpstr>v_28_GNH3</vt:lpstr>
      <vt:lpstr>v_28_GNH3_atm</vt:lpstr>
      <vt:lpstr>v_28_GNO</vt:lpstr>
      <vt:lpstr>v_28_GNO_atm</vt:lpstr>
      <vt:lpstr>v_28_GO2</vt:lpstr>
      <vt:lpstr>v_28_GO2_atm</vt:lpstr>
      <vt:lpstr>v_28_SALPHA</vt:lpstr>
      <vt:lpstr>v_28_SAN</vt:lpstr>
      <vt:lpstr>v_28_SB</vt:lpstr>
      <vt:lpstr>v_28_SCa</vt:lpstr>
      <vt:lpstr>v_28_SCAT</vt:lpstr>
      <vt:lpstr>v_28_SCH4</vt:lpstr>
      <vt:lpstr>v_28_SCO2</vt:lpstr>
      <vt:lpstr>v_28_SFe2</vt:lpstr>
      <vt:lpstr>v_28_SH</vt:lpstr>
      <vt:lpstr>v_28_SH2</vt:lpstr>
      <vt:lpstr>v_28_SK</vt:lpstr>
      <vt:lpstr>v_28_SMEOL</vt:lpstr>
      <vt:lpstr>v_28_SMg</vt:lpstr>
      <vt:lpstr>v_28_SN_B</vt:lpstr>
      <vt:lpstr>v_28_SN2</vt:lpstr>
      <vt:lpstr>v_28_SN2O</vt:lpstr>
      <vt:lpstr>v_28_SNH2OH</vt:lpstr>
      <vt:lpstr>v_28_SNHx</vt:lpstr>
      <vt:lpstr>v_28_SNO_AOB</vt:lpstr>
      <vt:lpstr>v_28_SNO_OHO</vt:lpstr>
      <vt:lpstr>v_28_SNO2</vt:lpstr>
      <vt:lpstr>v_28_SNO3</vt:lpstr>
      <vt:lpstr>v_28_SO2</vt:lpstr>
      <vt:lpstr>v_28_SORPswitch</vt:lpstr>
      <vt:lpstr>v_28_SP_B</vt:lpstr>
      <vt:lpstr>v_28_SPFOA</vt:lpstr>
      <vt:lpstr>v_28_SPFOS</vt:lpstr>
      <vt:lpstr>v_28_SPO4</vt:lpstr>
      <vt:lpstr>v_28_SU</vt:lpstr>
      <vt:lpstr>v_28_SVFA</vt:lpstr>
      <vt:lpstr>v_28_XACP</vt:lpstr>
      <vt:lpstr>v_28_XALGAE</vt:lpstr>
      <vt:lpstr>v_28_XAMETO</vt:lpstr>
      <vt:lpstr>v_28_XAMX</vt:lpstr>
      <vt:lpstr>v_28_XAOB</vt:lpstr>
      <vt:lpstr>v_28_XB</vt:lpstr>
      <vt:lpstr>v_28_XB_e</vt:lpstr>
      <vt:lpstr>v_28_XBSH</vt:lpstr>
      <vt:lpstr>v_28_XCaCO3</vt:lpstr>
      <vt:lpstr>v_28_XCASTO</vt:lpstr>
      <vt:lpstr>v_28_XE</vt:lpstr>
      <vt:lpstr>v_28_XE_ana</vt:lpstr>
      <vt:lpstr>v_28_XHAO_H</vt:lpstr>
      <vt:lpstr>v_28_XHAO_H_P</vt:lpstr>
      <vt:lpstr>v_28_XHAO_H_P_old</vt:lpstr>
      <vt:lpstr>v_28_XHAO_L</vt:lpstr>
      <vt:lpstr>v_28_XHAO_L_P</vt:lpstr>
      <vt:lpstr>v_28_XHAO_L_P_old</vt:lpstr>
      <vt:lpstr>v_28_XHAO_old</vt:lpstr>
      <vt:lpstr>v_28_XHFO_H</vt:lpstr>
      <vt:lpstr>v_28_XHFO_H_P</vt:lpstr>
      <vt:lpstr>v_28_XHFO_H_P_old</vt:lpstr>
      <vt:lpstr>v_28_XHFO_L</vt:lpstr>
      <vt:lpstr>v_28_XHFO_L_P</vt:lpstr>
      <vt:lpstr>v_28_XHFO_L_P_old</vt:lpstr>
      <vt:lpstr>v_28_XHFO_old</vt:lpstr>
      <vt:lpstr>v_28_XHMETO</vt:lpstr>
      <vt:lpstr>v_28_XINORG</vt:lpstr>
      <vt:lpstr>v_28_XMEOLO</vt:lpstr>
      <vt:lpstr>v_28_XN_B</vt:lpstr>
      <vt:lpstr>v_28_XN_Be</vt:lpstr>
      <vt:lpstr>v_28_XN_U</vt:lpstr>
      <vt:lpstr>v_28_XNOB</vt:lpstr>
      <vt:lpstr>v_28_XOHO</vt:lpstr>
      <vt:lpstr>v_28_XP_B</vt:lpstr>
      <vt:lpstr>v_28_XP_Be</vt:lpstr>
      <vt:lpstr>v_28_XP_U</vt:lpstr>
      <vt:lpstr>v_28_XPFOA</vt:lpstr>
      <vt:lpstr>v_28_XPFOS</vt:lpstr>
      <vt:lpstr>v_28_XPHA_GAO</vt:lpstr>
      <vt:lpstr>v_28_XPHA_PAO</vt:lpstr>
      <vt:lpstr>v_28_XPP</vt:lpstr>
      <vt:lpstr>v_28_XSTR</vt:lpstr>
      <vt:lpstr>v_28_XU</vt:lpstr>
      <vt:lpstr>v_28_XVivi</vt:lpstr>
      <vt:lpstr>v_29_CB</vt:lpstr>
      <vt:lpstr>v_29_CU</vt:lpstr>
      <vt:lpstr>v_29_GCH4</vt:lpstr>
      <vt:lpstr>v_29_GCH4_atm</vt:lpstr>
      <vt:lpstr>v_29_GCO2</vt:lpstr>
      <vt:lpstr>v_29_GCO2_atm</vt:lpstr>
      <vt:lpstr>v_29_GH2</vt:lpstr>
      <vt:lpstr>v_29_GH2_atm</vt:lpstr>
      <vt:lpstr>v_29_GN2</vt:lpstr>
      <vt:lpstr>v_29_GN2_atm</vt:lpstr>
      <vt:lpstr>v_29_GN2O</vt:lpstr>
      <vt:lpstr>v_29_GN2O_atm</vt:lpstr>
      <vt:lpstr>v_29_GNH3</vt:lpstr>
      <vt:lpstr>v_29_GNH3_atm</vt:lpstr>
      <vt:lpstr>v_29_GNO</vt:lpstr>
      <vt:lpstr>v_29_GNO_atm</vt:lpstr>
      <vt:lpstr>v_29_GO2</vt:lpstr>
      <vt:lpstr>v_29_GO2_atm</vt:lpstr>
      <vt:lpstr>v_29_SALPHA</vt:lpstr>
      <vt:lpstr>v_29_SAN</vt:lpstr>
      <vt:lpstr>v_29_SB</vt:lpstr>
      <vt:lpstr>v_29_SCa</vt:lpstr>
      <vt:lpstr>v_29_SCAT</vt:lpstr>
      <vt:lpstr>v_29_SCH4</vt:lpstr>
      <vt:lpstr>v_29_SCO2</vt:lpstr>
      <vt:lpstr>v_29_SFe2</vt:lpstr>
      <vt:lpstr>v_29_SH</vt:lpstr>
      <vt:lpstr>v_29_SH2</vt:lpstr>
      <vt:lpstr>v_29_SK</vt:lpstr>
      <vt:lpstr>v_29_SMEOL</vt:lpstr>
      <vt:lpstr>v_29_SMg</vt:lpstr>
      <vt:lpstr>v_29_SN_B</vt:lpstr>
      <vt:lpstr>v_29_SN2</vt:lpstr>
      <vt:lpstr>v_29_SN2O</vt:lpstr>
      <vt:lpstr>v_29_SNH2OH</vt:lpstr>
      <vt:lpstr>v_29_SNHx</vt:lpstr>
      <vt:lpstr>v_29_SNO_AOB</vt:lpstr>
      <vt:lpstr>v_29_SNO_OHO</vt:lpstr>
      <vt:lpstr>v_29_SNO2</vt:lpstr>
      <vt:lpstr>v_29_SNO3</vt:lpstr>
      <vt:lpstr>v_29_SO2</vt:lpstr>
      <vt:lpstr>v_29_SORPswitch</vt:lpstr>
      <vt:lpstr>v_29_SP_B</vt:lpstr>
      <vt:lpstr>v_29_SPFOA</vt:lpstr>
      <vt:lpstr>v_29_SPFOS</vt:lpstr>
      <vt:lpstr>v_29_SPO4</vt:lpstr>
      <vt:lpstr>v_29_SU</vt:lpstr>
      <vt:lpstr>v_29_SVFA</vt:lpstr>
      <vt:lpstr>v_29_XACP</vt:lpstr>
      <vt:lpstr>v_29_XALGAE</vt:lpstr>
      <vt:lpstr>v_29_XAMETO</vt:lpstr>
      <vt:lpstr>v_29_XAMX</vt:lpstr>
      <vt:lpstr>v_29_XAOB</vt:lpstr>
      <vt:lpstr>v_29_XB</vt:lpstr>
      <vt:lpstr>v_29_XB_e</vt:lpstr>
      <vt:lpstr>v_29_XBSH</vt:lpstr>
      <vt:lpstr>v_29_XCaCO3</vt:lpstr>
      <vt:lpstr>v_29_XCASTO</vt:lpstr>
      <vt:lpstr>v_29_XE</vt:lpstr>
      <vt:lpstr>v_29_XE_ana</vt:lpstr>
      <vt:lpstr>v_29_XHAO_H</vt:lpstr>
      <vt:lpstr>v_29_XHAO_H_P</vt:lpstr>
      <vt:lpstr>v_29_XHAO_H_P_old</vt:lpstr>
      <vt:lpstr>v_29_XHAO_L</vt:lpstr>
      <vt:lpstr>v_29_XHAO_L_P</vt:lpstr>
      <vt:lpstr>v_29_XHAO_L_P_old</vt:lpstr>
      <vt:lpstr>v_29_XHAO_old</vt:lpstr>
      <vt:lpstr>v_29_XHFO_H</vt:lpstr>
      <vt:lpstr>v_29_XHFO_H_P</vt:lpstr>
      <vt:lpstr>v_29_XHFO_H_P_old</vt:lpstr>
      <vt:lpstr>v_29_XHFO_L</vt:lpstr>
      <vt:lpstr>v_29_XHFO_L_P</vt:lpstr>
      <vt:lpstr>v_29_XHFO_L_P_old</vt:lpstr>
      <vt:lpstr>v_29_XHFO_old</vt:lpstr>
      <vt:lpstr>v_29_XHMETO</vt:lpstr>
      <vt:lpstr>v_29_XINORG</vt:lpstr>
      <vt:lpstr>v_29_XMEOLO</vt:lpstr>
      <vt:lpstr>v_29_XN_B</vt:lpstr>
      <vt:lpstr>v_29_XN_Be</vt:lpstr>
      <vt:lpstr>v_29_XN_U</vt:lpstr>
      <vt:lpstr>v_29_XNOB</vt:lpstr>
      <vt:lpstr>v_29_XOHO</vt:lpstr>
      <vt:lpstr>v_29_XP_B</vt:lpstr>
      <vt:lpstr>v_29_XP_Be</vt:lpstr>
      <vt:lpstr>v_29_XP_U</vt:lpstr>
      <vt:lpstr>v_29_XPFOA</vt:lpstr>
      <vt:lpstr>v_29_XPFOS</vt:lpstr>
      <vt:lpstr>v_29_XPHA_GAO</vt:lpstr>
      <vt:lpstr>v_29_XPHA_PAO</vt:lpstr>
      <vt:lpstr>v_29_XPP</vt:lpstr>
      <vt:lpstr>v_29_XSTR</vt:lpstr>
      <vt:lpstr>v_29_XU</vt:lpstr>
      <vt:lpstr>v_29_XVivi</vt:lpstr>
      <vt:lpstr>v_3_CB</vt:lpstr>
      <vt:lpstr>v_3_CU</vt:lpstr>
      <vt:lpstr>v_3_GCH4</vt:lpstr>
      <vt:lpstr>v_3_GCH4_atm</vt:lpstr>
      <vt:lpstr>v_3_GCO2</vt:lpstr>
      <vt:lpstr>v_3_GCO2_atm</vt:lpstr>
      <vt:lpstr>v_3_GH2</vt:lpstr>
      <vt:lpstr>v_3_GH2_atm</vt:lpstr>
      <vt:lpstr>v_3_GN2</vt:lpstr>
      <vt:lpstr>v_3_GN2_atm</vt:lpstr>
      <vt:lpstr>v_3_GN2O</vt:lpstr>
      <vt:lpstr>v_3_GN2O_atm</vt:lpstr>
      <vt:lpstr>v_3_GNH3</vt:lpstr>
      <vt:lpstr>v_3_GNH3_atm</vt:lpstr>
      <vt:lpstr>v_3_GNO</vt:lpstr>
      <vt:lpstr>v_3_GNO_atm</vt:lpstr>
      <vt:lpstr>v_3_GO2</vt:lpstr>
      <vt:lpstr>v_3_GO2_atm</vt:lpstr>
      <vt:lpstr>v_3_SALPHA</vt:lpstr>
      <vt:lpstr>v_3_SAN</vt:lpstr>
      <vt:lpstr>v_3_SB</vt:lpstr>
      <vt:lpstr>v_3_SCa</vt:lpstr>
      <vt:lpstr>v_3_SCAT</vt:lpstr>
      <vt:lpstr>v_3_SCH4</vt:lpstr>
      <vt:lpstr>v_3_SCO2</vt:lpstr>
      <vt:lpstr>v_3_SFe2</vt:lpstr>
      <vt:lpstr>v_3_SH</vt:lpstr>
      <vt:lpstr>v_3_SH2</vt:lpstr>
      <vt:lpstr>v_3_SK</vt:lpstr>
      <vt:lpstr>v_3_SMEOL</vt:lpstr>
      <vt:lpstr>v_3_SMg</vt:lpstr>
      <vt:lpstr>v_3_SN_B</vt:lpstr>
      <vt:lpstr>v_3_SN2</vt:lpstr>
      <vt:lpstr>v_3_SN2O</vt:lpstr>
      <vt:lpstr>v_3_SNH2OH</vt:lpstr>
      <vt:lpstr>v_3_SNHx</vt:lpstr>
      <vt:lpstr>v_3_SNO_AOB</vt:lpstr>
      <vt:lpstr>v_3_SNO_OHO</vt:lpstr>
      <vt:lpstr>v_3_SNO2</vt:lpstr>
      <vt:lpstr>v_3_SNO3</vt:lpstr>
      <vt:lpstr>v_3_SO2</vt:lpstr>
      <vt:lpstr>v_3_SORPswitch</vt:lpstr>
      <vt:lpstr>v_3_SP_B</vt:lpstr>
      <vt:lpstr>v_3_SPFOA</vt:lpstr>
      <vt:lpstr>v_3_SPFOS</vt:lpstr>
      <vt:lpstr>v_3_SPO4</vt:lpstr>
      <vt:lpstr>v_3_SU</vt:lpstr>
      <vt:lpstr>v_3_SVFA</vt:lpstr>
      <vt:lpstr>v_3_XACP</vt:lpstr>
      <vt:lpstr>v_3_XALGAE</vt:lpstr>
      <vt:lpstr>v_3_XAMETO</vt:lpstr>
      <vt:lpstr>v_3_XAMX</vt:lpstr>
      <vt:lpstr>v_3_XAOB</vt:lpstr>
      <vt:lpstr>v_3_XB</vt:lpstr>
      <vt:lpstr>v_3_XB_e</vt:lpstr>
      <vt:lpstr>v_3_XBSH</vt:lpstr>
      <vt:lpstr>v_3_XCaCO3</vt:lpstr>
      <vt:lpstr>v_3_XCASTO</vt:lpstr>
      <vt:lpstr>v_3_XE</vt:lpstr>
      <vt:lpstr>v_3_XE_ana</vt:lpstr>
      <vt:lpstr>v_3_XHAO_H</vt:lpstr>
      <vt:lpstr>v_3_XHAO_H_P</vt:lpstr>
      <vt:lpstr>v_3_XHAO_H_P_old</vt:lpstr>
      <vt:lpstr>v_3_XHAO_L</vt:lpstr>
      <vt:lpstr>v_3_XHAO_L_P</vt:lpstr>
      <vt:lpstr>v_3_XHAO_L_P_old</vt:lpstr>
      <vt:lpstr>v_3_XHAO_old</vt:lpstr>
      <vt:lpstr>v_3_XHFO_H</vt:lpstr>
      <vt:lpstr>v_3_XHFO_H_P</vt:lpstr>
      <vt:lpstr>v_3_XHFO_H_P_old</vt:lpstr>
      <vt:lpstr>v_3_XHFO_L</vt:lpstr>
      <vt:lpstr>v_3_XHFO_L_P</vt:lpstr>
      <vt:lpstr>v_3_XHFO_L_P_old</vt:lpstr>
      <vt:lpstr>v_3_XHFO_old</vt:lpstr>
      <vt:lpstr>v_3_XHMETO</vt:lpstr>
      <vt:lpstr>v_3_XINORG</vt:lpstr>
      <vt:lpstr>v_3_XMEOLO</vt:lpstr>
      <vt:lpstr>v_3_XN_B</vt:lpstr>
      <vt:lpstr>v_3_XN_Be</vt:lpstr>
      <vt:lpstr>v_3_XN_U</vt:lpstr>
      <vt:lpstr>v_3_XNOB</vt:lpstr>
      <vt:lpstr>v_3_XOHO</vt:lpstr>
      <vt:lpstr>v_3_XP_B</vt:lpstr>
      <vt:lpstr>v_3_XP_Be</vt:lpstr>
      <vt:lpstr>v_3_XP_U</vt:lpstr>
      <vt:lpstr>v_3_XPFOA</vt:lpstr>
      <vt:lpstr>v_3_XPFOS</vt:lpstr>
      <vt:lpstr>v_3_XPHA_GAO</vt:lpstr>
      <vt:lpstr>v_3_XPHA_PAO</vt:lpstr>
      <vt:lpstr>v_3_XPP</vt:lpstr>
      <vt:lpstr>v_3_XSTR</vt:lpstr>
      <vt:lpstr>v_3_XU</vt:lpstr>
      <vt:lpstr>v_3_XVivi</vt:lpstr>
      <vt:lpstr>v_30_CB</vt:lpstr>
      <vt:lpstr>v_30_CU</vt:lpstr>
      <vt:lpstr>v_30_GCH4</vt:lpstr>
      <vt:lpstr>v_30_GCH4_atm</vt:lpstr>
      <vt:lpstr>v_30_GCO2</vt:lpstr>
      <vt:lpstr>v_30_GCO2_atm</vt:lpstr>
      <vt:lpstr>v_30_GH2</vt:lpstr>
      <vt:lpstr>v_30_GH2_atm</vt:lpstr>
      <vt:lpstr>v_30_GN2</vt:lpstr>
      <vt:lpstr>v_30_GN2_atm</vt:lpstr>
      <vt:lpstr>v_30_GN2O</vt:lpstr>
      <vt:lpstr>v_30_GN2O_atm</vt:lpstr>
      <vt:lpstr>v_30_GNH3</vt:lpstr>
      <vt:lpstr>v_30_GNH3_atm</vt:lpstr>
      <vt:lpstr>v_30_GNO</vt:lpstr>
      <vt:lpstr>v_30_GNO_atm</vt:lpstr>
      <vt:lpstr>v_30_GO2</vt:lpstr>
      <vt:lpstr>v_30_GO2_atm</vt:lpstr>
      <vt:lpstr>v_30_SALPHA</vt:lpstr>
      <vt:lpstr>v_30_SAN</vt:lpstr>
      <vt:lpstr>v_30_SB</vt:lpstr>
      <vt:lpstr>v_30_SCa</vt:lpstr>
      <vt:lpstr>v_30_SCAT</vt:lpstr>
      <vt:lpstr>v_30_SCH4</vt:lpstr>
      <vt:lpstr>v_30_SCO2</vt:lpstr>
      <vt:lpstr>v_30_SFe2</vt:lpstr>
      <vt:lpstr>v_30_SH</vt:lpstr>
      <vt:lpstr>v_30_SH2</vt:lpstr>
      <vt:lpstr>v_30_SK</vt:lpstr>
      <vt:lpstr>v_30_SMEOL</vt:lpstr>
      <vt:lpstr>v_30_SMg</vt:lpstr>
      <vt:lpstr>v_30_SN_B</vt:lpstr>
      <vt:lpstr>v_30_SN2</vt:lpstr>
      <vt:lpstr>v_30_SN2O</vt:lpstr>
      <vt:lpstr>v_30_SNH2OH</vt:lpstr>
      <vt:lpstr>v_30_SNHx</vt:lpstr>
      <vt:lpstr>v_30_SNO_AOB</vt:lpstr>
      <vt:lpstr>v_30_SNO_OHO</vt:lpstr>
      <vt:lpstr>v_30_SNO2</vt:lpstr>
      <vt:lpstr>v_30_SNO3</vt:lpstr>
      <vt:lpstr>v_30_SO2</vt:lpstr>
      <vt:lpstr>v_30_SORPswitch</vt:lpstr>
      <vt:lpstr>v_30_SP_B</vt:lpstr>
      <vt:lpstr>v_30_SPFOA</vt:lpstr>
      <vt:lpstr>v_30_SPFOS</vt:lpstr>
      <vt:lpstr>v_30_SPO4</vt:lpstr>
      <vt:lpstr>v_30_SU</vt:lpstr>
      <vt:lpstr>v_30_SVFA</vt:lpstr>
      <vt:lpstr>v_30_XACP</vt:lpstr>
      <vt:lpstr>v_30_XALGAE</vt:lpstr>
      <vt:lpstr>v_30_XAMETO</vt:lpstr>
      <vt:lpstr>v_30_XAMX</vt:lpstr>
      <vt:lpstr>v_30_XAOB</vt:lpstr>
      <vt:lpstr>v_30_XB</vt:lpstr>
      <vt:lpstr>v_30_XB_e</vt:lpstr>
      <vt:lpstr>v_30_XBSH</vt:lpstr>
      <vt:lpstr>v_30_XCaCO3</vt:lpstr>
      <vt:lpstr>v_30_XCASTO</vt:lpstr>
      <vt:lpstr>v_30_XE</vt:lpstr>
      <vt:lpstr>v_30_XE_ana</vt:lpstr>
      <vt:lpstr>v_30_XHAO_H</vt:lpstr>
      <vt:lpstr>v_30_XHAO_H_P</vt:lpstr>
      <vt:lpstr>v_30_XHAO_H_P_old</vt:lpstr>
      <vt:lpstr>v_30_XHAO_L</vt:lpstr>
      <vt:lpstr>v_30_XHAO_L_P</vt:lpstr>
      <vt:lpstr>v_30_XHAO_L_P_old</vt:lpstr>
      <vt:lpstr>v_30_XHAO_old</vt:lpstr>
      <vt:lpstr>v_30_XHFO_H</vt:lpstr>
      <vt:lpstr>v_30_XHFO_H_P</vt:lpstr>
      <vt:lpstr>v_30_XHFO_H_P_old</vt:lpstr>
      <vt:lpstr>v_30_XHFO_L</vt:lpstr>
      <vt:lpstr>v_30_XHFO_L_P</vt:lpstr>
      <vt:lpstr>v_30_XHFO_L_P_old</vt:lpstr>
      <vt:lpstr>v_30_XHFO_old</vt:lpstr>
      <vt:lpstr>v_30_XHMETO</vt:lpstr>
      <vt:lpstr>v_30_XINORG</vt:lpstr>
      <vt:lpstr>v_30_XMEOLO</vt:lpstr>
      <vt:lpstr>v_30_XN_B</vt:lpstr>
      <vt:lpstr>v_30_XN_Be</vt:lpstr>
      <vt:lpstr>v_30_XN_U</vt:lpstr>
      <vt:lpstr>v_30_XNOB</vt:lpstr>
      <vt:lpstr>v_30_XOHO</vt:lpstr>
      <vt:lpstr>v_30_XP_B</vt:lpstr>
      <vt:lpstr>v_30_XP_Be</vt:lpstr>
      <vt:lpstr>v_30_XP_U</vt:lpstr>
      <vt:lpstr>v_30_XPFOA</vt:lpstr>
      <vt:lpstr>v_30_XPFOS</vt:lpstr>
      <vt:lpstr>v_30_XPHA_GAO</vt:lpstr>
      <vt:lpstr>v_30_XPHA_PAO</vt:lpstr>
      <vt:lpstr>v_30_XPP</vt:lpstr>
      <vt:lpstr>v_30_XSTR</vt:lpstr>
      <vt:lpstr>v_30_XU</vt:lpstr>
      <vt:lpstr>v_30_XVivi</vt:lpstr>
      <vt:lpstr>v_31_CB</vt:lpstr>
      <vt:lpstr>v_31_CU</vt:lpstr>
      <vt:lpstr>v_31_GCH4</vt:lpstr>
      <vt:lpstr>v_31_GCH4_atm</vt:lpstr>
      <vt:lpstr>v_31_GCO2</vt:lpstr>
      <vt:lpstr>v_31_GCO2_atm</vt:lpstr>
      <vt:lpstr>v_31_GH2</vt:lpstr>
      <vt:lpstr>v_31_GH2_atm</vt:lpstr>
      <vt:lpstr>v_31_GN2</vt:lpstr>
      <vt:lpstr>v_31_GN2_atm</vt:lpstr>
      <vt:lpstr>v_31_GN2O</vt:lpstr>
      <vt:lpstr>v_31_GN2O_atm</vt:lpstr>
      <vt:lpstr>v_31_GNH3</vt:lpstr>
      <vt:lpstr>v_31_GNH3_atm</vt:lpstr>
      <vt:lpstr>v_31_GNO</vt:lpstr>
      <vt:lpstr>v_31_GNO_atm</vt:lpstr>
      <vt:lpstr>v_31_GO2</vt:lpstr>
      <vt:lpstr>v_31_GO2_atm</vt:lpstr>
      <vt:lpstr>v_31_SALPHA</vt:lpstr>
      <vt:lpstr>v_31_SAN</vt:lpstr>
      <vt:lpstr>v_31_SB</vt:lpstr>
      <vt:lpstr>v_31_SCa</vt:lpstr>
      <vt:lpstr>v_31_SCAT</vt:lpstr>
      <vt:lpstr>v_31_SCH4</vt:lpstr>
      <vt:lpstr>v_31_SCO2</vt:lpstr>
      <vt:lpstr>v_31_SFe2</vt:lpstr>
      <vt:lpstr>v_31_SH</vt:lpstr>
      <vt:lpstr>v_31_SH2</vt:lpstr>
      <vt:lpstr>v_31_SK</vt:lpstr>
      <vt:lpstr>v_31_SMEOL</vt:lpstr>
      <vt:lpstr>v_31_SMg</vt:lpstr>
      <vt:lpstr>v_31_SN_B</vt:lpstr>
      <vt:lpstr>v_31_SN2</vt:lpstr>
      <vt:lpstr>v_31_SN2O</vt:lpstr>
      <vt:lpstr>v_31_SNH2OH</vt:lpstr>
      <vt:lpstr>v_31_SNHx</vt:lpstr>
      <vt:lpstr>v_31_SNO_AOB</vt:lpstr>
      <vt:lpstr>v_31_SNO_OHO</vt:lpstr>
      <vt:lpstr>v_31_SNO2</vt:lpstr>
      <vt:lpstr>v_31_SNO3</vt:lpstr>
      <vt:lpstr>v_31_SO2</vt:lpstr>
      <vt:lpstr>v_31_SORPswitch</vt:lpstr>
      <vt:lpstr>v_31_SP_B</vt:lpstr>
      <vt:lpstr>v_31_SPFOA</vt:lpstr>
      <vt:lpstr>v_31_SPFOS</vt:lpstr>
      <vt:lpstr>v_31_SPO4</vt:lpstr>
      <vt:lpstr>v_31_SU</vt:lpstr>
      <vt:lpstr>v_31_SVFA</vt:lpstr>
      <vt:lpstr>v_31_XACP</vt:lpstr>
      <vt:lpstr>v_31_XALGAE</vt:lpstr>
      <vt:lpstr>v_31_XAMETO</vt:lpstr>
      <vt:lpstr>v_31_XAMX</vt:lpstr>
      <vt:lpstr>v_31_XAOB</vt:lpstr>
      <vt:lpstr>v_31_XB</vt:lpstr>
      <vt:lpstr>v_31_XB_e</vt:lpstr>
      <vt:lpstr>v_31_XBSH</vt:lpstr>
      <vt:lpstr>v_31_XCaCO3</vt:lpstr>
      <vt:lpstr>v_31_XCASTO</vt:lpstr>
      <vt:lpstr>v_31_XE</vt:lpstr>
      <vt:lpstr>v_31_XE_ana</vt:lpstr>
      <vt:lpstr>v_31_XHAO_H</vt:lpstr>
      <vt:lpstr>v_31_XHAO_H_P</vt:lpstr>
      <vt:lpstr>v_31_XHAO_H_P_old</vt:lpstr>
      <vt:lpstr>v_31_XHAO_L</vt:lpstr>
      <vt:lpstr>v_31_XHAO_L_P</vt:lpstr>
      <vt:lpstr>v_31_XHAO_L_P_old</vt:lpstr>
      <vt:lpstr>v_31_XHAO_old</vt:lpstr>
      <vt:lpstr>v_31_XHFO_H</vt:lpstr>
      <vt:lpstr>v_31_XHFO_H_P</vt:lpstr>
      <vt:lpstr>v_31_XHFO_H_P_old</vt:lpstr>
      <vt:lpstr>v_31_XHFO_L</vt:lpstr>
      <vt:lpstr>v_31_XHFO_L_P</vt:lpstr>
      <vt:lpstr>v_31_XHFO_L_P_old</vt:lpstr>
      <vt:lpstr>v_31_XHFO_old</vt:lpstr>
      <vt:lpstr>v_31_XHMETO</vt:lpstr>
      <vt:lpstr>v_31_XINORG</vt:lpstr>
      <vt:lpstr>v_31_XMEOLO</vt:lpstr>
      <vt:lpstr>v_31_XN_B</vt:lpstr>
      <vt:lpstr>v_31_XN_Be</vt:lpstr>
      <vt:lpstr>v_31_XN_U</vt:lpstr>
      <vt:lpstr>v_31_XNOB</vt:lpstr>
      <vt:lpstr>v_31_XOHO</vt:lpstr>
      <vt:lpstr>v_31_XP_B</vt:lpstr>
      <vt:lpstr>v_31_XP_Be</vt:lpstr>
      <vt:lpstr>v_31_XP_U</vt:lpstr>
      <vt:lpstr>v_31_XPFOA</vt:lpstr>
      <vt:lpstr>v_31_XPFOS</vt:lpstr>
      <vt:lpstr>v_31_XPHA_GAO</vt:lpstr>
      <vt:lpstr>v_31_XPHA_PAO</vt:lpstr>
      <vt:lpstr>v_31_XPP</vt:lpstr>
      <vt:lpstr>v_31_XSTR</vt:lpstr>
      <vt:lpstr>v_31_XU</vt:lpstr>
      <vt:lpstr>v_31_XVivi</vt:lpstr>
      <vt:lpstr>v_32_CB</vt:lpstr>
      <vt:lpstr>v_32_CU</vt:lpstr>
      <vt:lpstr>v_32_GCH4</vt:lpstr>
      <vt:lpstr>v_32_GCH4_atm</vt:lpstr>
      <vt:lpstr>v_32_GCO2</vt:lpstr>
      <vt:lpstr>v_32_GCO2_atm</vt:lpstr>
      <vt:lpstr>v_32_GH2</vt:lpstr>
      <vt:lpstr>v_32_GH2_atm</vt:lpstr>
      <vt:lpstr>v_32_GN2</vt:lpstr>
      <vt:lpstr>v_32_GN2_atm</vt:lpstr>
      <vt:lpstr>v_32_GN2O</vt:lpstr>
      <vt:lpstr>v_32_GN2O_atm</vt:lpstr>
      <vt:lpstr>v_32_GNH3</vt:lpstr>
      <vt:lpstr>v_32_GNH3_atm</vt:lpstr>
      <vt:lpstr>v_32_GNO</vt:lpstr>
      <vt:lpstr>v_32_GNO_atm</vt:lpstr>
      <vt:lpstr>v_32_GO2</vt:lpstr>
      <vt:lpstr>v_32_GO2_atm</vt:lpstr>
      <vt:lpstr>v_32_SALPHA</vt:lpstr>
      <vt:lpstr>v_32_SAN</vt:lpstr>
      <vt:lpstr>v_32_SB</vt:lpstr>
      <vt:lpstr>v_32_SCa</vt:lpstr>
      <vt:lpstr>v_32_SCAT</vt:lpstr>
      <vt:lpstr>v_32_SCH4</vt:lpstr>
      <vt:lpstr>v_32_SCO2</vt:lpstr>
      <vt:lpstr>v_32_SFe2</vt:lpstr>
      <vt:lpstr>v_32_SH</vt:lpstr>
      <vt:lpstr>v_32_SH2</vt:lpstr>
      <vt:lpstr>v_32_SK</vt:lpstr>
      <vt:lpstr>v_32_SMEOL</vt:lpstr>
      <vt:lpstr>v_32_SMg</vt:lpstr>
      <vt:lpstr>v_32_SN_B</vt:lpstr>
      <vt:lpstr>v_32_SN2</vt:lpstr>
      <vt:lpstr>v_32_SN2O</vt:lpstr>
      <vt:lpstr>v_32_SNH2OH</vt:lpstr>
      <vt:lpstr>v_32_SNHx</vt:lpstr>
      <vt:lpstr>v_32_SNO_AOB</vt:lpstr>
      <vt:lpstr>v_32_SNO_OHO</vt:lpstr>
      <vt:lpstr>v_32_SNO2</vt:lpstr>
      <vt:lpstr>v_32_SNO3</vt:lpstr>
      <vt:lpstr>v_32_SO2</vt:lpstr>
      <vt:lpstr>v_32_SORPswitch</vt:lpstr>
      <vt:lpstr>v_32_SP_B</vt:lpstr>
      <vt:lpstr>v_32_SPFOA</vt:lpstr>
      <vt:lpstr>v_32_SPFOS</vt:lpstr>
      <vt:lpstr>v_32_SPO4</vt:lpstr>
      <vt:lpstr>v_32_SU</vt:lpstr>
      <vt:lpstr>v_32_SVFA</vt:lpstr>
      <vt:lpstr>v_32_XACP</vt:lpstr>
      <vt:lpstr>v_32_XALGAE</vt:lpstr>
      <vt:lpstr>v_32_XAMETO</vt:lpstr>
      <vt:lpstr>v_32_XAMX</vt:lpstr>
      <vt:lpstr>v_32_XAOB</vt:lpstr>
      <vt:lpstr>v_32_XB</vt:lpstr>
      <vt:lpstr>v_32_XB_e</vt:lpstr>
      <vt:lpstr>v_32_XBSH</vt:lpstr>
      <vt:lpstr>v_32_XCaCO3</vt:lpstr>
      <vt:lpstr>v_32_XCASTO</vt:lpstr>
      <vt:lpstr>v_32_XE</vt:lpstr>
      <vt:lpstr>v_32_XE_ana</vt:lpstr>
      <vt:lpstr>v_32_XHAO_H</vt:lpstr>
      <vt:lpstr>v_32_XHAO_H_P</vt:lpstr>
      <vt:lpstr>v_32_XHAO_H_P_old</vt:lpstr>
      <vt:lpstr>v_32_XHAO_L</vt:lpstr>
      <vt:lpstr>v_32_XHAO_L_P</vt:lpstr>
      <vt:lpstr>v_32_XHAO_L_P_old</vt:lpstr>
      <vt:lpstr>v_32_XHAO_old</vt:lpstr>
      <vt:lpstr>v_32_XHFO_H</vt:lpstr>
      <vt:lpstr>v_32_XHFO_H_P</vt:lpstr>
      <vt:lpstr>v_32_XHFO_H_P_old</vt:lpstr>
      <vt:lpstr>v_32_XHFO_L</vt:lpstr>
      <vt:lpstr>v_32_XHFO_L_P</vt:lpstr>
      <vt:lpstr>v_32_XHFO_L_P_old</vt:lpstr>
      <vt:lpstr>v_32_XHFO_old</vt:lpstr>
      <vt:lpstr>v_32_XHMETO</vt:lpstr>
      <vt:lpstr>v_32_XINORG</vt:lpstr>
      <vt:lpstr>v_32_XMEOLO</vt:lpstr>
      <vt:lpstr>v_32_XN_B</vt:lpstr>
      <vt:lpstr>v_32_XN_Be</vt:lpstr>
      <vt:lpstr>v_32_XN_U</vt:lpstr>
      <vt:lpstr>v_32_XNOB</vt:lpstr>
      <vt:lpstr>v_32_XOHO</vt:lpstr>
      <vt:lpstr>v_32_XP_B</vt:lpstr>
      <vt:lpstr>v_32_XP_Be</vt:lpstr>
      <vt:lpstr>v_32_XP_U</vt:lpstr>
      <vt:lpstr>v_32_XPFOA</vt:lpstr>
      <vt:lpstr>v_32_XPFOS</vt:lpstr>
      <vt:lpstr>v_32_XPHA_GAO</vt:lpstr>
      <vt:lpstr>v_32_XPHA_PAO</vt:lpstr>
      <vt:lpstr>v_32_XPP</vt:lpstr>
      <vt:lpstr>v_32_XSTR</vt:lpstr>
      <vt:lpstr>v_32_XU</vt:lpstr>
      <vt:lpstr>v_32_XVivi</vt:lpstr>
      <vt:lpstr>v_33_CB</vt:lpstr>
      <vt:lpstr>v_33_CU</vt:lpstr>
      <vt:lpstr>v_33_GCH4</vt:lpstr>
      <vt:lpstr>v_33_GCH4_atm</vt:lpstr>
      <vt:lpstr>v_33_GCO2</vt:lpstr>
      <vt:lpstr>v_33_GCO2_atm</vt:lpstr>
      <vt:lpstr>v_33_GH2</vt:lpstr>
      <vt:lpstr>v_33_GH2_atm</vt:lpstr>
      <vt:lpstr>v_33_GN2</vt:lpstr>
      <vt:lpstr>v_33_GN2_atm</vt:lpstr>
      <vt:lpstr>v_33_GN2O</vt:lpstr>
      <vt:lpstr>v_33_GN2O_atm</vt:lpstr>
      <vt:lpstr>v_33_GNH3</vt:lpstr>
      <vt:lpstr>v_33_GNH3_atm</vt:lpstr>
      <vt:lpstr>v_33_GNO</vt:lpstr>
      <vt:lpstr>v_33_GNO_atm</vt:lpstr>
      <vt:lpstr>v_33_GO2</vt:lpstr>
      <vt:lpstr>v_33_GO2_atm</vt:lpstr>
      <vt:lpstr>v_33_SALPHA</vt:lpstr>
      <vt:lpstr>v_33_SAN</vt:lpstr>
      <vt:lpstr>v_33_SB</vt:lpstr>
      <vt:lpstr>v_33_SCa</vt:lpstr>
      <vt:lpstr>v_33_SCAT</vt:lpstr>
      <vt:lpstr>v_33_SCH4</vt:lpstr>
      <vt:lpstr>v_33_SCO2</vt:lpstr>
      <vt:lpstr>v_33_SFe2</vt:lpstr>
      <vt:lpstr>v_33_SH</vt:lpstr>
      <vt:lpstr>v_33_SH2</vt:lpstr>
      <vt:lpstr>v_33_SK</vt:lpstr>
      <vt:lpstr>v_33_SMEOL</vt:lpstr>
      <vt:lpstr>v_33_SMg</vt:lpstr>
      <vt:lpstr>v_33_SN_B</vt:lpstr>
      <vt:lpstr>v_33_SN2</vt:lpstr>
      <vt:lpstr>v_33_SN2O</vt:lpstr>
      <vt:lpstr>v_33_SNH2OH</vt:lpstr>
      <vt:lpstr>v_33_SNHx</vt:lpstr>
      <vt:lpstr>v_33_SNO_AOB</vt:lpstr>
      <vt:lpstr>v_33_SNO_OHO</vt:lpstr>
      <vt:lpstr>v_33_SNO2</vt:lpstr>
      <vt:lpstr>v_33_SNO3</vt:lpstr>
      <vt:lpstr>v_33_SO2</vt:lpstr>
      <vt:lpstr>v_33_SORPswitch</vt:lpstr>
      <vt:lpstr>v_33_SP_B</vt:lpstr>
      <vt:lpstr>v_33_SPFOA</vt:lpstr>
      <vt:lpstr>v_33_SPFOS</vt:lpstr>
      <vt:lpstr>v_33_SPO4</vt:lpstr>
      <vt:lpstr>v_33_SU</vt:lpstr>
      <vt:lpstr>v_33_SVFA</vt:lpstr>
      <vt:lpstr>v_33_XACP</vt:lpstr>
      <vt:lpstr>v_33_XALGAE</vt:lpstr>
      <vt:lpstr>v_33_XAMETO</vt:lpstr>
      <vt:lpstr>v_33_XAMX</vt:lpstr>
      <vt:lpstr>v_33_XAOB</vt:lpstr>
      <vt:lpstr>v_33_XB</vt:lpstr>
      <vt:lpstr>v_33_XB_e</vt:lpstr>
      <vt:lpstr>v_33_XBSH</vt:lpstr>
      <vt:lpstr>v_33_XCaCO3</vt:lpstr>
      <vt:lpstr>v_33_XCASTO</vt:lpstr>
      <vt:lpstr>v_33_XE</vt:lpstr>
      <vt:lpstr>v_33_XE_ana</vt:lpstr>
      <vt:lpstr>v_33_XHAO_H</vt:lpstr>
      <vt:lpstr>v_33_XHAO_H_P</vt:lpstr>
      <vt:lpstr>v_33_XHAO_H_P_old</vt:lpstr>
      <vt:lpstr>v_33_XHAO_L</vt:lpstr>
      <vt:lpstr>v_33_XHAO_L_P</vt:lpstr>
      <vt:lpstr>v_33_XHAO_L_P_old</vt:lpstr>
      <vt:lpstr>v_33_XHAO_old</vt:lpstr>
      <vt:lpstr>v_33_XHFO_H</vt:lpstr>
      <vt:lpstr>v_33_XHFO_H_P</vt:lpstr>
      <vt:lpstr>v_33_XHFO_H_P_old</vt:lpstr>
      <vt:lpstr>v_33_XHFO_L</vt:lpstr>
      <vt:lpstr>v_33_XHFO_L_P</vt:lpstr>
      <vt:lpstr>v_33_XHFO_L_P_old</vt:lpstr>
      <vt:lpstr>v_33_XHFO_old</vt:lpstr>
      <vt:lpstr>v_33_XHMETO</vt:lpstr>
      <vt:lpstr>v_33_XINORG</vt:lpstr>
      <vt:lpstr>v_33_XMEOLO</vt:lpstr>
      <vt:lpstr>v_33_XN_B</vt:lpstr>
      <vt:lpstr>v_33_XN_Be</vt:lpstr>
      <vt:lpstr>v_33_XN_U</vt:lpstr>
      <vt:lpstr>v_33_XNOB</vt:lpstr>
      <vt:lpstr>v_33_XOHO</vt:lpstr>
      <vt:lpstr>v_33_XP_B</vt:lpstr>
      <vt:lpstr>v_33_XP_Be</vt:lpstr>
      <vt:lpstr>v_33_XP_U</vt:lpstr>
      <vt:lpstr>v_33_XPFOA</vt:lpstr>
      <vt:lpstr>v_33_XPFOS</vt:lpstr>
      <vt:lpstr>v_33_XPHA_GAO</vt:lpstr>
      <vt:lpstr>v_33_XPHA_PAO</vt:lpstr>
      <vt:lpstr>v_33_XPP</vt:lpstr>
      <vt:lpstr>v_33_XSTR</vt:lpstr>
      <vt:lpstr>v_33_XU</vt:lpstr>
      <vt:lpstr>v_33_XVivi</vt:lpstr>
      <vt:lpstr>v_34_CB</vt:lpstr>
      <vt:lpstr>v_34_CU</vt:lpstr>
      <vt:lpstr>v_34_GCH4</vt:lpstr>
      <vt:lpstr>v_34_GCH4_atm</vt:lpstr>
      <vt:lpstr>v_34_GCO2</vt:lpstr>
      <vt:lpstr>v_34_GCO2_atm</vt:lpstr>
      <vt:lpstr>v_34_GH2</vt:lpstr>
      <vt:lpstr>v_34_GH2_atm</vt:lpstr>
      <vt:lpstr>v_34_GN2</vt:lpstr>
      <vt:lpstr>v_34_GN2_atm</vt:lpstr>
      <vt:lpstr>v_34_GN2O</vt:lpstr>
      <vt:lpstr>v_34_GN2O_atm</vt:lpstr>
      <vt:lpstr>v_34_GNH3</vt:lpstr>
      <vt:lpstr>v_34_GNH3_atm</vt:lpstr>
      <vt:lpstr>v_34_GNO</vt:lpstr>
      <vt:lpstr>v_34_GNO_atm</vt:lpstr>
      <vt:lpstr>v_34_GO2</vt:lpstr>
      <vt:lpstr>v_34_GO2_atm</vt:lpstr>
      <vt:lpstr>v_34_SALPHA</vt:lpstr>
      <vt:lpstr>v_34_SAN</vt:lpstr>
      <vt:lpstr>v_34_SB</vt:lpstr>
      <vt:lpstr>v_34_SCa</vt:lpstr>
      <vt:lpstr>v_34_SCAT</vt:lpstr>
      <vt:lpstr>v_34_SCH4</vt:lpstr>
      <vt:lpstr>v_34_SCO2</vt:lpstr>
      <vt:lpstr>v_34_SFe2</vt:lpstr>
      <vt:lpstr>v_34_SH</vt:lpstr>
      <vt:lpstr>v_34_SH2</vt:lpstr>
      <vt:lpstr>v_34_SK</vt:lpstr>
      <vt:lpstr>v_34_SMEOL</vt:lpstr>
      <vt:lpstr>v_34_SMg</vt:lpstr>
      <vt:lpstr>v_34_SN_B</vt:lpstr>
      <vt:lpstr>v_34_SN2</vt:lpstr>
      <vt:lpstr>v_34_SN2O</vt:lpstr>
      <vt:lpstr>v_34_SNH2OH</vt:lpstr>
      <vt:lpstr>v_34_SNHx</vt:lpstr>
      <vt:lpstr>v_34_SNO_AOB</vt:lpstr>
      <vt:lpstr>v_34_SNO_OHO</vt:lpstr>
      <vt:lpstr>v_34_SNO2</vt:lpstr>
      <vt:lpstr>v_34_SNO3</vt:lpstr>
      <vt:lpstr>v_34_SO2</vt:lpstr>
      <vt:lpstr>v_34_SORPswitch</vt:lpstr>
      <vt:lpstr>v_34_SP_B</vt:lpstr>
      <vt:lpstr>v_34_SPFOA</vt:lpstr>
      <vt:lpstr>v_34_SPFOS</vt:lpstr>
      <vt:lpstr>v_34_SPO4</vt:lpstr>
      <vt:lpstr>v_34_SU</vt:lpstr>
      <vt:lpstr>v_34_SVFA</vt:lpstr>
      <vt:lpstr>v_34_XACP</vt:lpstr>
      <vt:lpstr>v_34_XALGAE</vt:lpstr>
      <vt:lpstr>v_34_XAMETO</vt:lpstr>
      <vt:lpstr>v_34_XAMX</vt:lpstr>
      <vt:lpstr>v_34_XAOB</vt:lpstr>
      <vt:lpstr>v_34_XB</vt:lpstr>
      <vt:lpstr>v_34_XB_e</vt:lpstr>
      <vt:lpstr>v_34_XBSH</vt:lpstr>
      <vt:lpstr>v_34_XCaCO3</vt:lpstr>
      <vt:lpstr>v_34_XCASTO</vt:lpstr>
      <vt:lpstr>v_34_XE</vt:lpstr>
      <vt:lpstr>v_34_XE_ana</vt:lpstr>
      <vt:lpstr>v_34_XHAO_H</vt:lpstr>
      <vt:lpstr>v_34_XHAO_H_P</vt:lpstr>
      <vt:lpstr>v_34_XHAO_H_P_old</vt:lpstr>
      <vt:lpstr>v_34_XHAO_L</vt:lpstr>
      <vt:lpstr>v_34_XHAO_L_P</vt:lpstr>
      <vt:lpstr>v_34_XHAO_L_P_old</vt:lpstr>
      <vt:lpstr>v_34_XHAO_old</vt:lpstr>
      <vt:lpstr>v_34_XHFO_H</vt:lpstr>
      <vt:lpstr>v_34_XHFO_H_P</vt:lpstr>
      <vt:lpstr>v_34_XHFO_H_P_old</vt:lpstr>
      <vt:lpstr>v_34_XHFO_L</vt:lpstr>
      <vt:lpstr>v_34_XHFO_L_P</vt:lpstr>
      <vt:lpstr>v_34_XHFO_L_P_old</vt:lpstr>
      <vt:lpstr>v_34_XHFO_old</vt:lpstr>
      <vt:lpstr>v_34_XHMETO</vt:lpstr>
      <vt:lpstr>v_34_XINORG</vt:lpstr>
      <vt:lpstr>v_34_XMEOLO</vt:lpstr>
      <vt:lpstr>v_34_XN_B</vt:lpstr>
      <vt:lpstr>v_34_XN_Be</vt:lpstr>
      <vt:lpstr>v_34_XN_U</vt:lpstr>
      <vt:lpstr>v_34_XNOB</vt:lpstr>
      <vt:lpstr>v_34_XOHO</vt:lpstr>
      <vt:lpstr>v_34_XP_B</vt:lpstr>
      <vt:lpstr>v_34_XP_Be</vt:lpstr>
      <vt:lpstr>v_34_XP_U</vt:lpstr>
      <vt:lpstr>v_34_XPFOA</vt:lpstr>
      <vt:lpstr>v_34_XPFOS</vt:lpstr>
      <vt:lpstr>v_34_XPHA_GAO</vt:lpstr>
      <vt:lpstr>v_34_XPHA_PAO</vt:lpstr>
      <vt:lpstr>v_34_XPP</vt:lpstr>
      <vt:lpstr>v_34_XSTR</vt:lpstr>
      <vt:lpstr>v_34_XU</vt:lpstr>
      <vt:lpstr>v_34_XVivi</vt:lpstr>
      <vt:lpstr>v_35_CB</vt:lpstr>
      <vt:lpstr>v_35_CU</vt:lpstr>
      <vt:lpstr>v_35_GCH4</vt:lpstr>
      <vt:lpstr>v_35_GCH4_atm</vt:lpstr>
      <vt:lpstr>v_35_GCO2</vt:lpstr>
      <vt:lpstr>v_35_GCO2_atm</vt:lpstr>
      <vt:lpstr>v_35_GH2</vt:lpstr>
      <vt:lpstr>v_35_GH2_atm</vt:lpstr>
      <vt:lpstr>v_35_GN2</vt:lpstr>
      <vt:lpstr>v_35_GN2_atm</vt:lpstr>
      <vt:lpstr>v_35_GN2O</vt:lpstr>
      <vt:lpstr>v_35_GN2O_atm</vt:lpstr>
      <vt:lpstr>v_35_GNH3</vt:lpstr>
      <vt:lpstr>v_35_GNH3_atm</vt:lpstr>
      <vt:lpstr>v_35_GNO</vt:lpstr>
      <vt:lpstr>v_35_GNO_atm</vt:lpstr>
      <vt:lpstr>v_35_GO2</vt:lpstr>
      <vt:lpstr>v_35_GO2_atm</vt:lpstr>
      <vt:lpstr>v_35_SALPHA</vt:lpstr>
      <vt:lpstr>v_35_SAN</vt:lpstr>
      <vt:lpstr>v_35_SB</vt:lpstr>
      <vt:lpstr>v_35_SCa</vt:lpstr>
      <vt:lpstr>v_35_SCAT</vt:lpstr>
      <vt:lpstr>v_35_SCH4</vt:lpstr>
      <vt:lpstr>v_35_SCO2</vt:lpstr>
      <vt:lpstr>v_35_SFe2</vt:lpstr>
      <vt:lpstr>v_35_SH</vt:lpstr>
      <vt:lpstr>v_35_SH2</vt:lpstr>
      <vt:lpstr>v_35_SK</vt:lpstr>
      <vt:lpstr>v_35_SMEOL</vt:lpstr>
      <vt:lpstr>v_35_SMg</vt:lpstr>
      <vt:lpstr>v_35_SN_B</vt:lpstr>
      <vt:lpstr>v_35_SN2</vt:lpstr>
      <vt:lpstr>v_35_SN2O</vt:lpstr>
      <vt:lpstr>v_35_SNH2OH</vt:lpstr>
      <vt:lpstr>v_35_SNHx</vt:lpstr>
      <vt:lpstr>v_35_SNO_AOB</vt:lpstr>
      <vt:lpstr>v_35_SNO_OHO</vt:lpstr>
      <vt:lpstr>v_35_SNO2</vt:lpstr>
      <vt:lpstr>v_35_SNO3</vt:lpstr>
      <vt:lpstr>v_35_SO2</vt:lpstr>
      <vt:lpstr>v_35_SORPswitch</vt:lpstr>
      <vt:lpstr>v_35_SP_B</vt:lpstr>
      <vt:lpstr>v_35_SPFOA</vt:lpstr>
      <vt:lpstr>v_35_SPFOS</vt:lpstr>
      <vt:lpstr>v_35_SPO4</vt:lpstr>
      <vt:lpstr>v_35_SU</vt:lpstr>
      <vt:lpstr>v_35_SVFA</vt:lpstr>
      <vt:lpstr>v_35_XACP</vt:lpstr>
      <vt:lpstr>v_35_XALGAE</vt:lpstr>
      <vt:lpstr>v_35_XAMETO</vt:lpstr>
      <vt:lpstr>v_35_XAMX</vt:lpstr>
      <vt:lpstr>v_35_XAOB</vt:lpstr>
      <vt:lpstr>v_35_XB</vt:lpstr>
      <vt:lpstr>v_35_XB_e</vt:lpstr>
      <vt:lpstr>v_35_XBSH</vt:lpstr>
      <vt:lpstr>v_35_XCaCO3</vt:lpstr>
      <vt:lpstr>v_35_XCASTO</vt:lpstr>
      <vt:lpstr>v_35_XE</vt:lpstr>
      <vt:lpstr>v_35_XE_ana</vt:lpstr>
      <vt:lpstr>v_35_XHAO_H</vt:lpstr>
      <vt:lpstr>v_35_XHAO_H_P</vt:lpstr>
      <vt:lpstr>v_35_XHAO_H_P_old</vt:lpstr>
      <vt:lpstr>v_35_XHAO_L</vt:lpstr>
      <vt:lpstr>v_35_XHAO_L_P</vt:lpstr>
      <vt:lpstr>v_35_XHAO_L_P_old</vt:lpstr>
      <vt:lpstr>v_35_XHAO_old</vt:lpstr>
      <vt:lpstr>v_35_XHFO_H</vt:lpstr>
      <vt:lpstr>v_35_XHFO_H_P</vt:lpstr>
      <vt:lpstr>v_35_XHFO_H_P_old</vt:lpstr>
      <vt:lpstr>v_35_XHFO_L</vt:lpstr>
      <vt:lpstr>v_35_XHFO_L_P</vt:lpstr>
      <vt:lpstr>v_35_XHFO_L_P_old</vt:lpstr>
      <vt:lpstr>v_35_XHFO_old</vt:lpstr>
      <vt:lpstr>v_35_XHMETO</vt:lpstr>
      <vt:lpstr>v_35_XINORG</vt:lpstr>
      <vt:lpstr>v_35_XMEOLO</vt:lpstr>
      <vt:lpstr>v_35_XN_B</vt:lpstr>
      <vt:lpstr>v_35_XN_Be</vt:lpstr>
      <vt:lpstr>v_35_XN_U</vt:lpstr>
      <vt:lpstr>v_35_XNOB</vt:lpstr>
      <vt:lpstr>v_35_XOHO</vt:lpstr>
      <vt:lpstr>v_35_XP_B</vt:lpstr>
      <vt:lpstr>v_35_XP_Be</vt:lpstr>
      <vt:lpstr>v_35_XP_U</vt:lpstr>
      <vt:lpstr>v_35_XPFOA</vt:lpstr>
      <vt:lpstr>v_35_XPFOS</vt:lpstr>
      <vt:lpstr>v_35_XPHA_GAO</vt:lpstr>
      <vt:lpstr>v_35_XPHA_PAO</vt:lpstr>
      <vt:lpstr>v_35_XPP</vt:lpstr>
      <vt:lpstr>v_35_XSTR</vt:lpstr>
      <vt:lpstr>v_35_XU</vt:lpstr>
      <vt:lpstr>v_35_XVivi</vt:lpstr>
      <vt:lpstr>v_36_CB</vt:lpstr>
      <vt:lpstr>v_36_CU</vt:lpstr>
      <vt:lpstr>v_36_GCH4</vt:lpstr>
      <vt:lpstr>v_36_GCH4_atm</vt:lpstr>
      <vt:lpstr>v_36_GCO2</vt:lpstr>
      <vt:lpstr>v_36_GCO2_atm</vt:lpstr>
      <vt:lpstr>v_36_GH2</vt:lpstr>
      <vt:lpstr>v_36_GH2_atm</vt:lpstr>
      <vt:lpstr>v_36_GN2</vt:lpstr>
      <vt:lpstr>v_36_GN2_atm</vt:lpstr>
      <vt:lpstr>v_36_GN2O</vt:lpstr>
      <vt:lpstr>v_36_GN2O_atm</vt:lpstr>
      <vt:lpstr>v_36_GNH3</vt:lpstr>
      <vt:lpstr>v_36_GNH3_atm</vt:lpstr>
      <vt:lpstr>v_36_GNO</vt:lpstr>
      <vt:lpstr>v_36_GNO_atm</vt:lpstr>
      <vt:lpstr>v_36_GO2</vt:lpstr>
      <vt:lpstr>v_36_GO2_atm</vt:lpstr>
      <vt:lpstr>v_36_SALPHA</vt:lpstr>
      <vt:lpstr>v_36_SAN</vt:lpstr>
      <vt:lpstr>v_36_SB</vt:lpstr>
      <vt:lpstr>v_36_SCa</vt:lpstr>
      <vt:lpstr>v_36_SCAT</vt:lpstr>
      <vt:lpstr>v_36_SCH4</vt:lpstr>
      <vt:lpstr>v_36_SCO2</vt:lpstr>
      <vt:lpstr>v_36_SFe2</vt:lpstr>
      <vt:lpstr>v_36_SH</vt:lpstr>
      <vt:lpstr>v_36_SH2</vt:lpstr>
      <vt:lpstr>v_36_SK</vt:lpstr>
      <vt:lpstr>v_36_SMEOL</vt:lpstr>
      <vt:lpstr>v_36_SMg</vt:lpstr>
      <vt:lpstr>v_36_SN_B</vt:lpstr>
      <vt:lpstr>v_36_SN2</vt:lpstr>
      <vt:lpstr>v_36_SN2O</vt:lpstr>
      <vt:lpstr>v_36_SNH2OH</vt:lpstr>
      <vt:lpstr>v_36_SNHx</vt:lpstr>
      <vt:lpstr>v_36_SNO_AOB</vt:lpstr>
      <vt:lpstr>v_36_SNO_OHO</vt:lpstr>
      <vt:lpstr>v_36_SNO2</vt:lpstr>
      <vt:lpstr>v_36_SNO3</vt:lpstr>
      <vt:lpstr>v_36_SO2</vt:lpstr>
      <vt:lpstr>v_36_SORPswitch</vt:lpstr>
      <vt:lpstr>v_36_SP_B</vt:lpstr>
      <vt:lpstr>v_36_SPFOA</vt:lpstr>
      <vt:lpstr>v_36_SPFOS</vt:lpstr>
      <vt:lpstr>v_36_SPO4</vt:lpstr>
      <vt:lpstr>v_36_SU</vt:lpstr>
      <vt:lpstr>v_36_SVFA</vt:lpstr>
      <vt:lpstr>v_36_XACP</vt:lpstr>
      <vt:lpstr>v_36_XALGAE</vt:lpstr>
      <vt:lpstr>v_36_XAMETO</vt:lpstr>
      <vt:lpstr>v_36_XAMX</vt:lpstr>
      <vt:lpstr>v_36_XAOB</vt:lpstr>
      <vt:lpstr>v_36_XB</vt:lpstr>
      <vt:lpstr>v_36_XB_e</vt:lpstr>
      <vt:lpstr>v_36_XBSH</vt:lpstr>
      <vt:lpstr>v_36_XCaCO3</vt:lpstr>
      <vt:lpstr>v_36_XCASTO</vt:lpstr>
      <vt:lpstr>v_36_XE</vt:lpstr>
      <vt:lpstr>v_36_XE_ana</vt:lpstr>
      <vt:lpstr>v_36_XHAO_H</vt:lpstr>
      <vt:lpstr>v_36_XHAO_H_P</vt:lpstr>
      <vt:lpstr>v_36_XHAO_H_P_old</vt:lpstr>
      <vt:lpstr>v_36_XHAO_L</vt:lpstr>
      <vt:lpstr>v_36_XHAO_L_P</vt:lpstr>
      <vt:lpstr>v_36_XHAO_L_P_old</vt:lpstr>
      <vt:lpstr>v_36_XHAO_old</vt:lpstr>
      <vt:lpstr>v_36_XHFO_H</vt:lpstr>
      <vt:lpstr>v_36_XHFO_H_P</vt:lpstr>
      <vt:lpstr>v_36_XHFO_H_P_old</vt:lpstr>
      <vt:lpstr>v_36_XHFO_L</vt:lpstr>
      <vt:lpstr>v_36_XHFO_L_P</vt:lpstr>
      <vt:lpstr>v_36_XHFO_L_P_old</vt:lpstr>
      <vt:lpstr>v_36_XHFO_old</vt:lpstr>
      <vt:lpstr>v_36_XHMETO</vt:lpstr>
      <vt:lpstr>v_36_XINORG</vt:lpstr>
      <vt:lpstr>v_36_XMEOLO</vt:lpstr>
      <vt:lpstr>v_36_XN_B</vt:lpstr>
      <vt:lpstr>v_36_XN_Be</vt:lpstr>
      <vt:lpstr>v_36_XN_U</vt:lpstr>
      <vt:lpstr>v_36_XNOB</vt:lpstr>
      <vt:lpstr>v_36_XOHO</vt:lpstr>
      <vt:lpstr>v_36_XP_B</vt:lpstr>
      <vt:lpstr>v_36_XP_Be</vt:lpstr>
      <vt:lpstr>v_36_XP_U</vt:lpstr>
      <vt:lpstr>v_36_XPFOA</vt:lpstr>
      <vt:lpstr>v_36_XPFOS</vt:lpstr>
      <vt:lpstr>v_36_XPHA_GAO</vt:lpstr>
      <vt:lpstr>v_36_XPHA_PAO</vt:lpstr>
      <vt:lpstr>v_36_XPP</vt:lpstr>
      <vt:lpstr>v_36_XSTR</vt:lpstr>
      <vt:lpstr>v_36_XU</vt:lpstr>
      <vt:lpstr>v_36_XVivi</vt:lpstr>
      <vt:lpstr>v_37_CB</vt:lpstr>
      <vt:lpstr>v_37_CU</vt:lpstr>
      <vt:lpstr>v_37_GCH4</vt:lpstr>
      <vt:lpstr>v_37_GCH4_atm</vt:lpstr>
      <vt:lpstr>v_37_GCO2</vt:lpstr>
      <vt:lpstr>v_37_GCO2_atm</vt:lpstr>
      <vt:lpstr>v_37_GH2</vt:lpstr>
      <vt:lpstr>v_37_GH2_atm</vt:lpstr>
      <vt:lpstr>v_37_GN2</vt:lpstr>
      <vt:lpstr>v_37_GN2_atm</vt:lpstr>
      <vt:lpstr>v_37_GN2O</vt:lpstr>
      <vt:lpstr>v_37_GN2O_atm</vt:lpstr>
      <vt:lpstr>v_37_GNH3</vt:lpstr>
      <vt:lpstr>v_37_GNH3_atm</vt:lpstr>
      <vt:lpstr>v_37_GNO</vt:lpstr>
      <vt:lpstr>v_37_GNO_atm</vt:lpstr>
      <vt:lpstr>v_37_GO2</vt:lpstr>
      <vt:lpstr>v_37_GO2_atm</vt:lpstr>
      <vt:lpstr>v_37_SALPHA</vt:lpstr>
      <vt:lpstr>v_37_SAN</vt:lpstr>
      <vt:lpstr>v_37_SB</vt:lpstr>
      <vt:lpstr>v_37_SCa</vt:lpstr>
      <vt:lpstr>v_37_SCAT</vt:lpstr>
      <vt:lpstr>v_37_SCH4</vt:lpstr>
      <vt:lpstr>v_37_SCO2</vt:lpstr>
      <vt:lpstr>v_37_SFe2</vt:lpstr>
      <vt:lpstr>v_37_SH</vt:lpstr>
      <vt:lpstr>v_37_SH2</vt:lpstr>
      <vt:lpstr>v_37_SK</vt:lpstr>
      <vt:lpstr>v_37_SMEOL</vt:lpstr>
      <vt:lpstr>v_37_SMg</vt:lpstr>
      <vt:lpstr>v_37_SN_B</vt:lpstr>
      <vt:lpstr>v_37_SN2</vt:lpstr>
      <vt:lpstr>v_37_SN2O</vt:lpstr>
      <vt:lpstr>v_37_SNH2OH</vt:lpstr>
      <vt:lpstr>v_37_SNHx</vt:lpstr>
      <vt:lpstr>v_37_SNO_AOB</vt:lpstr>
      <vt:lpstr>v_37_SNO_OHO</vt:lpstr>
      <vt:lpstr>v_37_SNO2</vt:lpstr>
      <vt:lpstr>v_37_SNO3</vt:lpstr>
      <vt:lpstr>v_37_SO2</vt:lpstr>
      <vt:lpstr>v_37_SORPswitch</vt:lpstr>
      <vt:lpstr>v_37_SP_B</vt:lpstr>
      <vt:lpstr>v_37_SPFOA</vt:lpstr>
      <vt:lpstr>v_37_SPFOS</vt:lpstr>
      <vt:lpstr>v_37_SPO4</vt:lpstr>
      <vt:lpstr>v_37_SU</vt:lpstr>
      <vt:lpstr>v_37_SVFA</vt:lpstr>
      <vt:lpstr>v_37_XACP</vt:lpstr>
      <vt:lpstr>v_37_XALGAE</vt:lpstr>
      <vt:lpstr>v_37_XAMETO</vt:lpstr>
      <vt:lpstr>v_37_XAMX</vt:lpstr>
      <vt:lpstr>v_37_XAOB</vt:lpstr>
      <vt:lpstr>v_37_XB</vt:lpstr>
      <vt:lpstr>v_37_XB_e</vt:lpstr>
      <vt:lpstr>v_37_XBSH</vt:lpstr>
      <vt:lpstr>v_37_XCaCO3</vt:lpstr>
      <vt:lpstr>v_37_XCASTO</vt:lpstr>
      <vt:lpstr>v_37_XE</vt:lpstr>
      <vt:lpstr>v_37_XE_ana</vt:lpstr>
      <vt:lpstr>v_37_XHAO_H</vt:lpstr>
      <vt:lpstr>v_37_XHAO_H_P</vt:lpstr>
      <vt:lpstr>v_37_XHAO_H_P_old</vt:lpstr>
      <vt:lpstr>v_37_XHAO_L</vt:lpstr>
      <vt:lpstr>v_37_XHAO_L_P</vt:lpstr>
      <vt:lpstr>v_37_XHAO_L_P_old</vt:lpstr>
      <vt:lpstr>v_37_XHAO_old</vt:lpstr>
      <vt:lpstr>v_37_XHFO_H</vt:lpstr>
      <vt:lpstr>v_37_XHFO_H_P</vt:lpstr>
      <vt:lpstr>v_37_XHFO_H_P_old</vt:lpstr>
      <vt:lpstr>v_37_XHFO_L</vt:lpstr>
      <vt:lpstr>v_37_XHFO_L_P</vt:lpstr>
      <vt:lpstr>v_37_XHFO_L_P_old</vt:lpstr>
      <vt:lpstr>v_37_XHFO_old</vt:lpstr>
      <vt:lpstr>v_37_XHMETO</vt:lpstr>
      <vt:lpstr>v_37_XINORG</vt:lpstr>
      <vt:lpstr>v_37_XMEOLO</vt:lpstr>
      <vt:lpstr>v_37_XN_B</vt:lpstr>
      <vt:lpstr>v_37_XN_Be</vt:lpstr>
      <vt:lpstr>v_37_XN_U</vt:lpstr>
      <vt:lpstr>v_37_XNOB</vt:lpstr>
      <vt:lpstr>v_37_XOHO</vt:lpstr>
      <vt:lpstr>v_37_XP_B</vt:lpstr>
      <vt:lpstr>v_37_XP_Be</vt:lpstr>
      <vt:lpstr>v_37_XP_U</vt:lpstr>
      <vt:lpstr>v_37_XPFOA</vt:lpstr>
      <vt:lpstr>v_37_XPFOS</vt:lpstr>
      <vt:lpstr>v_37_XPHA_GAO</vt:lpstr>
      <vt:lpstr>v_37_XPHA_PAO</vt:lpstr>
      <vt:lpstr>v_37_XPP</vt:lpstr>
      <vt:lpstr>v_37_XSTR</vt:lpstr>
      <vt:lpstr>v_37_XU</vt:lpstr>
      <vt:lpstr>v_37_XVivi</vt:lpstr>
      <vt:lpstr>v_38_CB</vt:lpstr>
      <vt:lpstr>v_38_CU</vt:lpstr>
      <vt:lpstr>v_38_GCH4</vt:lpstr>
      <vt:lpstr>v_38_GCH4_atm</vt:lpstr>
      <vt:lpstr>v_38_GCO2</vt:lpstr>
      <vt:lpstr>v_38_GCO2_atm</vt:lpstr>
      <vt:lpstr>v_38_GH2</vt:lpstr>
      <vt:lpstr>v_38_GH2_atm</vt:lpstr>
      <vt:lpstr>v_38_GN2</vt:lpstr>
      <vt:lpstr>v_38_GN2_atm</vt:lpstr>
      <vt:lpstr>v_38_GN2O</vt:lpstr>
      <vt:lpstr>v_38_GN2O_atm</vt:lpstr>
      <vt:lpstr>v_38_GNH3</vt:lpstr>
      <vt:lpstr>v_38_GNH3_atm</vt:lpstr>
      <vt:lpstr>v_38_GNO</vt:lpstr>
      <vt:lpstr>v_38_GNO_atm</vt:lpstr>
      <vt:lpstr>v_38_GO2</vt:lpstr>
      <vt:lpstr>v_38_GO2_atm</vt:lpstr>
      <vt:lpstr>v_38_SALPHA</vt:lpstr>
      <vt:lpstr>v_38_SAN</vt:lpstr>
      <vt:lpstr>v_38_SB</vt:lpstr>
      <vt:lpstr>v_38_SCa</vt:lpstr>
      <vt:lpstr>v_38_SCAT</vt:lpstr>
      <vt:lpstr>v_38_SCH4</vt:lpstr>
      <vt:lpstr>v_38_SCO2</vt:lpstr>
      <vt:lpstr>v_38_SFe2</vt:lpstr>
      <vt:lpstr>v_38_SH</vt:lpstr>
      <vt:lpstr>v_38_SH2</vt:lpstr>
      <vt:lpstr>v_38_SK</vt:lpstr>
      <vt:lpstr>v_38_SMEOL</vt:lpstr>
      <vt:lpstr>v_38_SMg</vt:lpstr>
      <vt:lpstr>v_38_SN_B</vt:lpstr>
      <vt:lpstr>v_38_SN2</vt:lpstr>
      <vt:lpstr>v_38_SN2O</vt:lpstr>
      <vt:lpstr>v_38_SNH2OH</vt:lpstr>
      <vt:lpstr>v_38_SNHx</vt:lpstr>
      <vt:lpstr>v_38_SNO_AOB</vt:lpstr>
      <vt:lpstr>v_38_SNO_OHO</vt:lpstr>
      <vt:lpstr>v_38_SNO2</vt:lpstr>
      <vt:lpstr>v_38_SNO3</vt:lpstr>
      <vt:lpstr>v_38_SO2</vt:lpstr>
      <vt:lpstr>v_38_SORPswitch</vt:lpstr>
      <vt:lpstr>v_38_SP_B</vt:lpstr>
      <vt:lpstr>v_38_SPFOA</vt:lpstr>
      <vt:lpstr>v_38_SPFOS</vt:lpstr>
      <vt:lpstr>v_38_SPO4</vt:lpstr>
      <vt:lpstr>v_38_SU</vt:lpstr>
      <vt:lpstr>v_38_SVFA</vt:lpstr>
      <vt:lpstr>v_38_XACP</vt:lpstr>
      <vt:lpstr>v_38_XALGAE</vt:lpstr>
      <vt:lpstr>v_38_XAMETO</vt:lpstr>
      <vt:lpstr>v_38_XAMX</vt:lpstr>
      <vt:lpstr>v_38_XAOB</vt:lpstr>
      <vt:lpstr>v_38_XB</vt:lpstr>
      <vt:lpstr>v_38_XB_e</vt:lpstr>
      <vt:lpstr>v_38_XBSH</vt:lpstr>
      <vt:lpstr>v_38_XCaCO3</vt:lpstr>
      <vt:lpstr>v_38_XCASTO</vt:lpstr>
      <vt:lpstr>v_38_XE</vt:lpstr>
      <vt:lpstr>v_38_XE_ana</vt:lpstr>
      <vt:lpstr>v_38_XHAO_H</vt:lpstr>
      <vt:lpstr>v_38_XHAO_H_P</vt:lpstr>
      <vt:lpstr>v_38_XHAO_H_P_old</vt:lpstr>
      <vt:lpstr>v_38_XHAO_L</vt:lpstr>
      <vt:lpstr>v_38_XHAO_L_P</vt:lpstr>
      <vt:lpstr>v_38_XHAO_L_P_old</vt:lpstr>
      <vt:lpstr>v_38_XHAO_old</vt:lpstr>
      <vt:lpstr>v_38_XHFO_H</vt:lpstr>
      <vt:lpstr>v_38_XHFO_H_P</vt:lpstr>
      <vt:lpstr>v_38_XHFO_H_P_old</vt:lpstr>
      <vt:lpstr>v_38_XHFO_L</vt:lpstr>
      <vt:lpstr>v_38_XHFO_L_P</vt:lpstr>
      <vt:lpstr>v_38_XHFO_L_P_old</vt:lpstr>
      <vt:lpstr>v_38_XHFO_old</vt:lpstr>
      <vt:lpstr>v_38_XHMETO</vt:lpstr>
      <vt:lpstr>v_38_XINORG</vt:lpstr>
      <vt:lpstr>v_38_XMEOLO</vt:lpstr>
      <vt:lpstr>v_38_XN_B</vt:lpstr>
      <vt:lpstr>v_38_XN_Be</vt:lpstr>
      <vt:lpstr>v_38_XN_U</vt:lpstr>
      <vt:lpstr>v_38_XNOB</vt:lpstr>
      <vt:lpstr>v_38_XOHO</vt:lpstr>
      <vt:lpstr>v_38_XP_B</vt:lpstr>
      <vt:lpstr>v_38_XP_Be</vt:lpstr>
      <vt:lpstr>v_38_XP_U</vt:lpstr>
      <vt:lpstr>v_38_XPFOA</vt:lpstr>
      <vt:lpstr>v_38_XPFOS</vt:lpstr>
      <vt:lpstr>v_38_XPHA_GAO</vt:lpstr>
      <vt:lpstr>v_38_XPHA_PAO</vt:lpstr>
      <vt:lpstr>v_38_XPP</vt:lpstr>
      <vt:lpstr>v_38_XSTR</vt:lpstr>
      <vt:lpstr>v_38_XU</vt:lpstr>
      <vt:lpstr>v_38_XVivi</vt:lpstr>
      <vt:lpstr>v_39_CB</vt:lpstr>
      <vt:lpstr>v_39_CU</vt:lpstr>
      <vt:lpstr>v_39_GCH4</vt:lpstr>
      <vt:lpstr>v_39_GCH4_atm</vt:lpstr>
      <vt:lpstr>v_39_GCO2</vt:lpstr>
      <vt:lpstr>v_39_GCO2_atm</vt:lpstr>
      <vt:lpstr>v_39_GH2</vt:lpstr>
      <vt:lpstr>v_39_GH2_atm</vt:lpstr>
      <vt:lpstr>v_39_GN2</vt:lpstr>
      <vt:lpstr>v_39_GN2_atm</vt:lpstr>
      <vt:lpstr>v_39_GN2O</vt:lpstr>
      <vt:lpstr>v_39_GN2O_atm</vt:lpstr>
      <vt:lpstr>v_39_GNH3</vt:lpstr>
      <vt:lpstr>v_39_GNH3_atm</vt:lpstr>
      <vt:lpstr>v_39_GNO</vt:lpstr>
      <vt:lpstr>v_39_GNO_atm</vt:lpstr>
      <vt:lpstr>v_39_GO2</vt:lpstr>
      <vt:lpstr>v_39_GO2_atm</vt:lpstr>
      <vt:lpstr>v_39_SALPHA</vt:lpstr>
      <vt:lpstr>v_39_SAN</vt:lpstr>
      <vt:lpstr>v_39_SB</vt:lpstr>
      <vt:lpstr>v_39_SCa</vt:lpstr>
      <vt:lpstr>v_39_SCAT</vt:lpstr>
      <vt:lpstr>v_39_SCH4</vt:lpstr>
      <vt:lpstr>v_39_SCO2</vt:lpstr>
      <vt:lpstr>v_39_SFe2</vt:lpstr>
      <vt:lpstr>v_39_SH</vt:lpstr>
      <vt:lpstr>v_39_SH2</vt:lpstr>
      <vt:lpstr>v_39_SK</vt:lpstr>
      <vt:lpstr>v_39_SMEOL</vt:lpstr>
      <vt:lpstr>v_39_SMg</vt:lpstr>
      <vt:lpstr>v_39_SN_B</vt:lpstr>
      <vt:lpstr>v_39_SN2</vt:lpstr>
      <vt:lpstr>v_39_SN2O</vt:lpstr>
      <vt:lpstr>v_39_SNH2OH</vt:lpstr>
      <vt:lpstr>v_39_SNHx</vt:lpstr>
      <vt:lpstr>v_39_SNO_AOB</vt:lpstr>
      <vt:lpstr>v_39_SNO_OHO</vt:lpstr>
      <vt:lpstr>v_39_SNO2</vt:lpstr>
      <vt:lpstr>v_39_SNO3</vt:lpstr>
      <vt:lpstr>v_39_SO2</vt:lpstr>
      <vt:lpstr>v_39_SORPswitch</vt:lpstr>
      <vt:lpstr>v_39_SP_B</vt:lpstr>
      <vt:lpstr>v_39_SPFOA</vt:lpstr>
      <vt:lpstr>v_39_SPFOS</vt:lpstr>
      <vt:lpstr>v_39_SPO4</vt:lpstr>
      <vt:lpstr>v_39_SU</vt:lpstr>
      <vt:lpstr>v_39_SVFA</vt:lpstr>
      <vt:lpstr>v_39_XACP</vt:lpstr>
      <vt:lpstr>v_39_XALGAE</vt:lpstr>
      <vt:lpstr>v_39_XAMETO</vt:lpstr>
      <vt:lpstr>v_39_XAMX</vt:lpstr>
      <vt:lpstr>v_39_XAOB</vt:lpstr>
      <vt:lpstr>v_39_XB</vt:lpstr>
      <vt:lpstr>v_39_XB_e</vt:lpstr>
      <vt:lpstr>v_39_XBSH</vt:lpstr>
      <vt:lpstr>v_39_XCaCO3</vt:lpstr>
      <vt:lpstr>v_39_XCASTO</vt:lpstr>
      <vt:lpstr>v_39_XE</vt:lpstr>
      <vt:lpstr>v_39_XE_ana</vt:lpstr>
      <vt:lpstr>v_39_XHAO_H</vt:lpstr>
      <vt:lpstr>v_39_XHAO_H_P</vt:lpstr>
      <vt:lpstr>v_39_XHAO_H_P_old</vt:lpstr>
      <vt:lpstr>v_39_XHAO_L</vt:lpstr>
      <vt:lpstr>v_39_XHAO_L_P</vt:lpstr>
      <vt:lpstr>v_39_XHAO_L_P_old</vt:lpstr>
      <vt:lpstr>v_39_XHAO_old</vt:lpstr>
      <vt:lpstr>v_39_XHFO_H</vt:lpstr>
      <vt:lpstr>v_39_XHFO_H_P</vt:lpstr>
      <vt:lpstr>v_39_XHFO_H_P_old</vt:lpstr>
      <vt:lpstr>v_39_XHFO_L</vt:lpstr>
      <vt:lpstr>v_39_XHFO_L_P</vt:lpstr>
      <vt:lpstr>v_39_XHFO_L_P_old</vt:lpstr>
      <vt:lpstr>v_39_XHFO_old</vt:lpstr>
      <vt:lpstr>v_39_XHMETO</vt:lpstr>
      <vt:lpstr>v_39_XINORG</vt:lpstr>
      <vt:lpstr>v_39_XMEOLO</vt:lpstr>
      <vt:lpstr>v_39_XN_B</vt:lpstr>
      <vt:lpstr>v_39_XN_Be</vt:lpstr>
      <vt:lpstr>v_39_XN_U</vt:lpstr>
      <vt:lpstr>v_39_XNOB</vt:lpstr>
      <vt:lpstr>v_39_XOHO</vt:lpstr>
      <vt:lpstr>v_39_XP_B</vt:lpstr>
      <vt:lpstr>v_39_XP_Be</vt:lpstr>
      <vt:lpstr>v_39_XP_U</vt:lpstr>
      <vt:lpstr>v_39_XPFOA</vt:lpstr>
      <vt:lpstr>v_39_XPFOS</vt:lpstr>
      <vt:lpstr>v_39_XPHA_GAO</vt:lpstr>
      <vt:lpstr>v_39_XPHA_PAO</vt:lpstr>
      <vt:lpstr>v_39_XPP</vt:lpstr>
      <vt:lpstr>v_39_XSTR</vt:lpstr>
      <vt:lpstr>v_39_XU</vt:lpstr>
      <vt:lpstr>v_39_XVivi</vt:lpstr>
      <vt:lpstr>v_4_CB</vt:lpstr>
      <vt:lpstr>v_4_CU</vt:lpstr>
      <vt:lpstr>v_4_GCH4</vt:lpstr>
      <vt:lpstr>v_4_GCH4_atm</vt:lpstr>
      <vt:lpstr>v_4_GCO2</vt:lpstr>
      <vt:lpstr>v_4_GCO2_atm</vt:lpstr>
      <vt:lpstr>v_4_GH2</vt:lpstr>
      <vt:lpstr>v_4_GH2_atm</vt:lpstr>
      <vt:lpstr>v_4_GN2</vt:lpstr>
      <vt:lpstr>v_4_GN2_atm</vt:lpstr>
      <vt:lpstr>v_4_GN2O</vt:lpstr>
      <vt:lpstr>v_4_GN2O_atm</vt:lpstr>
      <vt:lpstr>v_4_GNH3</vt:lpstr>
      <vt:lpstr>v_4_GNH3_atm</vt:lpstr>
      <vt:lpstr>v_4_GNO</vt:lpstr>
      <vt:lpstr>v_4_GNO_atm</vt:lpstr>
      <vt:lpstr>v_4_GO2</vt:lpstr>
      <vt:lpstr>v_4_GO2_atm</vt:lpstr>
      <vt:lpstr>v_4_SALPHA</vt:lpstr>
      <vt:lpstr>v_4_SAN</vt:lpstr>
      <vt:lpstr>v_4_SB</vt:lpstr>
      <vt:lpstr>v_4_SCa</vt:lpstr>
      <vt:lpstr>v_4_SCAT</vt:lpstr>
      <vt:lpstr>v_4_SCH4</vt:lpstr>
      <vt:lpstr>v_4_SCO2</vt:lpstr>
      <vt:lpstr>v_4_SFe2</vt:lpstr>
      <vt:lpstr>v_4_SH</vt:lpstr>
      <vt:lpstr>v_4_SH2</vt:lpstr>
      <vt:lpstr>v_4_SK</vt:lpstr>
      <vt:lpstr>v_4_SMEOL</vt:lpstr>
      <vt:lpstr>v_4_SMg</vt:lpstr>
      <vt:lpstr>v_4_SN_B</vt:lpstr>
      <vt:lpstr>v_4_SN2</vt:lpstr>
      <vt:lpstr>v_4_SN2O</vt:lpstr>
      <vt:lpstr>v_4_SNH2OH</vt:lpstr>
      <vt:lpstr>v_4_SNHx</vt:lpstr>
      <vt:lpstr>v_4_SNO_AOB</vt:lpstr>
      <vt:lpstr>v_4_SNO_OHO</vt:lpstr>
      <vt:lpstr>v_4_SNO2</vt:lpstr>
      <vt:lpstr>v_4_SNO3</vt:lpstr>
      <vt:lpstr>v_4_SO2</vt:lpstr>
      <vt:lpstr>v_4_SORPswitch</vt:lpstr>
      <vt:lpstr>v_4_SP_B</vt:lpstr>
      <vt:lpstr>v_4_SPFOA</vt:lpstr>
      <vt:lpstr>v_4_SPFOS</vt:lpstr>
      <vt:lpstr>v_4_SPO4</vt:lpstr>
      <vt:lpstr>v_4_SU</vt:lpstr>
      <vt:lpstr>v_4_SVFA</vt:lpstr>
      <vt:lpstr>v_4_XACP</vt:lpstr>
      <vt:lpstr>v_4_XALGAE</vt:lpstr>
      <vt:lpstr>v_4_XAMETO</vt:lpstr>
      <vt:lpstr>v_4_XAMX</vt:lpstr>
      <vt:lpstr>v_4_XAOB</vt:lpstr>
      <vt:lpstr>v_4_XB</vt:lpstr>
      <vt:lpstr>v_4_XB_e</vt:lpstr>
      <vt:lpstr>v_4_XBSH</vt:lpstr>
      <vt:lpstr>v_4_XCaCO3</vt:lpstr>
      <vt:lpstr>v_4_XCASTO</vt:lpstr>
      <vt:lpstr>v_4_XE</vt:lpstr>
      <vt:lpstr>v_4_XE_ana</vt:lpstr>
      <vt:lpstr>v_4_XHAO_H</vt:lpstr>
      <vt:lpstr>v_4_XHAO_H_P</vt:lpstr>
      <vt:lpstr>v_4_XHAO_H_P_old</vt:lpstr>
      <vt:lpstr>v_4_XHAO_L</vt:lpstr>
      <vt:lpstr>v_4_XHAO_L_P</vt:lpstr>
      <vt:lpstr>v_4_XHAO_L_P_old</vt:lpstr>
      <vt:lpstr>v_4_XHAO_old</vt:lpstr>
      <vt:lpstr>v_4_XHFO_H</vt:lpstr>
      <vt:lpstr>v_4_XHFO_H_P</vt:lpstr>
      <vt:lpstr>v_4_XHFO_H_P_old</vt:lpstr>
      <vt:lpstr>v_4_XHFO_L</vt:lpstr>
      <vt:lpstr>v_4_XHFO_L_P</vt:lpstr>
      <vt:lpstr>v_4_XHFO_L_P_old</vt:lpstr>
      <vt:lpstr>v_4_XHFO_old</vt:lpstr>
      <vt:lpstr>v_4_XHMETO</vt:lpstr>
      <vt:lpstr>v_4_XINORG</vt:lpstr>
      <vt:lpstr>v_4_XMEOLO</vt:lpstr>
      <vt:lpstr>v_4_XN_B</vt:lpstr>
      <vt:lpstr>v_4_XN_Be</vt:lpstr>
      <vt:lpstr>v_4_XN_U</vt:lpstr>
      <vt:lpstr>v_4_XNOB</vt:lpstr>
      <vt:lpstr>v_4_XOHO</vt:lpstr>
      <vt:lpstr>v_4_XP_B</vt:lpstr>
      <vt:lpstr>v_4_XP_Be</vt:lpstr>
      <vt:lpstr>v_4_XP_U</vt:lpstr>
      <vt:lpstr>v_4_XPFOA</vt:lpstr>
      <vt:lpstr>v_4_XPFOS</vt:lpstr>
      <vt:lpstr>v_4_XPHA_GAO</vt:lpstr>
      <vt:lpstr>v_4_XPHA_PAO</vt:lpstr>
      <vt:lpstr>v_4_XPP</vt:lpstr>
      <vt:lpstr>v_4_XSTR</vt:lpstr>
      <vt:lpstr>v_4_XU</vt:lpstr>
      <vt:lpstr>v_4_XVivi</vt:lpstr>
      <vt:lpstr>v_40_CB</vt:lpstr>
      <vt:lpstr>v_40_CU</vt:lpstr>
      <vt:lpstr>v_40_GCH4</vt:lpstr>
      <vt:lpstr>v_40_GCH4_atm</vt:lpstr>
      <vt:lpstr>v_40_GCO2</vt:lpstr>
      <vt:lpstr>v_40_GCO2_atm</vt:lpstr>
      <vt:lpstr>v_40_GH2</vt:lpstr>
      <vt:lpstr>v_40_GH2_atm</vt:lpstr>
      <vt:lpstr>v_40_GN2</vt:lpstr>
      <vt:lpstr>v_40_GN2_atm</vt:lpstr>
      <vt:lpstr>v_40_GN2O</vt:lpstr>
      <vt:lpstr>v_40_GN2O_atm</vt:lpstr>
      <vt:lpstr>v_40_GNH3</vt:lpstr>
      <vt:lpstr>v_40_GNH3_atm</vt:lpstr>
      <vt:lpstr>v_40_GNO</vt:lpstr>
      <vt:lpstr>v_40_GNO_atm</vt:lpstr>
      <vt:lpstr>v_40_GO2</vt:lpstr>
      <vt:lpstr>v_40_GO2_atm</vt:lpstr>
      <vt:lpstr>v_40_SALPHA</vt:lpstr>
      <vt:lpstr>v_40_SAN</vt:lpstr>
      <vt:lpstr>v_40_SB</vt:lpstr>
      <vt:lpstr>v_40_SCa</vt:lpstr>
      <vt:lpstr>v_40_SCAT</vt:lpstr>
      <vt:lpstr>v_40_SCH4</vt:lpstr>
      <vt:lpstr>v_40_SCO2</vt:lpstr>
      <vt:lpstr>v_40_SFe2</vt:lpstr>
      <vt:lpstr>v_40_SH</vt:lpstr>
      <vt:lpstr>v_40_SH2</vt:lpstr>
      <vt:lpstr>v_40_SK</vt:lpstr>
      <vt:lpstr>v_40_SMEOL</vt:lpstr>
      <vt:lpstr>v_40_SMg</vt:lpstr>
      <vt:lpstr>v_40_SN_B</vt:lpstr>
      <vt:lpstr>v_40_SN2</vt:lpstr>
      <vt:lpstr>v_40_SN2O</vt:lpstr>
      <vt:lpstr>v_40_SNH2OH</vt:lpstr>
      <vt:lpstr>v_40_SNHx</vt:lpstr>
      <vt:lpstr>v_40_SNO_AOB</vt:lpstr>
      <vt:lpstr>v_40_SNO_OHO</vt:lpstr>
      <vt:lpstr>v_40_SNO2</vt:lpstr>
      <vt:lpstr>v_40_SNO3</vt:lpstr>
      <vt:lpstr>v_40_SO2</vt:lpstr>
      <vt:lpstr>v_40_SORPswitch</vt:lpstr>
      <vt:lpstr>v_40_SP_B</vt:lpstr>
      <vt:lpstr>v_40_SPFOA</vt:lpstr>
      <vt:lpstr>v_40_SPFOS</vt:lpstr>
      <vt:lpstr>v_40_SPO4</vt:lpstr>
      <vt:lpstr>v_40_SU</vt:lpstr>
      <vt:lpstr>v_40_SVFA</vt:lpstr>
      <vt:lpstr>v_40_XACP</vt:lpstr>
      <vt:lpstr>v_40_XALGAE</vt:lpstr>
      <vt:lpstr>v_40_XAMETO</vt:lpstr>
      <vt:lpstr>v_40_XAMX</vt:lpstr>
      <vt:lpstr>v_40_XAOB</vt:lpstr>
      <vt:lpstr>v_40_XB</vt:lpstr>
      <vt:lpstr>v_40_XB_e</vt:lpstr>
      <vt:lpstr>v_40_XBSH</vt:lpstr>
      <vt:lpstr>v_40_XCaCO3</vt:lpstr>
      <vt:lpstr>v_40_XCASTO</vt:lpstr>
      <vt:lpstr>v_40_XE</vt:lpstr>
      <vt:lpstr>v_40_XE_ana</vt:lpstr>
      <vt:lpstr>v_40_XHAO_H</vt:lpstr>
      <vt:lpstr>v_40_XHAO_H_P</vt:lpstr>
      <vt:lpstr>v_40_XHAO_H_P_old</vt:lpstr>
      <vt:lpstr>v_40_XHAO_L</vt:lpstr>
      <vt:lpstr>v_40_XHAO_L_P</vt:lpstr>
      <vt:lpstr>v_40_XHAO_L_P_old</vt:lpstr>
      <vt:lpstr>v_40_XHAO_old</vt:lpstr>
      <vt:lpstr>v_40_XHFO_H</vt:lpstr>
      <vt:lpstr>v_40_XHFO_H_P</vt:lpstr>
      <vt:lpstr>v_40_XHFO_H_P_old</vt:lpstr>
      <vt:lpstr>v_40_XHFO_L</vt:lpstr>
      <vt:lpstr>v_40_XHFO_L_P</vt:lpstr>
      <vt:lpstr>v_40_XHFO_L_P_old</vt:lpstr>
      <vt:lpstr>v_40_XHFO_old</vt:lpstr>
      <vt:lpstr>v_40_XHMETO</vt:lpstr>
      <vt:lpstr>v_40_XINORG</vt:lpstr>
      <vt:lpstr>v_40_XMEOLO</vt:lpstr>
      <vt:lpstr>v_40_XN_B</vt:lpstr>
      <vt:lpstr>v_40_XN_Be</vt:lpstr>
      <vt:lpstr>v_40_XN_U</vt:lpstr>
      <vt:lpstr>v_40_XNOB</vt:lpstr>
      <vt:lpstr>v_40_XOHO</vt:lpstr>
      <vt:lpstr>v_40_XP_B</vt:lpstr>
      <vt:lpstr>v_40_XP_Be</vt:lpstr>
      <vt:lpstr>v_40_XP_U</vt:lpstr>
      <vt:lpstr>v_40_XPFOA</vt:lpstr>
      <vt:lpstr>v_40_XPFOS</vt:lpstr>
      <vt:lpstr>v_40_XPHA_GAO</vt:lpstr>
      <vt:lpstr>v_40_XPHA_PAO</vt:lpstr>
      <vt:lpstr>v_40_XPP</vt:lpstr>
      <vt:lpstr>v_40_XSTR</vt:lpstr>
      <vt:lpstr>v_40_XU</vt:lpstr>
      <vt:lpstr>v_40_XVivi</vt:lpstr>
      <vt:lpstr>v_41_CB</vt:lpstr>
      <vt:lpstr>v_41_CU</vt:lpstr>
      <vt:lpstr>v_41_GCH4</vt:lpstr>
      <vt:lpstr>v_41_GCH4_atm</vt:lpstr>
      <vt:lpstr>v_41_GCO2</vt:lpstr>
      <vt:lpstr>v_41_GCO2_atm</vt:lpstr>
      <vt:lpstr>v_41_GH2</vt:lpstr>
      <vt:lpstr>v_41_GH2_atm</vt:lpstr>
      <vt:lpstr>v_41_GN2</vt:lpstr>
      <vt:lpstr>v_41_GN2_atm</vt:lpstr>
      <vt:lpstr>v_41_GN2O</vt:lpstr>
      <vt:lpstr>v_41_GN2O_atm</vt:lpstr>
      <vt:lpstr>v_41_GNH3</vt:lpstr>
      <vt:lpstr>v_41_GNH3_atm</vt:lpstr>
      <vt:lpstr>v_41_GNO</vt:lpstr>
      <vt:lpstr>v_41_GNO_atm</vt:lpstr>
      <vt:lpstr>v_41_GO2</vt:lpstr>
      <vt:lpstr>v_41_GO2_atm</vt:lpstr>
      <vt:lpstr>v_41_SALPHA</vt:lpstr>
      <vt:lpstr>v_41_SAN</vt:lpstr>
      <vt:lpstr>v_41_SB</vt:lpstr>
      <vt:lpstr>v_41_SCa</vt:lpstr>
      <vt:lpstr>v_41_SCAT</vt:lpstr>
      <vt:lpstr>v_41_SCH4</vt:lpstr>
      <vt:lpstr>v_41_SCO2</vt:lpstr>
      <vt:lpstr>v_41_SFe2</vt:lpstr>
      <vt:lpstr>v_41_SH</vt:lpstr>
      <vt:lpstr>v_41_SH2</vt:lpstr>
      <vt:lpstr>v_41_SK</vt:lpstr>
      <vt:lpstr>v_41_SMEOL</vt:lpstr>
      <vt:lpstr>v_41_SMg</vt:lpstr>
      <vt:lpstr>v_41_SN_B</vt:lpstr>
      <vt:lpstr>v_41_SN2</vt:lpstr>
      <vt:lpstr>v_41_SN2O</vt:lpstr>
      <vt:lpstr>v_41_SNH2OH</vt:lpstr>
      <vt:lpstr>v_41_SNHx</vt:lpstr>
      <vt:lpstr>v_41_SNO_AOB</vt:lpstr>
      <vt:lpstr>v_41_SNO_OHO</vt:lpstr>
      <vt:lpstr>v_41_SNO2</vt:lpstr>
      <vt:lpstr>v_41_SNO3</vt:lpstr>
      <vt:lpstr>v_41_SO2</vt:lpstr>
      <vt:lpstr>v_41_SORPswitch</vt:lpstr>
      <vt:lpstr>v_41_SP_B</vt:lpstr>
      <vt:lpstr>v_41_SPFOA</vt:lpstr>
      <vt:lpstr>v_41_SPFOS</vt:lpstr>
      <vt:lpstr>v_41_SPO4</vt:lpstr>
      <vt:lpstr>v_41_SU</vt:lpstr>
      <vt:lpstr>v_41_SVFA</vt:lpstr>
      <vt:lpstr>v_41_XACP</vt:lpstr>
      <vt:lpstr>v_41_XALGAE</vt:lpstr>
      <vt:lpstr>v_41_XAMETO</vt:lpstr>
      <vt:lpstr>v_41_XAMX</vt:lpstr>
      <vt:lpstr>v_41_XAOB</vt:lpstr>
      <vt:lpstr>v_41_XB</vt:lpstr>
      <vt:lpstr>v_41_XB_e</vt:lpstr>
      <vt:lpstr>v_41_XBSH</vt:lpstr>
      <vt:lpstr>v_41_XCaCO3</vt:lpstr>
      <vt:lpstr>v_41_XCASTO</vt:lpstr>
      <vt:lpstr>v_41_XE</vt:lpstr>
      <vt:lpstr>v_41_XE_ana</vt:lpstr>
      <vt:lpstr>v_41_XHAO_H</vt:lpstr>
      <vt:lpstr>v_41_XHAO_H_P</vt:lpstr>
      <vt:lpstr>v_41_XHAO_H_P_old</vt:lpstr>
      <vt:lpstr>v_41_XHAO_L</vt:lpstr>
      <vt:lpstr>v_41_XHAO_L_P</vt:lpstr>
      <vt:lpstr>v_41_XHAO_L_P_old</vt:lpstr>
      <vt:lpstr>v_41_XHAO_old</vt:lpstr>
      <vt:lpstr>v_41_XHFO_H</vt:lpstr>
      <vt:lpstr>v_41_XHFO_H_P</vt:lpstr>
      <vt:lpstr>v_41_XHFO_H_P_old</vt:lpstr>
      <vt:lpstr>v_41_XHFO_L</vt:lpstr>
      <vt:lpstr>v_41_XHFO_L_P</vt:lpstr>
      <vt:lpstr>v_41_XHFO_L_P_old</vt:lpstr>
      <vt:lpstr>v_41_XHFO_old</vt:lpstr>
      <vt:lpstr>v_41_XHMETO</vt:lpstr>
      <vt:lpstr>v_41_XINORG</vt:lpstr>
      <vt:lpstr>v_41_XMEOLO</vt:lpstr>
      <vt:lpstr>v_41_XN_B</vt:lpstr>
      <vt:lpstr>v_41_XN_Be</vt:lpstr>
      <vt:lpstr>v_41_XN_U</vt:lpstr>
      <vt:lpstr>v_41_XNOB</vt:lpstr>
      <vt:lpstr>v_41_XOHO</vt:lpstr>
      <vt:lpstr>v_41_XP_B</vt:lpstr>
      <vt:lpstr>v_41_XP_Be</vt:lpstr>
      <vt:lpstr>v_41_XP_U</vt:lpstr>
      <vt:lpstr>v_41_XPFOA</vt:lpstr>
      <vt:lpstr>v_41_XPFOS</vt:lpstr>
      <vt:lpstr>v_41_XPHA_GAO</vt:lpstr>
      <vt:lpstr>v_41_XPHA_PAO</vt:lpstr>
      <vt:lpstr>v_41_XPP</vt:lpstr>
      <vt:lpstr>v_41_XSTR</vt:lpstr>
      <vt:lpstr>v_41_XU</vt:lpstr>
      <vt:lpstr>v_41_XVivi</vt:lpstr>
      <vt:lpstr>v_42_CB</vt:lpstr>
      <vt:lpstr>v_42_CU</vt:lpstr>
      <vt:lpstr>v_42_GCH4</vt:lpstr>
      <vt:lpstr>v_42_GCH4_atm</vt:lpstr>
      <vt:lpstr>v_42_GCO2</vt:lpstr>
      <vt:lpstr>v_42_GCO2_atm</vt:lpstr>
      <vt:lpstr>v_42_GH2</vt:lpstr>
      <vt:lpstr>v_42_GH2_atm</vt:lpstr>
      <vt:lpstr>v_42_GN2</vt:lpstr>
      <vt:lpstr>v_42_GN2_atm</vt:lpstr>
      <vt:lpstr>v_42_GN2O</vt:lpstr>
      <vt:lpstr>v_42_GN2O_atm</vt:lpstr>
      <vt:lpstr>v_42_GNH3</vt:lpstr>
      <vt:lpstr>v_42_GNH3_atm</vt:lpstr>
      <vt:lpstr>v_42_GNO</vt:lpstr>
      <vt:lpstr>v_42_GNO_atm</vt:lpstr>
      <vt:lpstr>v_42_GO2</vt:lpstr>
      <vt:lpstr>v_42_GO2_atm</vt:lpstr>
      <vt:lpstr>v_42_SALPHA</vt:lpstr>
      <vt:lpstr>v_42_SAN</vt:lpstr>
      <vt:lpstr>v_42_SB</vt:lpstr>
      <vt:lpstr>v_42_SCa</vt:lpstr>
      <vt:lpstr>v_42_SCAT</vt:lpstr>
      <vt:lpstr>v_42_SCH4</vt:lpstr>
      <vt:lpstr>v_42_SCO2</vt:lpstr>
      <vt:lpstr>v_42_SFe2</vt:lpstr>
      <vt:lpstr>v_42_SH</vt:lpstr>
      <vt:lpstr>v_42_SH2</vt:lpstr>
      <vt:lpstr>v_42_SK</vt:lpstr>
      <vt:lpstr>v_42_SMEOL</vt:lpstr>
      <vt:lpstr>v_42_SMg</vt:lpstr>
      <vt:lpstr>v_42_SN_B</vt:lpstr>
      <vt:lpstr>v_42_SN2</vt:lpstr>
      <vt:lpstr>v_42_SN2O</vt:lpstr>
      <vt:lpstr>v_42_SNH2OH</vt:lpstr>
      <vt:lpstr>v_42_SNHx</vt:lpstr>
      <vt:lpstr>v_42_SNO_AOB</vt:lpstr>
      <vt:lpstr>v_42_SNO_OHO</vt:lpstr>
      <vt:lpstr>v_42_SNO2</vt:lpstr>
      <vt:lpstr>v_42_SNO3</vt:lpstr>
      <vt:lpstr>v_42_SO2</vt:lpstr>
      <vt:lpstr>v_42_SORPswitch</vt:lpstr>
      <vt:lpstr>v_42_SP_B</vt:lpstr>
      <vt:lpstr>v_42_SPFOA</vt:lpstr>
      <vt:lpstr>v_42_SPFOS</vt:lpstr>
      <vt:lpstr>v_42_SPO4</vt:lpstr>
      <vt:lpstr>v_42_SU</vt:lpstr>
      <vt:lpstr>v_42_SVFA</vt:lpstr>
      <vt:lpstr>v_42_XACP</vt:lpstr>
      <vt:lpstr>v_42_XALGAE</vt:lpstr>
      <vt:lpstr>v_42_XAMETO</vt:lpstr>
      <vt:lpstr>v_42_XAMX</vt:lpstr>
      <vt:lpstr>v_42_XAOB</vt:lpstr>
      <vt:lpstr>v_42_XB</vt:lpstr>
      <vt:lpstr>v_42_XB_e</vt:lpstr>
      <vt:lpstr>v_42_XBSH</vt:lpstr>
      <vt:lpstr>v_42_XCaCO3</vt:lpstr>
      <vt:lpstr>v_42_XCASTO</vt:lpstr>
      <vt:lpstr>v_42_XE</vt:lpstr>
      <vt:lpstr>v_42_XE_ana</vt:lpstr>
      <vt:lpstr>v_42_XHAO_H</vt:lpstr>
      <vt:lpstr>v_42_XHAO_H_P</vt:lpstr>
      <vt:lpstr>v_42_XHAO_H_P_old</vt:lpstr>
      <vt:lpstr>v_42_XHAO_L</vt:lpstr>
      <vt:lpstr>v_42_XHAO_L_P</vt:lpstr>
      <vt:lpstr>v_42_XHAO_L_P_old</vt:lpstr>
      <vt:lpstr>v_42_XHAO_old</vt:lpstr>
      <vt:lpstr>v_42_XHFO_H</vt:lpstr>
      <vt:lpstr>v_42_XHFO_H_P</vt:lpstr>
      <vt:lpstr>v_42_XHFO_H_P_old</vt:lpstr>
      <vt:lpstr>v_42_XHFO_L</vt:lpstr>
      <vt:lpstr>v_42_XHFO_L_P</vt:lpstr>
      <vt:lpstr>v_42_XHFO_L_P_old</vt:lpstr>
      <vt:lpstr>v_42_XHFO_old</vt:lpstr>
      <vt:lpstr>v_42_XHMETO</vt:lpstr>
      <vt:lpstr>v_42_XINORG</vt:lpstr>
      <vt:lpstr>v_42_XMEOLO</vt:lpstr>
      <vt:lpstr>v_42_XN_B</vt:lpstr>
      <vt:lpstr>v_42_XN_Be</vt:lpstr>
      <vt:lpstr>v_42_XN_U</vt:lpstr>
      <vt:lpstr>v_42_XNOB</vt:lpstr>
      <vt:lpstr>v_42_XOHO</vt:lpstr>
      <vt:lpstr>v_42_XP_B</vt:lpstr>
      <vt:lpstr>v_42_XP_Be</vt:lpstr>
      <vt:lpstr>v_42_XP_U</vt:lpstr>
      <vt:lpstr>v_42_XPFOA</vt:lpstr>
      <vt:lpstr>v_42_XPFOS</vt:lpstr>
      <vt:lpstr>v_42_XPHA_GAO</vt:lpstr>
      <vt:lpstr>v_42_XPHA_PAO</vt:lpstr>
      <vt:lpstr>v_42_XPP</vt:lpstr>
      <vt:lpstr>v_42_XSTR</vt:lpstr>
      <vt:lpstr>v_42_XU</vt:lpstr>
      <vt:lpstr>v_42_XVivi</vt:lpstr>
      <vt:lpstr>v_43_CB</vt:lpstr>
      <vt:lpstr>v_43_CU</vt:lpstr>
      <vt:lpstr>v_43_GCH4</vt:lpstr>
      <vt:lpstr>v_43_GCH4_atm</vt:lpstr>
      <vt:lpstr>v_43_GCO2</vt:lpstr>
      <vt:lpstr>v_43_GCO2_atm</vt:lpstr>
      <vt:lpstr>v_43_GH2</vt:lpstr>
      <vt:lpstr>v_43_GH2_atm</vt:lpstr>
      <vt:lpstr>v_43_GN2</vt:lpstr>
      <vt:lpstr>v_43_GN2_atm</vt:lpstr>
      <vt:lpstr>v_43_GN2O</vt:lpstr>
      <vt:lpstr>v_43_GN2O_atm</vt:lpstr>
      <vt:lpstr>v_43_GNH3</vt:lpstr>
      <vt:lpstr>v_43_GNH3_atm</vt:lpstr>
      <vt:lpstr>v_43_GNO</vt:lpstr>
      <vt:lpstr>v_43_GNO_atm</vt:lpstr>
      <vt:lpstr>v_43_GO2</vt:lpstr>
      <vt:lpstr>v_43_GO2_atm</vt:lpstr>
      <vt:lpstr>v_43_SALPHA</vt:lpstr>
      <vt:lpstr>v_43_SAN</vt:lpstr>
      <vt:lpstr>v_43_SB</vt:lpstr>
      <vt:lpstr>v_43_SCa</vt:lpstr>
      <vt:lpstr>v_43_SCAT</vt:lpstr>
      <vt:lpstr>v_43_SCH4</vt:lpstr>
      <vt:lpstr>v_43_SCO2</vt:lpstr>
      <vt:lpstr>v_43_SFe2</vt:lpstr>
      <vt:lpstr>v_43_SH</vt:lpstr>
      <vt:lpstr>v_43_SH2</vt:lpstr>
      <vt:lpstr>v_43_SK</vt:lpstr>
      <vt:lpstr>v_43_SMEOL</vt:lpstr>
      <vt:lpstr>v_43_SMg</vt:lpstr>
      <vt:lpstr>v_43_SN_B</vt:lpstr>
      <vt:lpstr>v_43_SN2</vt:lpstr>
      <vt:lpstr>v_43_SN2O</vt:lpstr>
      <vt:lpstr>v_43_SNH2OH</vt:lpstr>
      <vt:lpstr>v_43_SNHx</vt:lpstr>
      <vt:lpstr>v_43_SNO_AOB</vt:lpstr>
      <vt:lpstr>v_43_SNO_OHO</vt:lpstr>
      <vt:lpstr>v_43_SNO2</vt:lpstr>
      <vt:lpstr>v_43_SNO3</vt:lpstr>
      <vt:lpstr>v_43_SO2</vt:lpstr>
      <vt:lpstr>v_43_SORPswitch</vt:lpstr>
      <vt:lpstr>v_43_SP_B</vt:lpstr>
      <vt:lpstr>v_43_SPFOA</vt:lpstr>
      <vt:lpstr>v_43_SPFOS</vt:lpstr>
      <vt:lpstr>v_43_SPO4</vt:lpstr>
      <vt:lpstr>v_43_SU</vt:lpstr>
      <vt:lpstr>v_43_SVFA</vt:lpstr>
      <vt:lpstr>v_43_XACP</vt:lpstr>
      <vt:lpstr>v_43_XALGAE</vt:lpstr>
      <vt:lpstr>v_43_XAMETO</vt:lpstr>
      <vt:lpstr>v_43_XAMX</vt:lpstr>
      <vt:lpstr>v_43_XAOB</vt:lpstr>
      <vt:lpstr>v_43_XB</vt:lpstr>
      <vt:lpstr>v_43_XB_e</vt:lpstr>
      <vt:lpstr>v_43_XBSH</vt:lpstr>
      <vt:lpstr>v_43_XCaCO3</vt:lpstr>
      <vt:lpstr>v_43_XCASTO</vt:lpstr>
      <vt:lpstr>v_43_XE</vt:lpstr>
      <vt:lpstr>v_43_XE_ana</vt:lpstr>
      <vt:lpstr>v_43_XHAO_H</vt:lpstr>
      <vt:lpstr>v_43_XHAO_H_P</vt:lpstr>
      <vt:lpstr>v_43_XHAO_H_P_old</vt:lpstr>
      <vt:lpstr>v_43_XHAO_L</vt:lpstr>
      <vt:lpstr>v_43_XHAO_L_P</vt:lpstr>
      <vt:lpstr>v_43_XHAO_L_P_old</vt:lpstr>
      <vt:lpstr>v_43_XHAO_old</vt:lpstr>
      <vt:lpstr>v_43_XHFO_H</vt:lpstr>
      <vt:lpstr>v_43_XHFO_H_P</vt:lpstr>
      <vt:lpstr>v_43_XHFO_H_P_old</vt:lpstr>
      <vt:lpstr>v_43_XHFO_L</vt:lpstr>
      <vt:lpstr>v_43_XHFO_L_P</vt:lpstr>
      <vt:lpstr>v_43_XHFO_L_P_old</vt:lpstr>
      <vt:lpstr>v_43_XHFO_old</vt:lpstr>
      <vt:lpstr>v_43_XHMETO</vt:lpstr>
      <vt:lpstr>v_43_XINORG</vt:lpstr>
      <vt:lpstr>v_43_XMEOLO</vt:lpstr>
      <vt:lpstr>v_43_XN_B</vt:lpstr>
      <vt:lpstr>v_43_XN_Be</vt:lpstr>
      <vt:lpstr>v_43_XN_U</vt:lpstr>
      <vt:lpstr>v_43_XNOB</vt:lpstr>
      <vt:lpstr>v_43_XOHO</vt:lpstr>
      <vt:lpstr>v_43_XP_B</vt:lpstr>
      <vt:lpstr>v_43_XP_Be</vt:lpstr>
      <vt:lpstr>v_43_XP_U</vt:lpstr>
      <vt:lpstr>v_43_XPFOA</vt:lpstr>
      <vt:lpstr>v_43_XPFOS</vt:lpstr>
      <vt:lpstr>v_43_XPHA_GAO</vt:lpstr>
      <vt:lpstr>v_43_XPHA_PAO</vt:lpstr>
      <vt:lpstr>v_43_XPP</vt:lpstr>
      <vt:lpstr>v_43_XSTR</vt:lpstr>
      <vt:lpstr>v_43_XU</vt:lpstr>
      <vt:lpstr>v_43_XVivi</vt:lpstr>
      <vt:lpstr>v_44_CB</vt:lpstr>
      <vt:lpstr>v_44_CU</vt:lpstr>
      <vt:lpstr>v_44_GCH4</vt:lpstr>
      <vt:lpstr>v_44_GCH4_atm</vt:lpstr>
      <vt:lpstr>v_44_GCO2</vt:lpstr>
      <vt:lpstr>v_44_GCO2_atm</vt:lpstr>
      <vt:lpstr>v_44_GH2</vt:lpstr>
      <vt:lpstr>v_44_GH2_atm</vt:lpstr>
      <vt:lpstr>v_44_GN2</vt:lpstr>
      <vt:lpstr>v_44_GN2_atm</vt:lpstr>
      <vt:lpstr>v_44_GN2O</vt:lpstr>
      <vt:lpstr>v_44_GN2O_atm</vt:lpstr>
      <vt:lpstr>v_44_GNH3</vt:lpstr>
      <vt:lpstr>v_44_GNH3_atm</vt:lpstr>
      <vt:lpstr>v_44_GNO</vt:lpstr>
      <vt:lpstr>v_44_GNO_atm</vt:lpstr>
      <vt:lpstr>v_44_GO2</vt:lpstr>
      <vt:lpstr>v_44_GO2_atm</vt:lpstr>
      <vt:lpstr>v_44_SALPHA</vt:lpstr>
      <vt:lpstr>v_44_SAN</vt:lpstr>
      <vt:lpstr>v_44_SB</vt:lpstr>
      <vt:lpstr>v_44_SCa</vt:lpstr>
      <vt:lpstr>v_44_SCAT</vt:lpstr>
      <vt:lpstr>v_44_SCH4</vt:lpstr>
      <vt:lpstr>v_44_SCO2</vt:lpstr>
      <vt:lpstr>v_44_SFe2</vt:lpstr>
      <vt:lpstr>v_44_SH</vt:lpstr>
      <vt:lpstr>v_44_SH2</vt:lpstr>
      <vt:lpstr>v_44_SK</vt:lpstr>
      <vt:lpstr>v_44_SMEOL</vt:lpstr>
      <vt:lpstr>v_44_SMg</vt:lpstr>
      <vt:lpstr>v_44_SN_B</vt:lpstr>
      <vt:lpstr>v_44_SN2</vt:lpstr>
      <vt:lpstr>v_44_SN2O</vt:lpstr>
      <vt:lpstr>v_44_SNH2OH</vt:lpstr>
      <vt:lpstr>v_44_SNHx</vt:lpstr>
      <vt:lpstr>v_44_SNO_AOB</vt:lpstr>
      <vt:lpstr>v_44_SNO_OHO</vt:lpstr>
      <vt:lpstr>v_44_SNO2</vt:lpstr>
      <vt:lpstr>v_44_SNO3</vt:lpstr>
      <vt:lpstr>v_44_SO2</vt:lpstr>
      <vt:lpstr>v_44_SORPswitch</vt:lpstr>
      <vt:lpstr>v_44_SP_B</vt:lpstr>
      <vt:lpstr>v_44_SPFOA</vt:lpstr>
      <vt:lpstr>v_44_SPFOS</vt:lpstr>
      <vt:lpstr>v_44_SPO4</vt:lpstr>
      <vt:lpstr>v_44_SU</vt:lpstr>
      <vt:lpstr>v_44_SVFA</vt:lpstr>
      <vt:lpstr>v_44_XACP</vt:lpstr>
      <vt:lpstr>v_44_XALGAE</vt:lpstr>
      <vt:lpstr>v_44_XAMETO</vt:lpstr>
      <vt:lpstr>v_44_XAMX</vt:lpstr>
      <vt:lpstr>v_44_XAOB</vt:lpstr>
      <vt:lpstr>v_44_XB</vt:lpstr>
      <vt:lpstr>v_44_XB_e</vt:lpstr>
      <vt:lpstr>v_44_XBSH</vt:lpstr>
      <vt:lpstr>v_44_XCaCO3</vt:lpstr>
      <vt:lpstr>v_44_XCASTO</vt:lpstr>
      <vt:lpstr>v_44_XE</vt:lpstr>
      <vt:lpstr>v_44_XE_ana</vt:lpstr>
      <vt:lpstr>v_44_XHAO_H</vt:lpstr>
      <vt:lpstr>v_44_XHAO_H_P</vt:lpstr>
      <vt:lpstr>v_44_XHAO_H_P_old</vt:lpstr>
      <vt:lpstr>v_44_XHAO_L</vt:lpstr>
      <vt:lpstr>v_44_XHAO_L_P</vt:lpstr>
      <vt:lpstr>v_44_XHAO_L_P_old</vt:lpstr>
      <vt:lpstr>v_44_XHAO_old</vt:lpstr>
      <vt:lpstr>v_44_XHFO_H</vt:lpstr>
      <vt:lpstr>v_44_XHFO_H_P</vt:lpstr>
      <vt:lpstr>v_44_XHFO_H_P_old</vt:lpstr>
      <vt:lpstr>v_44_XHFO_L</vt:lpstr>
      <vt:lpstr>v_44_XHFO_L_P</vt:lpstr>
      <vt:lpstr>v_44_XHFO_L_P_old</vt:lpstr>
      <vt:lpstr>v_44_XHFO_old</vt:lpstr>
      <vt:lpstr>v_44_XHMETO</vt:lpstr>
      <vt:lpstr>v_44_XINORG</vt:lpstr>
      <vt:lpstr>v_44_XMEOLO</vt:lpstr>
      <vt:lpstr>v_44_XN_B</vt:lpstr>
      <vt:lpstr>v_44_XN_Be</vt:lpstr>
      <vt:lpstr>v_44_XN_U</vt:lpstr>
      <vt:lpstr>v_44_XNOB</vt:lpstr>
      <vt:lpstr>v_44_XOHO</vt:lpstr>
      <vt:lpstr>v_44_XP_B</vt:lpstr>
      <vt:lpstr>v_44_XP_Be</vt:lpstr>
      <vt:lpstr>v_44_XP_U</vt:lpstr>
      <vt:lpstr>v_44_XPFOA</vt:lpstr>
      <vt:lpstr>v_44_XPFOS</vt:lpstr>
      <vt:lpstr>v_44_XPHA_GAO</vt:lpstr>
      <vt:lpstr>v_44_XPHA_PAO</vt:lpstr>
      <vt:lpstr>v_44_XPP</vt:lpstr>
      <vt:lpstr>v_44_XSTR</vt:lpstr>
      <vt:lpstr>v_44_XU</vt:lpstr>
      <vt:lpstr>v_44_XVivi</vt:lpstr>
      <vt:lpstr>v_45_CB</vt:lpstr>
      <vt:lpstr>v_45_CU</vt:lpstr>
      <vt:lpstr>v_45_GCH4</vt:lpstr>
      <vt:lpstr>v_45_GCH4_atm</vt:lpstr>
      <vt:lpstr>v_45_GCO2</vt:lpstr>
      <vt:lpstr>v_45_GCO2_atm</vt:lpstr>
      <vt:lpstr>v_45_GH2</vt:lpstr>
      <vt:lpstr>v_45_GH2_atm</vt:lpstr>
      <vt:lpstr>v_45_GN2</vt:lpstr>
      <vt:lpstr>v_45_GN2_atm</vt:lpstr>
      <vt:lpstr>v_45_GN2O</vt:lpstr>
      <vt:lpstr>v_45_GN2O_atm</vt:lpstr>
      <vt:lpstr>v_45_GNH3</vt:lpstr>
      <vt:lpstr>v_45_GNH3_atm</vt:lpstr>
      <vt:lpstr>v_45_GNO</vt:lpstr>
      <vt:lpstr>v_45_GNO_atm</vt:lpstr>
      <vt:lpstr>v_45_GO2</vt:lpstr>
      <vt:lpstr>v_45_GO2_atm</vt:lpstr>
      <vt:lpstr>v_45_SALPHA</vt:lpstr>
      <vt:lpstr>v_45_SAN</vt:lpstr>
      <vt:lpstr>v_45_SB</vt:lpstr>
      <vt:lpstr>v_45_SCa</vt:lpstr>
      <vt:lpstr>v_45_SCAT</vt:lpstr>
      <vt:lpstr>v_45_SCH4</vt:lpstr>
      <vt:lpstr>v_45_SCO2</vt:lpstr>
      <vt:lpstr>v_45_SFe2</vt:lpstr>
      <vt:lpstr>v_45_SH</vt:lpstr>
      <vt:lpstr>v_45_SH2</vt:lpstr>
      <vt:lpstr>v_45_SK</vt:lpstr>
      <vt:lpstr>v_45_SMEOL</vt:lpstr>
      <vt:lpstr>v_45_SMg</vt:lpstr>
      <vt:lpstr>v_45_SN_B</vt:lpstr>
      <vt:lpstr>v_45_SN2</vt:lpstr>
      <vt:lpstr>v_45_SN2O</vt:lpstr>
      <vt:lpstr>v_45_SNH2OH</vt:lpstr>
      <vt:lpstr>v_45_SNHx</vt:lpstr>
      <vt:lpstr>v_45_SNO_AOB</vt:lpstr>
      <vt:lpstr>v_45_SNO_OHO</vt:lpstr>
      <vt:lpstr>v_45_SNO2</vt:lpstr>
      <vt:lpstr>v_45_SNO3</vt:lpstr>
      <vt:lpstr>v_45_SO2</vt:lpstr>
      <vt:lpstr>v_45_SORPswitch</vt:lpstr>
      <vt:lpstr>v_45_SP_B</vt:lpstr>
      <vt:lpstr>v_45_SPFOA</vt:lpstr>
      <vt:lpstr>v_45_SPFOS</vt:lpstr>
      <vt:lpstr>v_45_SPO4</vt:lpstr>
      <vt:lpstr>v_45_SU</vt:lpstr>
      <vt:lpstr>v_45_SVFA</vt:lpstr>
      <vt:lpstr>v_45_XACP</vt:lpstr>
      <vt:lpstr>v_45_XALGAE</vt:lpstr>
      <vt:lpstr>v_45_XAMETO</vt:lpstr>
      <vt:lpstr>v_45_XAMX</vt:lpstr>
      <vt:lpstr>v_45_XAOB</vt:lpstr>
      <vt:lpstr>v_45_XB</vt:lpstr>
      <vt:lpstr>v_45_XB_e</vt:lpstr>
      <vt:lpstr>v_45_XBSH</vt:lpstr>
      <vt:lpstr>v_45_XCaCO3</vt:lpstr>
      <vt:lpstr>v_45_XCASTO</vt:lpstr>
      <vt:lpstr>v_45_XE</vt:lpstr>
      <vt:lpstr>v_45_XE_ana</vt:lpstr>
      <vt:lpstr>v_45_XHAO_H</vt:lpstr>
      <vt:lpstr>v_45_XHAO_H_P</vt:lpstr>
      <vt:lpstr>v_45_XHAO_H_P_old</vt:lpstr>
      <vt:lpstr>v_45_XHAO_L</vt:lpstr>
      <vt:lpstr>v_45_XHAO_L_P</vt:lpstr>
      <vt:lpstr>v_45_XHAO_L_P_old</vt:lpstr>
      <vt:lpstr>v_45_XHAO_old</vt:lpstr>
      <vt:lpstr>v_45_XHFO_H</vt:lpstr>
      <vt:lpstr>v_45_XHFO_H_P</vt:lpstr>
      <vt:lpstr>v_45_XHFO_H_P_old</vt:lpstr>
      <vt:lpstr>v_45_XHFO_L</vt:lpstr>
      <vt:lpstr>v_45_XHFO_L_P</vt:lpstr>
      <vt:lpstr>v_45_XHFO_L_P_old</vt:lpstr>
      <vt:lpstr>v_45_XHFO_old</vt:lpstr>
      <vt:lpstr>v_45_XHMETO</vt:lpstr>
      <vt:lpstr>v_45_XINORG</vt:lpstr>
      <vt:lpstr>v_45_XMEOLO</vt:lpstr>
      <vt:lpstr>v_45_XN_B</vt:lpstr>
      <vt:lpstr>v_45_XN_Be</vt:lpstr>
      <vt:lpstr>v_45_XN_U</vt:lpstr>
      <vt:lpstr>v_45_XNOB</vt:lpstr>
      <vt:lpstr>v_45_XOHO</vt:lpstr>
      <vt:lpstr>v_45_XP_B</vt:lpstr>
      <vt:lpstr>v_45_XP_Be</vt:lpstr>
      <vt:lpstr>v_45_XP_U</vt:lpstr>
      <vt:lpstr>v_45_XPFOA</vt:lpstr>
      <vt:lpstr>v_45_XPFOS</vt:lpstr>
      <vt:lpstr>v_45_XPHA_GAO</vt:lpstr>
      <vt:lpstr>v_45_XPHA_PAO</vt:lpstr>
      <vt:lpstr>v_45_XPP</vt:lpstr>
      <vt:lpstr>v_45_XSTR</vt:lpstr>
      <vt:lpstr>v_45_XU</vt:lpstr>
      <vt:lpstr>v_45_XVivi</vt:lpstr>
      <vt:lpstr>v_46_CB</vt:lpstr>
      <vt:lpstr>v_46_CU</vt:lpstr>
      <vt:lpstr>v_46_GCH4</vt:lpstr>
      <vt:lpstr>v_46_GCH4_atm</vt:lpstr>
      <vt:lpstr>v_46_GCO2</vt:lpstr>
      <vt:lpstr>v_46_GCO2_atm</vt:lpstr>
      <vt:lpstr>v_46_GH2</vt:lpstr>
      <vt:lpstr>v_46_GH2_atm</vt:lpstr>
      <vt:lpstr>v_46_GN2</vt:lpstr>
      <vt:lpstr>v_46_GN2_atm</vt:lpstr>
      <vt:lpstr>v_46_GN2O</vt:lpstr>
      <vt:lpstr>v_46_GN2O_atm</vt:lpstr>
      <vt:lpstr>v_46_GNH3</vt:lpstr>
      <vt:lpstr>v_46_GNH3_atm</vt:lpstr>
      <vt:lpstr>v_46_GNO</vt:lpstr>
      <vt:lpstr>v_46_GNO_atm</vt:lpstr>
      <vt:lpstr>v_46_GO2</vt:lpstr>
      <vt:lpstr>v_46_GO2_atm</vt:lpstr>
      <vt:lpstr>v_46_SALPHA</vt:lpstr>
      <vt:lpstr>v_46_SAN</vt:lpstr>
      <vt:lpstr>v_46_SB</vt:lpstr>
      <vt:lpstr>v_46_SCa</vt:lpstr>
      <vt:lpstr>v_46_SCAT</vt:lpstr>
      <vt:lpstr>v_46_SCH4</vt:lpstr>
      <vt:lpstr>v_46_SCO2</vt:lpstr>
      <vt:lpstr>v_46_SFe2</vt:lpstr>
      <vt:lpstr>v_46_SH</vt:lpstr>
      <vt:lpstr>v_46_SH2</vt:lpstr>
      <vt:lpstr>v_46_SK</vt:lpstr>
      <vt:lpstr>v_46_SMEOL</vt:lpstr>
      <vt:lpstr>v_46_SMg</vt:lpstr>
      <vt:lpstr>v_46_SN_B</vt:lpstr>
      <vt:lpstr>v_46_SN2</vt:lpstr>
      <vt:lpstr>v_46_SN2O</vt:lpstr>
      <vt:lpstr>v_46_SNH2OH</vt:lpstr>
      <vt:lpstr>v_46_SNHx</vt:lpstr>
      <vt:lpstr>v_46_SNO_AOB</vt:lpstr>
      <vt:lpstr>v_46_SNO_OHO</vt:lpstr>
      <vt:lpstr>v_46_SNO2</vt:lpstr>
      <vt:lpstr>v_46_SNO3</vt:lpstr>
      <vt:lpstr>v_46_SO2</vt:lpstr>
      <vt:lpstr>v_46_SORPswitch</vt:lpstr>
      <vt:lpstr>v_46_SP_B</vt:lpstr>
      <vt:lpstr>v_46_SPFOA</vt:lpstr>
      <vt:lpstr>v_46_SPFOS</vt:lpstr>
      <vt:lpstr>v_46_SPO4</vt:lpstr>
      <vt:lpstr>v_46_SU</vt:lpstr>
      <vt:lpstr>v_46_SVFA</vt:lpstr>
      <vt:lpstr>v_46_XACP</vt:lpstr>
      <vt:lpstr>v_46_XALGAE</vt:lpstr>
      <vt:lpstr>v_46_XAMETO</vt:lpstr>
      <vt:lpstr>v_46_XAMX</vt:lpstr>
      <vt:lpstr>v_46_XAOB</vt:lpstr>
      <vt:lpstr>v_46_XB</vt:lpstr>
      <vt:lpstr>v_46_XB_e</vt:lpstr>
      <vt:lpstr>v_46_XBSH</vt:lpstr>
      <vt:lpstr>v_46_XCaCO3</vt:lpstr>
      <vt:lpstr>v_46_XCASTO</vt:lpstr>
      <vt:lpstr>v_46_XE</vt:lpstr>
      <vt:lpstr>v_46_XE_ana</vt:lpstr>
      <vt:lpstr>v_46_XHAO_H</vt:lpstr>
      <vt:lpstr>v_46_XHAO_H_P</vt:lpstr>
      <vt:lpstr>v_46_XHAO_H_P_old</vt:lpstr>
      <vt:lpstr>v_46_XHAO_L</vt:lpstr>
      <vt:lpstr>v_46_XHAO_L_P</vt:lpstr>
      <vt:lpstr>v_46_XHAO_L_P_old</vt:lpstr>
      <vt:lpstr>v_46_XHAO_old</vt:lpstr>
      <vt:lpstr>v_46_XHFO_H</vt:lpstr>
      <vt:lpstr>v_46_XHFO_H_P</vt:lpstr>
      <vt:lpstr>v_46_XHFO_H_P_old</vt:lpstr>
      <vt:lpstr>v_46_XHFO_L</vt:lpstr>
      <vt:lpstr>v_46_XHFO_L_P</vt:lpstr>
      <vt:lpstr>v_46_XHFO_L_P_old</vt:lpstr>
      <vt:lpstr>v_46_XHFO_old</vt:lpstr>
      <vt:lpstr>v_46_XHMETO</vt:lpstr>
      <vt:lpstr>v_46_XINORG</vt:lpstr>
      <vt:lpstr>v_46_XMEOLO</vt:lpstr>
      <vt:lpstr>v_46_XN_B</vt:lpstr>
      <vt:lpstr>v_46_XN_Be</vt:lpstr>
      <vt:lpstr>v_46_XN_U</vt:lpstr>
      <vt:lpstr>v_46_XNOB</vt:lpstr>
      <vt:lpstr>v_46_XOHO</vt:lpstr>
      <vt:lpstr>v_46_XP_B</vt:lpstr>
      <vt:lpstr>v_46_XP_Be</vt:lpstr>
      <vt:lpstr>v_46_XP_U</vt:lpstr>
      <vt:lpstr>v_46_XPFOA</vt:lpstr>
      <vt:lpstr>v_46_XPFOS</vt:lpstr>
      <vt:lpstr>v_46_XPHA_GAO</vt:lpstr>
      <vt:lpstr>v_46_XPHA_PAO</vt:lpstr>
      <vt:lpstr>v_46_XPP</vt:lpstr>
      <vt:lpstr>v_46_XSTR</vt:lpstr>
      <vt:lpstr>v_46_XU</vt:lpstr>
      <vt:lpstr>v_46_XVivi</vt:lpstr>
      <vt:lpstr>v_47_CB</vt:lpstr>
      <vt:lpstr>v_47_CU</vt:lpstr>
      <vt:lpstr>v_47_GCH4</vt:lpstr>
      <vt:lpstr>v_47_GCH4_atm</vt:lpstr>
      <vt:lpstr>v_47_GCO2</vt:lpstr>
      <vt:lpstr>v_47_GCO2_atm</vt:lpstr>
      <vt:lpstr>v_47_GH2</vt:lpstr>
      <vt:lpstr>v_47_GH2_atm</vt:lpstr>
      <vt:lpstr>v_47_GN2</vt:lpstr>
      <vt:lpstr>v_47_GN2_atm</vt:lpstr>
      <vt:lpstr>v_47_GN2O</vt:lpstr>
      <vt:lpstr>v_47_GN2O_atm</vt:lpstr>
      <vt:lpstr>v_47_GNH3</vt:lpstr>
      <vt:lpstr>v_47_GNH3_atm</vt:lpstr>
      <vt:lpstr>v_47_GNO</vt:lpstr>
      <vt:lpstr>v_47_GNO_atm</vt:lpstr>
      <vt:lpstr>v_47_GO2</vt:lpstr>
      <vt:lpstr>v_47_GO2_atm</vt:lpstr>
      <vt:lpstr>v_47_SALPHA</vt:lpstr>
      <vt:lpstr>v_47_SAN</vt:lpstr>
      <vt:lpstr>v_47_SB</vt:lpstr>
      <vt:lpstr>v_47_SCa</vt:lpstr>
      <vt:lpstr>v_47_SCAT</vt:lpstr>
      <vt:lpstr>v_47_SCH4</vt:lpstr>
      <vt:lpstr>v_47_SCO2</vt:lpstr>
      <vt:lpstr>v_47_SFe2</vt:lpstr>
      <vt:lpstr>v_47_SH</vt:lpstr>
      <vt:lpstr>v_47_SH2</vt:lpstr>
      <vt:lpstr>v_47_SK</vt:lpstr>
      <vt:lpstr>v_47_SMEOL</vt:lpstr>
      <vt:lpstr>v_47_SMg</vt:lpstr>
      <vt:lpstr>v_47_SN_B</vt:lpstr>
      <vt:lpstr>v_47_SN2</vt:lpstr>
      <vt:lpstr>v_47_SN2O</vt:lpstr>
      <vt:lpstr>v_47_SNH2OH</vt:lpstr>
      <vt:lpstr>v_47_SNHx</vt:lpstr>
      <vt:lpstr>v_47_SNO_AOB</vt:lpstr>
      <vt:lpstr>v_47_SNO_OHO</vt:lpstr>
      <vt:lpstr>v_47_SNO2</vt:lpstr>
      <vt:lpstr>v_47_SNO3</vt:lpstr>
      <vt:lpstr>v_47_SO2</vt:lpstr>
      <vt:lpstr>v_47_SORPswitch</vt:lpstr>
      <vt:lpstr>v_47_SP_B</vt:lpstr>
      <vt:lpstr>v_47_SPFOA</vt:lpstr>
      <vt:lpstr>v_47_SPFOS</vt:lpstr>
      <vt:lpstr>v_47_SPO4</vt:lpstr>
      <vt:lpstr>v_47_SU</vt:lpstr>
      <vt:lpstr>v_47_SVFA</vt:lpstr>
      <vt:lpstr>v_47_XACP</vt:lpstr>
      <vt:lpstr>v_47_XALGAE</vt:lpstr>
      <vt:lpstr>v_47_XAMETO</vt:lpstr>
      <vt:lpstr>v_47_XAMX</vt:lpstr>
      <vt:lpstr>v_47_XAOB</vt:lpstr>
      <vt:lpstr>v_47_XB</vt:lpstr>
      <vt:lpstr>v_47_XB_e</vt:lpstr>
      <vt:lpstr>v_47_XBSH</vt:lpstr>
      <vt:lpstr>v_47_XCaCO3</vt:lpstr>
      <vt:lpstr>v_47_XCASTO</vt:lpstr>
      <vt:lpstr>v_47_XE</vt:lpstr>
      <vt:lpstr>v_47_XE_ana</vt:lpstr>
      <vt:lpstr>v_47_XHAO_H</vt:lpstr>
      <vt:lpstr>v_47_XHAO_H_P</vt:lpstr>
      <vt:lpstr>v_47_XHAO_H_P_old</vt:lpstr>
      <vt:lpstr>v_47_XHAO_L</vt:lpstr>
      <vt:lpstr>v_47_XHAO_L_P</vt:lpstr>
      <vt:lpstr>v_47_XHAO_L_P_old</vt:lpstr>
      <vt:lpstr>v_47_XHAO_old</vt:lpstr>
      <vt:lpstr>v_47_XHFO_H</vt:lpstr>
      <vt:lpstr>v_47_XHFO_H_P</vt:lpstr>
      <vt:lpstr>v_47_XHFO_H_P_old</vt:lpstr>
      <vt:lpstr>v_47_XHFO_L</vt:lpstr>
      <vt:lpstr>v_47_XHFO_L_P</vt:lpstr>
      <vt:lpstr>v_47_XHFO_L_P_old</vt:lpstr>
      <vt:lpstr>v_47_XHFO_old</vt:lpstr>
      <vt:lpstr>v_47_XHMETO</vt:lpstr>
      <vt:lpstr>v_47_XINORG</vt:lpstr>
      <vt:lpstr>v_47_XMEOLO</vt:lpstr>
      <vt:lpstr>v_47_XN_B</vt:lpstr>
      <vt:lpstr>v_47_XN_Be</vt:lpstr>
      <vt:lpstr>v_47_XN_U</vt:lpstr>
      <vt:lpstr>v_47_XNOB</vt:lpstr>
      <vt:lpstr>v_47_XOHO</vt:lpstr>
      <vt:lpstr>v_47_XP_B</vt:lpstr>
      <vt:lpstr>v_47_XP_Be</vt:lpstr>
      <vt:lpstr>v_47_XP_U</vt:lpstr>
      <vt:lpstr>v_47_XPFOA</vt:lpstr>
      <vt:lpstr>v_47_XPFOS</vt:lpstr>
      <vt:lpstr>v_47_XPHA_GAO</vt:lpstr>
      <vt:lpstr>v_47_XPHA_PAO</vt:lpstr>
      <vt:lpstr>v_47_XPP</vt:lpstr>
      <vt:lpstr>v_47_XSTR</vt:lpstr>
      <vt:lpstr>v_47_XU</vt:lpstr>
      <vt:lpstr>v_47_XVivi</vt:lpstr>
      <vt:lpstr>v_48_CB</vt:lpstr>
      <vt:lpstr>v_48_CU</vt:lpstr>
      <vt:lpstr>v_48_GCH4</vt:lpstr>
      <vt:lpstr>v_48_GCH4_atm</vt:lpstr>
      <vt:lpstr>v_48_GCO2</vt:lpstr>
      <vt:lpstr>v_48_GCO2_atm</vt:lpstr>
      <vt:lpstr>v_48_GH2</vt:lpstr>
      <vt:lpstr>v_48_GH2_atm</vt:lpstr>
      <vt:lpstr>v_48_GN2</vt:lpstr>
      <vt:lpstr>v_48_GN2_atm</vt:lpstr>
      <vt:lpstr>v_48_GN2O</vt:lpstr>
      <vt:lpstr>v_48_GN2O_atm</vt:lpstr>
      <vt:lpstr>v_48_GNH3</vt:lpstr>
      <vt:lpstr>v_48_GNH3_atm</vt:lpstr>
      <vt:lpstr>v_48_GNO</vt:lpstr>
      <vt:lpstr>v_48_GNO_atm</vt:lpstr>
      <vt:lpstr>v_48_GO2</vt:lpstr>
      <vt:lpstr>v_48_GO2_atm</vt:lpstr>
      <vt:lpstr>v_48_SALPHA</vt:lpstr>
      <vt:lpstr>v_48_SAN</vt:lpstr>
      <vt:lpstr>v_48_SB</vt:lpstr>
      <vt:lpstr>v_48_SCa</vt:lpstr>
      <vt:lpstr>v_48_SCAT</vt:lpstr>
      <vt:lpstr>v_48_SCH4</vt:lpstr>
      <vt:lpstr>v_48_SCO2</vt:lpstr>
      <vt:lpstr>v_48_SFe2</vt:lpstr>
      <vt:lpstr>v_48_SH</vt:lpstr>
      <vt:lpstr>v_48_SH2</vt:lpstr>
      <vt:lpstr>v_48_SK</vt:lpstr>
      <vt:lpstr>v_48_SMEOL</vt:lpstr>
      <vt:lpstr>v_48_SMg</vt:lpstr>
      <vt:lpstr>v_48_SN_B</vt:lpstr>
      <vt:lpstr>v_48_SN2</vt:lpstr>
      <vt:lpstr>v_48_SN2O</vt:lpstr>
      <vt:lpstr>v_48_SNH2OH</vt:lpstr>
      <vt:lpstr>v_48_SNHx</vt:lpstr>
      <vt:lpstr>v_48_SNO_AOB</vt:lpstr>
      <vt:lpstr>v_48_SNO_OHO</vt:lpstr>
      <vt:lpstr>v_48_SNO2</vt:lpstr>
      <vt:lpstr>v_48_SNO3</vt:lpstr>
      <vt:lpstr>v_48_SO2</vt:lpstr>
      <vt:lpstr>v_48_SORPswitch</vt:lpstr>
      <vt:lpstr>v_48_SP_B</vt:lpstr>
      <vt:lpstr>v_48_SPFOA</vt:lpstr>
      <vt:lpstr>v_48_SPFOS</vt:lpstr>
      <vt:lpstr>v_48_SPO4</vt:lpstr>
      <vt:lpstr>v_48_SU</vt:lpstr>
      <vt:lpstr>v_48_SVFA</vt:lpstr>
      <vt:lpstr>v_48_XACP</vt:lpstr>
      <vt:lpstr>v_48_XALGAE</vt:lpstr>
      <vt:lpstr>v_48_XAMETO</vt:lpstr>
      <vt:lpstr>v_48_XAMX</vt:lpstr>
      <vt:lpstr>v_48_XAOB</vt:lpstr>
      <vt:lpstr>v_48_XB</vt:lpstr>
      <vt:lpstr>v_48_XB_e</vt:lpstr>
      <vt:lpstr>v_48_XBSH</vt:lpstr>
      <vt:lpstr>v_48_XCaCO3</vt:lpstr>
      <vt:lpstr>v_48_XCASTO</vt:lpstr>
      <vt:lpstr>v_48_XE</vt:lpstr>
      <vt:lpstr>v_48_XE_ana</vt:lpstr>
      <vt:lpstr>v_48_XHAO_H</vt:lpstr>
      <vt:lpstr>v_48_XHAO_H_P</vt:lpstr>
      <vt:lpstr>v_48_XHAO_H_P_old</vt:lpstr>
      <vt:lpstr>v_48_XHAO_L</vt:lpstr>
      <vt:lpstr>v_48_XHAO_L_P</vt:lpstr>
      <vt:lpstr>v_48_XHAO_L_P_old</vt:lpstr>
      <vt:lpstr>v_48_XHAO_old</vt:lpstr>
      <vt:lpstr>v_48_XHFO_H</vt:lpstr>
      <vt:lpstr>v_48_XHFO_H_P</vt:lpstr>
      <vt:lpstr>v_48_XHFO_H_P_old</vt:lpstr>
      <vt:lpstr>v_48_XHFO_L</vt:lpstr>
      <vt:lpstr>v_48_XHFO_L_P</vt:lpstr>
      <vt:lpstr>v_48_XHFO_L_P_old</vt:lpstr>
      <vt:lpstr>v_48_XHFO_old</vt:lpstr>
      <vt:lpstr>v_48_XHMETO</vt:lpstr>
      <vt:lpstr>v_48_XINORG</vt:lpstr>
      <vt:lpstr>v_48_XMEOLO</vt:lpstr>
      <vt:lpstr>v_48_XN_B</vt:lpstr>
      <vt:lpstr>v_48_XN_Be</vt:lpstr>
      <vt:lpstr>v_48_XN_U</vt:lpstr>
      <vt:lpstr>v_48_XNOB</vt:lpstr>
      <vt:lpstr>v_48_XOHO</vt:lpstr>
      <vt:lpstr>v_48_XP_B</vt:lpstr>
      <vt:lpstr>v_48_XP_Be</vt:lpstr>
      <vt:lpstr>v_48_XP_U</vt:lpstr>
      <vt:lpstr>v_48_XPFOA</vt:lpstr>
      <vt:lpstr>v_48_XPFOS</vt:lpstr>
      <vt:lpstr>v_48_XPHA_GAO</vt:lpstr>
      <vt:lpstr>v_48_XPHA_PAO</vt:lpstr>
      <vt:lpstr>v_48_XPP</vt:lpstr>
      <vt:lpstr>v_48_XSTR</vt:lpstr>
      <vt:lpstr>v_48_XU</vt:lpstr>
      <vt:lpstr>v_48_XVivi</vt:lpstr>
      <vt:lpstr>v_49_CB</vt:lpstr>
      <vt:lpstr>v_49_CU</vt:lpstr>
      <vt:lpstr>v_49_GCH4</vt:lpstr>
      <vt:lpstr>v_49_GCH4_atm</vt:lpstr>
      <vt:lpstr>v_49_GCO2</vt:lpstr>
      <vt:lpstr>v_49_GCO2_atm</vt:lpstr>
      <vt:lpstr>v_49_GH2</vt:lpstr>
      <vt:lpstr>v_49_GH2_atm</vt:lpstr>
      <vt:lpstr>v_49_GN2</vt:lpstr>
      <vt:lpstr>v_49_GN2_atm</vt:lpstr>
      <vt:lpstr>v_49_GN2O</vt:lpstr>
      <vt:lpstr>v_49_GN2O_atm</vt:lpstr>
      <vt:lpstr>v_49_GNH3</vt:lpstr>
      <vt:lpstr>v_49_GNH3_atm</vt:lpstr>
      <vt:lpstr>v_49_GNO</vt:lpstr>
      <vt:lpstr>v_49_GNO_atm</vt:lpstr>
      <vt:lpstr>v_49_GO2</vt:lpstr>
      <vt:lpstr>v_49_GO2_atm</vt:lpstr>
      <vt:lpstr>v_49_SALPHA</vt:lpstr>
      <vt:lpstr>v_49_SAN</vt:lpstr>
      <vt:lpstr>v_49_SB</vt:lpstr>
      <vt:lpstr>v_49_SCa</vt:lpstr>
      <vt:lpstr>v_49_SCAT</vt:lpstr>
      <vt:lpstr>v_49_SCH4</vt:lpstr>
      <vt:lpstr>v_49_SCO2</vt:lpstr>
      <vt:lpstr>v_49_SFe2</vt:lpstr>
      <vt:lpstr>v_49_SH</vt:lpstr>
      <vt:lpstr>v_49_SH2</vt:lpstr>
      <vt:lpstr>v_49_SK</vt:lpstr>
      <vt:lpstr>v_49_SMEOL</vt:lpstr>
      <vt:lpstr>v_49_SMg</vt:lpstr>
      <vt:lpstr>v_49_SN_B</vt:lpstr>
      <vt:lpstr>v_49_SN2</vt:lpstr>
      <vt:lpstr>v_49_SN2O</vt:lpstr>
      <vt:lpstr>v_49_SNH2OH</vt:lpstr>
      <vt:lpstr>v_49_SNHx</vt:lpstr>
      <vt:lpstr>v_49_SNO_AOB</vt:lpstr>
      <vt:lpstr>v_49_SNO_OHO</vt:lpstr>
      <vt:lpstr>v_49_SNO2</vt:lpstr>
      <vt:lpstr>v_49_SNO3</vt:lpstr>
      <vt:lpstr>v_49_SO2</vt:lpstr>
      <vt:lpstr>v_49_SORPswitch</vt:lpstr>
      <vt:lpstr>v_49_SP_B</vt:lpstr>
      <vt:lpstr>v_49_SPFOA</vt:lpstr>
      <vt:lpstr>v_49_SPFOS</vt:lpstr>
      <vt:lpstr>v_49_SPO4</vt:lpstr>
      <vt:lpstr>v_49_SU</vt:lpstr>
      <vt:lpstr>v_49_SVFA</vt:lpstr>
      <vt:lpstr>v_49_XACP</vt:lpstr>
      <vt:lpstr>v_49_XALGAE</vt:lpstr>
      <vt:lpstr>v_49_XAMETO</vt:lpstr>
      <vt:lpstr>v_49_XAMX</vt:lpstr>
      <vt:lpstr>v_49_XAOB</vt:lpstr>
      <vt:lpstr>v_49_XB</vt:lpstr>
      <vt:lpstr>v_49_XB_e</vt:lpstr>
      <vt:lpstr>v_49_XBSH</vt:lpstr>
      <vt:lpstr>v_49_XCaCO3</vt:lpstr>
      <vt:lpstr>v_49_XCASTO</vt:lpstr>
      <vt:lpstr>v_49_XE</vt:lpstr>
      <vt:lpstr>v_49_XE_ana</vt:lpstr>
      <vt:lpstr>v_49_XHAO_H</vt:lpstr>
      <vt:lpstr>v_49_XHAO_H_P</vt:lpstr>
      <vt:lpstr>v_49_XHAO_H_P_old</vt:lpstr>
      <vt:lpstr>v_49_XHAO_L</vt:lpstr>
      <vt:lpstr>v_49_XHAO_L_P</vt:lpstr>
      <vt:lpstr>v_49_XHAO_L_P_old</vt:lpstr>
      <vt:lpstr>v_49_XHAO_old</vt:lpstr>
      <vt:lpstr>v_49_XHFO_H</vt:lpstr>
      <vt:lpstr>v_49_XHFO_H_P</vt:lpstr>
      <vt:lpstr>v_49_XHFO_H_P_old</vt:lpstr>
      <vt:lpstr>v_49_XHFO_L</vt:lpstr>
      <vt:lpstr>v_49_XHFO_L_P</vt:lpstr>
      <vt:lpstr>v_49_XHFO_L_P_old</vt:lpstr>
      <vt:lpstr>v_49_XHFO_old</vt:lpstr>
      <vt:lpstr>v_49_XHMETO</vt:lpstr>
      <vt:lpstr>v_49_XINORG</vt:lpstr>
      <vt:lpstr>v_49_XMEOLO</vt:lpstr>
      <vt:lpstr>v_49_XN_B</vt:lpstr>
      <vt:lpstr>v_49_XN_Be</vt:lpstr>
      <vt:lpstr>v_49_XN_U</vt:lpstr>
      <vt:lpstr>v_49_XNOB</vt:lpstr>
      <vt:lpstr>v_49_XOHO</vt:lpstr>
      <vt:lpstr>v_49_XP_B</vt:lpstr>
      <vt:lpstr>v_49_XP_Be</vt:lpstr>
      <vt:lpstr>v_49_XP_U</vt:lpstr>
      <vt:lpstr>v_49_XPFOA</vt:lpstr>
      <vt:lpstr>v_49_XPFOS</vt:lpstr>
      <vt:lpstr>v_49_XPHA_GAO</vt:lpstr>
      <vt:lpstr>v_49_XPHA_PAO</vt:lpstr>
      <vt:lpstr>v_49_XPP</vt:lpstr>
      <vt:lpstr>v_49_XSTR</vt:lpstr>
      <vt:lpstr>v_49_XU</vt:lpstr>
      <vt:lpstr>v_49_XVivi</vt:lpstr>
      <vt:lpstr>v_5_CB</vt:lpstr>
      <vt:lpstr>v_5_CU</vt:lpstr>
      <vt:lpstr>v_5_GCH4</vt:lpstr>
      <vt:lpstr>v_5_GCH4_atm</vt:lpstr>
      <vt:lpstr>v_5_GCO2</vt:lpstr>
      <vt:lpstr>v_5_GCO2_atm</vt:lpstr>
      <vt:lpstr>v_5_GH2</vt:lpstr>
      <vt:lpstr>v_5_GH2_atm</vt:lpstr>
      <vt:lpstr>v_5_GN2</vt:lpstr>
      <vt:lpstr>v_5_GN2_atm</vt:lpstr>
      <vt:lpstr>v_5_GN2O</vt:lpstr>
      <vt:lpstr>v_5_GN2O_atm</vt:lpstr>
      <vt:lpstr>v_5_GNH3</vt:lpstr>
      <vt:lpstr>v_5_GNH3_atm</vt:lpstr>
      <vt:lpstr>v_5_GNO</vt:lpstr>
      <vt:lpstr>v_5_GNO_atm</vt:lpstr>
      <vt:lpstr>v_5_GO2</vt:lpstr>
      <vt:lpstr>v_5_GO2_atm</vt:lpstr>
      <vt:lpstr>v_5_SALPHA</vt:lpstr>
      <vt:lpstr>v_5_SAN</vt:lpstr>
      <vt:lpstr>v_5_SB</vt:lpstr>
      <vt:lpstr>v_5_SCa</vt:lpstr>
      <vt:lpstr>v_5_SCAT</vt:lpstr>
      <vt:lpstr>v_5_SCH4</vt:lpstr>
      <vt:lpstr>v_5_SCO2</vt:lpstr>
      <vt:lpstr>v_5_SFe2</vt:lpstr>
      <vt:lpstr>v_5_SH</vt:lpstr>
      <vt:lpstr>v_5_SH2</vt:lpstr>
      <vt:lpstr>v_5_SK</vt:lpstr>
      <vt:lpstr>v_5_SMEOL</vt:lpstr>
      <vt:lpstr>v_5_SMg</vt:lpstr>
      <vt:lpstr>v_5_SN_B</vt:lpstr>
      <vt:lpstr>v_5_SN2</vt:lpstr>
      <vt:lpstr>v_5_SN2O</vt:lpstr>
      <vt:lpstr>v_5_SNH2OH</vt:lpstr>
      <vt:lpstr>v_5_SNHx</vt:lpstr>
      <vt:lpstr>v_5_SNO_AOB</vt:lpstr>
      <vt:lpstr>v_5_SNO_OHO</vt:lpstr>
      <vt:lpstr>v_5_SNO2</vt:lpstr>
      <vt:lpstr>v_5_SNO3</vt:lpstr>
      <vt:lpstr>v_5_SO2</vt:lpstr>
      <vt:lpstr>v_5_SORPswitch</vt:lpstr>
      <vt:lpstr>v_5_SP_B</vt:lpstr>
      <vt:lpstr>v_5_SPFOA</vt:lpstr>
      <vt:lpstr>v_5_SPFOS</vt:lpstr>
      <vt:lpstr>v_5_SPO4</vt:lpstr>
      <vt:lpstr>v_5_SU</vt:lpstr>
      <vt:lpstr>v_5_SVFA</vt:lpstr>
      <vt:lpstr>v_5_XACP</vt:lpstr>
      <vt:lpstr>v_5_XALGAE</vt:lpstr>
      <vt:lpstr>v_5_XAMETO</vt:lpstr>
      <vt:lpstr>v_5_XAMX</vt:lpstr>
      <vt:lpstr>v_5_XAOB</vt:lpstr>
      <vt:lpstr>v_5_XB</vt:lpstr>
      <vt:lpstr>v_5_XB_e</vt:lpstr>
      <vt:lpstr>v_5_XBSH</vt:lpstr>
      <vt:lpstr>v_5_XCaCO3</vt:lpstr>
      <vt:lpstr>v_5_XCASTO</vt:lpstr>
      <vt:lpstr>v_5_XE</vt:lpstr>
      <vt:lpstr>v_5_XE_ana</vt:lpstr>
      <vt:lpstr>v_5_XHAO_H</vt:lpstr>
      <vt:lpstr>v_5_XHAO_H_P</vt:lpstr>
      <vt:lpstr>v_5_XHAO_H_P_old</vt:lpstr>
      <vt:lpstr>v_5_XHAO_L</vt:lpstr>
      <vt:lpstr>v_5_XHAO_L_P</vt:lpstr>
      <vt:lpstr>v_5_XHAO_L_P_old</vt:lpstr>
      <vt:lpstr>v_5_XHAO_old</vt:lpstr>
      <vt:lpstr>v_5_XHFO_H</vt:lpstr>
      <vt:lpstr>v_5_XHFO_H_P</vt:lpstr>
      <vt:lpstr>v_5_XHFO_H_P_old</vt:lpstr>
      <vt:lpstr>v_5_XHFO_L</vt:lpstr>
      <vt:lpstr>v_5_XHFO_L_P</vt:lpstr>
      <vt:lpstr>v_5_XHFO_L_P_old</vt:lpstr>
      <vt:lpstr>v_5_XHFO_old</vt:lpstr>
      <vt:lpstr>v_5_XHMETO</vt:lpstr>
      <vt:lpstr>v_5_XINORG</vt:lpstr>
      <vt:lpstr>v_5_XMEOLO</vt:lpstr>
      <vt:lpstr>v_5_XN_B</vt:lpstr>
      <vt:lpstr>v_5_XN_Be</vt:lpstr>
      <vt:lpstr>v_5_XN_U</vt:lpstr>
      <vt:lpstr>v_5_XNOB</vt:lpstr>
      <vt:lpstr>v_5_XOHO</vt:lpstr>
      <vt:lpstr>v_5_XP_B</vt:lpstr>
      <vt:lpstr>v_5_XP_Be</vt:lpstr>
      <vt:lpstr>v_5_XP_U</vt:lpstr>
      <vt:lpstr>v_5_XPFOA</vt:lpstr>
      <vt:lpstr>v_5_XPFOS</vt:lpstr>
      <vt:lpstr>v_5_XPHA_GAO</vt:lpstr>
      <vt:lpstr>v_5_XPHA_PAO</vt:lpstr>
      <vt:lpstr>v_5_XPP</vt:lpstr>
      <vt:lpstr>v_5_XSTR</vt:lpstr>
      <vt:lpstr>v_5_XU</vt:lpstr>
      <vt:lpstr>v_5_XVivi</vt:lpstr>
      <vt:lpstr>v_50_CB</vt:lpstr>
      <vt:lpstr>v_50_CU</vt:lpstr>
      <vt:lpstr>v_50_GCH4</vt:lpstr>
      <vt:lpstr>v_50_GCH4_atm</vt:lpstr>
      <vt:lpstr>v_50_GCO2</vt:lpstr>
      <vt:lpstr>v_50_GCO2_atm</vt:lpstr>
      <vt:lpstr>v_50_GH2</vt:lpstr>
      <vt:lpstr>v_50_GH2_atm</vt:lpstr>
      <vt:lpstr>v_50_GN2</vt:lpstr>
      <vt:lpstr>v_50_GN2_atm</vt:lpstr>
      <vt:lpstr>v_50_GN2O</vt:lpstr>
      <vt:lpstr>v_50_GN2O_atm</vt:lpstr>
      <vt:lpstr>v_50_GNH3</vt:lpstr>
      <vt:lpstr>v_50_GNH3_atm</vt:lpstr>
      <vt:lpstr>v_50_GNO</vt:lpstr>
      <vt:lpstr>v_50_GNO_atm</vt:lpstr>
      <vt:lpstr>v_50_GO2</vt:lpstr>
      <vt:lpstr>v_50_GO2_atm</vt:lpstr>
      <vt:lpstr>v_50_SALPHA</vt:lpstr>
      <vt:lpstr>v_50_SAN</vt:lpstr>
      <vt:lpstr>v_50_SB</vt:lpstr>
      <vt:lpstr>v_50_SCa</vt:lpstr>
      <vt:lpstr>v_50_SCAT</vt:lpstr>
      <vt:lpstr>v_50_SCH4</vt:lpstr>
      <vt:lpstr>v_50_SCO2</vt:lpstr>
      <vt:lpstr>v_50_SFe2</vt:lpstr>
      <vt:lpstr>v_50_SH</vt:lpstr>
      <vt:lpstr>v_50_SH2</vt:lpstr>
      <vt:lpstr>v_50_SK</vt:lpstr>
      <vt:lpstr>v_50_SMEOL</vt:lpstr>
      <vt:lpstr>v_50_SMg</vt:lpstr>
      <vt:lpstr>v_50_SN_B</vt:lpstr>
      <vt:lpstr>v_50_SN2</vt:lpstr>
      <vt:lpstr>v_50_SN2O</vt:lpstr>
      <vt:lpstr>v_50_SNH2OH</vt:lpstr>
      <vt:lpstr>v_50_SNHx</vt:lpstr>
      <vt:lpstr>v_50_SNO_AOB</vt:lpstr>
      <vt:lpstr>v_50_SNO_OHO</vt:lpstr>
      <vt:lpstr>v_50_SNO2</vt:lpstr>
      <vt:lpstr>v_50_SNO3</vt:lpstr>
      <vt:lpstr>v_50_SO2</vt:lpstr>
      <vt:lpstr>v_50_SORPswitch</vt:lpstr>
      <vt:lpstr>v_50_SP_B</vt:lpstr>
      <vt:lpstr>v_50_SPFOA</vt:lpstr>
      <vt:lpstr>v_50_SPFOS</vt:lpstr>
      <vt:lpstr>v_50_SPO4</vt:lpstr>
      <vt:lpstr>v_50_SU</vt:lpstr>
      <vt:lpstr>v_50_SVFA</vt:lpstr>
      <vt:lpstr>v_50_XACP</vt:lpstr>
      <vt:lpstr>v_50_XALGAE</vt:lpstr>
      <vt:lpstr>v_50_XAMETO</vt:lpstr>
      <vt:lpstr>v_50_XAMX</vt:lpstr>
      <vt:lpstr>v_50_XAOB</vt:lpstr>
      <vt:lpstr>v_50_XB</vt:lpstr>
      <vt:lpstr>v_50_XB_e</vt:lpstr>
      <vt:lpstr>v_50_XBSH</vt:lpstr>
      <vt:lpstr>v_50_XCaCO3</vt:lpstr>
      <vt:lpstr>v_50_XCASTO</vt:lpstr>
      <vt:lpstr>v_50_XE</vt:lpstr>
      <vt:lpstr>v_50_XE_ana</vt:lpstr>
      <vt:lpstr>v_50_XHAO_H</vt:lpstr>
      <vt:lpstr>v_50_XHAO_H_P</vt:lpstr>
      <vt:lpstr>v_50_XHAO_H_P_old</vt:lpstr>
      <vt:lpstr>v_50_XHAO_L</vt:lpstr>
      <vt:lpstr>v_50_XHAO_L_P</vt:lpstr>
      <vt:lpstr>v_50_XHAO_L_P_old</vt:lpstr>
      <vt:lpstr>v_50_XHAO_old</vt:lpstr>
      <vt:lpstr>v_50_XHFO_H</vt:lpstr>
      <vt:lpstr>v_50_XHFO_H_P</vt:lpstr>
      <vt:lpstr>v_50_XHFO_H_P_old</vt:lpstr>
      <vt:lpstr>v_50_XHFO_L</vt:lpstr>
      <vt:lpstr>v_50_XHFO_L_P</vt:lpstr>
      <vt:lpstr>v_50_XHFO_L_P_old</vt:lpstr>
      <vt:lpstr>v_50_XHFO_old</vt:lpstr>
      <vt:lpstr>v_50_XHMETO</vt:lpstr>
      <vt:lpstr>v_50_XINORG</vt:lpstr>
      <vt:lpstr>v_50_XMEOLO</vt:lpstr>
      <vt:lpstr>v_50_XN_B</vt:lpstr>
      <vt:lpstr>v_50_XN_Be</vt:lpstr>
      <vt:lpstr>v_50_XN_U</vt:lpstr>
      <vt:lpstr>v_50_XNOB</vt:lpstr>
      <vt:lpstr>v_50_XOHO</vt:lpstr>
      <vt:lpstr>v_50_XP_B</vt:lpstr>
      <vt:lpstr>v_50_XP_Be</vt:lpstr>
      <vt:lpstr>v_50_XP_U</vt:lpstr>
      <vt:lpstr>v_50_XPFOA</vt:lpstr>
      <vt:lpstr>v_50_XPFOS</vt:lpstr>
      <vt:lpstr>v_50_XPHA_GAO</vt:lpstr>
      <vt:lpstr>v_50_XPHA_PAO</vt:lpstr>
      <vt:lpstr>v_50_XPP</vt:lpstr>
      <vt:lpstr>v_50_XSTR</vt:lpstr>
      <vt:lpstr>v_50_XU</vt:lpstr>
      <vt:lpstr>v_50_XVivi</vt:lpstr>
      <vt:lpstr>v_51_CB</vt:lpstr>
      <vt:lpstr>v_51_CU</vt:lpstr>
      <vt:lpstr>v_51_GCH4</vt:lpstr>
      <vt:lpstr>v_51_GCH4_atm</vt:lpstr>
      <vt:lpstr>v_51_GCO2</vt:lpstr>
      <vt:lpstr>v_51_GCO2_atm</vt:lpstr>
      <vt:lpstr>v_51_GH2</vt:lpstr>
      <vt:lpstr>v_51_GH2_atm</vt:lpstr>
      <vt:lpstr>v_51_GN2</vt:lpstr>
      <vt:lpstr>v_51_GN2_atm</vt:lpstr>
      <vt:lpstr>v_51_GN2O</vt:lpstr>
      <vt:lpstr>v_51_GN2O_atm</vt:lpstr>
      <vt:lpstr>v_51_GNH3</vt:lpstr>
      <vt:lpstr>v_51_GNH3_atm</vt:lpstr>
      <vt:lpstr>v_51_GNO</vt:lpstr>
      <vt:lpstr>v_51_GNO_atm</vt:lpstr>
      <vt:lpstr>v_51_GO2</vt:lpstr>
      <vt:lpstr>v_51_GO2_atm</vt:lpstr>
      <vt:lpstr>v_51_SALPHA</vt:lpstr>
      <vt:lpstr>v_51_SAN</vt:lpstr>
      <vt:lpstr>v_51_SB</vt:lpstr>
      <vt:lpstr>v_51_SCa</vt:lpstr>
      <vt:lpstr>v_51_SCAT</vt:lpstr>
      <vt:lpstr>v_51_SCH4</vt:lpstr>
      <vt:lpstr>v_51_SCO2</vt:lpstr>
      <vt:lpstr>v_51_SFe2</vt:lpstr>
      <vt:lpstr>v_51_SH</vt:lpstr>
      <vt:lpstr>v_51_SH2</vt:lpstr>
      <vt:lpstr>v_51_SK</vt:lpstr>
      <vt:lpstr>v_51_SMEOL</vt:lpstr>
      <vt:lpstr>v_51_SMg</vt:lpstr>
      <vt:lpstr>v_51_SN_B</vt:lpstr>
      <vt:lpstr>v_51_SN2</vt:lpstr>
      <vt:lpstr>v_51_SN2O</vt:lpstr>
      <vt:lpstr>v_51_SNH2OH</vt:lpstr>
      <vt:lpstr>v_51_SNHx</vt:lpstr>
      <vt:lpstr>v_51_SNO_AOB</vt:lpstr>
      <vt:lpstr>v_51_SNO_OHO</vt:lpstr>
      <vt:lpstr>v_51_SNO2</vt:lpstr>
      <vt:lpstr>v_51_SNO3</vt:lpstr>
      <vt:lpstr>v_51_SO2</vt:lpstr>
      <vt:lpstr>v_51_SORPswitch</vt:lpstr>
      <vt:lpstr>v_51_SP_B</vt:lpstr>
      <vt:lpstr>v_51_SPFOA</vt:lpstr>
      <vt:lpstr>v_51_SPFOS</vt:lpstr>
      <vt:lpstr>v_51_SPO4</vt:lpstr>
      <vt:lpstr>v_51_SU</vt:lpstr>
      <vt:lpstr>v_51_SVFA</vt:lpstr>
      <vt:lpstr>v_51_XACP</vt:lpstr>
      <vt:lpstr>v_51_XALGAE</vt:lpstr>
      <vt:lpstr>v_51_XAMETO</vt:lpstr>
      <vt:lpstr>v_51_XAMX</vt:lpstr>
      <vt:lpstr>v_51_XAOB</vt:lpstr>
      <vt:lpstr>v_51_XB</vt:lpstr>
      <vt:lpstr>v_51_XB_e</vt:lpstr>
      <vt:lpstr>v_51_XBSH</vt:lpstr>
      <vt:lpstr>v_51_XCaCO3</vt:lpstr>
      <vt:lpstr>v_51_XCASTO</vt:lpstr>
      <vt:lpstr>v_51_XE</vt:lpstr>
      <vt:lpstr>v_51_XE_ana</vt:lpstr>
      <vt:lpstr>v_51_XHAO_H</vt:lpstr>
      <vt:lpstr>v_51_XHAO_H_P</vt:lpstr>
      <vt:lpstr>v_51_XHAO_H_P_old</vt:lpstr>
      <vt:lpstr>v_51_XHAO_L</vt:lpstr>
      <vt:lpstr>v_51_XHAO_L_P</vt:lpstr>
      <vt:lpstr>v_51_XHAO_L_P_old</vt:lpstr>
      <vt:lpstr>v_51_XHAO_old</vt:lpstr>
      <vt:lpstr>v_51_XHFO_H</vt:lpstr>
      <vt:lpstr>v_51_XHFO_H_P</vt:lpstr>
      <vt:lpstr>v_51_XHFO_H_P_old</vt:lpstr>
      <vt:lpstr>v_51_XHFO_L</vt:lpstr>
      <vt:lpstr>v_51_XHFO_L_P</vt:lpstr>
      <vt:lpstr>v_51_XHFO_L_P_old</vt:lpstr>
      <vt:lpstr>v_51_XHFO_old</vt:lpstr>
      <vt:lpstr>v_51_XHMETO</vt:lpstr>
      <vt:lpstr>v_51_XINORG</vt:lpstr>
      <vt:lpstr>v_51_XMEOLO</vt:lpstr>
      <vt:lpstr>v_51_XN_B</vt:lpstr>
      <vt:lpstr>v_51_XN_Be</vt:lpstr>
      <vt:lpstr>v_51_XN_U</vt:lpstr>
      <vt:lpstr>v_51_XNOB</vt:lpstr>
      <vt:lpstr>v_51_XOHO</vt:lpstr>
      <vt:lpstr>v_51_XP_B</vt:lpstr>
      <vt:lpstr>v_51_XP_Be</vt:lpstr>
      <vt:lpstr>v_51_XP_U</vt:lpstr>
      <vt:lpstr>v_51_XPFOA</vt:lpstr>
      <vt:lpstr>v_51_XPFOS</vt:lpstr>
      <vt:lpstr>v_51_XPHA_GAO</vt:lpstr>
      <vt:lpstr>v_51_XPHA_PAO</vt:lpstr>
      <vt:lpstr>v_51_XPP</vt:lpstr>
      <vt:lpstr>v_51_XSTR</vt:lpstr>
      <vt:lpstr>v_51_XU</vt:lpstr>
      <vt:lpstr>v_51_XVivi</vt:lpstr>
      <vt:lpstr>v_52_CB</vt:lpstr>
      <vt:lpstr>v_52_CU</vt:lpstr>
      <vt:lpstr>v_52_GCH4</vt:lpstr>
      <vt:lpstr>v_52_GCH4_atm</vt:lpstr>
      <vt:lpstr>v_52_GCO2</vt:lpstr>
      <vt:lpstr>v_52_GCO2_atm</vt:lpstr>
      <vt:lpstr>v_52_GH2</vt:lpstr>
      <vt:lpstr>v_52_GH2_atm</vt:lpstr>
      <vt:lpstr>v_52_GN2</vt:lpstr>
      <vt:lpstr>v_52_GN2_atm</vt:lpstr>
      <vt:lpstr>v_52_GN2O</vt:lpstr>
      <vt:lpstr>v_52_GN2O_atm</vt:lpstr>
      <vt:lpstr>v_52_GNH3</vt:lpstr>
      <vt:lpstr>v_52_GNH3_atm</vt:lpstr>
      <vt:lpstr>v_52_GNO</vt:lpstr>
      <vt:lpstr>v_52_GNO_atm</vt:lpstr>
      <vt:lpstr>v_52_GO2</vt:lpstr>
      <vt:lpstr>v_52_GO2_atm</vt:lpstr>
      <vt:lpstr>v_52_SALPHA</vt:lpstr>
      <vt:lpstr>v_52_SAN</vt:lpstr>
      <vt:lpstr>v_52_SB</vt:lpstr>
      <vt:lpstr>v_52_SCa</vt:lpstr>
      <vt:lpstr>v_52_SCAT</vt:lpstr>
      <vt:lpstr>v_52_SCH4</vt:lpstr>
      <vt:lpstr>v_52_SCO2</vt:lpstr>
      <vt:lpstr>v_52_SFe2</vt:lpstr>
      <vt:lpstr>v_52_SH</vt:lpstr>
      <vt:lpstr>v_52_SH2</vt:lpstr>
      <vt:lpstr>v_52_SK</vt:lpstr>
      <vt:lpstr>v_52_SMEOL</vt:lpstr>
      <vt:lpstr>v_52_SMg</vt:lpstr>
      <vt:lpstr>v_52_SN_B</vt:lpstr>
      <vt:lpstr>v_52_SN2</vt:lpstr>
      <vt:lpstr>v_52_SN2O</vt:lpstr>
      <vt:lpstr>v_52_SNH2OH</vt:lpstr>
      <vt:lpstr>v_52_SNHx</vt:lpstr>
      <vt:lpstr>v_52_SNO_AOB</vt:lpstr>
      <vt:lpstr>v_52_SNO_OHO</vt:lpstr>
      <vt:lpstr>v_52_SNO2</vt:lpstr>
      <vt:lpstr>v_52_SNO3</vt:lpstr>
      <vt:lpstr>v_52_SO2</vt:lpstr>
      <vt:lpstr>v_52_SORPswitch</vt:lpstr>
      <vt:lpstr>v_52_SP_B</vt:lpstr>
      <vt:lpstr>v_52_SPFOA</vt:lpstr>
      <vt:lpstr>v_52_SPFOS</vt:lpstr>
      <vt:lpstr>v_52_SPO4</vt:lpstr>
      <vt:lpstr>v_52_SU</vt:lpstr>
      <vt:lpstr>v_52_SVFA</vt:lpstr>
      <vt:lpstr>v_52_XACP</vt:lpstr>
      <vt:lpstr>v_52_XALGAE</vt:lpstr>
      <vt:lpstr>v_52_XAMETO</vt:lpstr>
      <vt:lpstr>v_52_XAMX</vt:lpstr>
      <vt:lpstr>v_52_XAOB</vt:lpstr>
      <vt:lpstr>v_52_XB</vt:lpstr>
      <vt:lpstr>v_52_XB_e</vt:lpstr>
      <vt:lpstr>v_52_XBSH</vt:lpstr>
      <vt:lpstr>v_52_XCaCO3</vt:lpstr>
      <vt:lpstr>v_52_XCASTO</vt:lpstr>
      <vt:lpstr>v_52_XE</vt:lpstr>
      <vt:lpstr>v_52_XE_ana</vt:lpstr>
      <vt:lpstr>v_52_XHAO_H</vt:lpstr>
      <vt:lpstr>v_52_XHAO_H_P</vt:lpstr>
      <vt:lpstr>v_52_XHAO_H_P_old</vt:lpstr>
      <vt:lpstr>v_52_XHAO_L</vt:lpstr>
      <vt:lpstr>v_52_XHAO_L_P</vt:lpstr>
      <vt:lpstr>v_52_XHAO_L_P_old</vt:lpstr>
      <vt:lpstr>v_52_XHAO_old</vt:lpstr>
      <vt:lpstr>v_52_XHFO_H</vt:lpstr>
      <vt:lpstr>v_52_XHFO_H_P</vt:lpstr>
      <vt:lpstr>v_52_XHFO_H_P_old</vt:lpstr>
      <vt:lpstr>v_52_XHFO_L</vt:lpstr>
      <vt:lpstr>v_52_XHFO_L_P</vt:lpstr>
      <vt:lpstr>v_52_XHFO_L_P_old</vt:lpstr>
      <vt:lpstr>v_52_XHFO_old</vt:lpstr>
      <vt:lpstr>v_52_XHMETO</vt:lpstr>
      <vt:lpstr>v_52_XINORG</vt:lpstr>
      <vt:lpstr>v_52_XMEOLO</vt:lpstr>
      <vt:lpstr>v_52_XN_B</vt:lpstr>
      <vt:lpstr>v_52_XN_Be</vt:lpstr>
      <vt:lpstr>v_52_XN_U</vt:lpstr>
      <vt:lpstr>v_52_XNOB</vt:lpstr>
      <vt:lpstr>v_52_XOHO</vt:lpstr>
      <vt:lpstr>v_52_XP_B</vt:lpstr>
      <vt:lpstr>v_52_XP_Be</vt:lpstr>
      <vt:lpstr>v_52_XP_U</vt:lpstr>
      <vt:lpstr>v_52_XPFOA</vt:lpstr>
      <vt:lpstr>v_52_XPFOS</vt:lpstr>
      <vt:lpstr>v_52_XPHA_GAO</vt:lpstr>
      <vt:lpstr>v_52_XPHA_PAO</vt:lpstr>
      <vt:lpstr>v_52_XPP</vt:lpstr>
      <vt:lpstr>v_52_XSTR</vt:lpstr>
      <vt:lpstr>v_52_XU</vt:lpstr>
      <vt:lpstr>v_52_XVivi</vt:lpstr>
      <vt:lpstr>v_53_CB</vt:lpstr>
      <vt:lpstr>v_53_CU</vt:lpstr>
      <vt:lpstr>v_53_GCH4</vt:lpstr>
      <vt:lpstr>v_53_GCH4_atm</vt:lpstr>
      <vt:lpstr>v_53_GCO2</vt:lpstr>
      <vt:lpstr>v_53_GCO2_atm</vt:lpstr>
      <vt:lpstr>v_53_GH2</vt:lpstr>
      <vt:lpstr>v_53_GH2_atm</vt:lpstr>
      <vt:lpstr>v_53_GN2</vt:lpstr>
      <vt:lpstr>v_53_GN2_atm</vt:lpstr>
      <vt:lpstr>v_53_GN2O</vt:lpstr>
      <vt:lpstr>v_53_GN2O_atm</vt:lpstr>
      <vt:lpstr>v_53_GNH3</vt:lpstr>
      <vt:lpstr>v_53_GNH3_atm</vt:lpstr>
      <vt:lpstr>v_53_GNO</vt:lpstr>
      <vt:lpstr>v_53_GNO_atm</vt:lpstr>
      <vt:lpstr>v_53_GO2</vt:lpstr>
      <vt:lpstr>v_53_GO2_atm</vt:lpstr>
      <vt:lpstr>v_53_SALPHA</vt:lpstr>
      <vt:lpstr>v_53_SAN</vt:lpstr>
      <vt:lpstr>v_53_SB</vt:lpstr>
      <vt:lpstr>v_53_SCa</vt:lpstr>
      <vt:lpstr>v_53_SCAT</vt:lpstr>
      <vt:lpstr>v_53_SCH4</vt:lpstr>
      <vt:lpstr>v_53_SCO2</vt:lpstr>
      <vt:lpstr>v_53_SFe2</vt:lpstr>
      <vt:lpstr>v_53_SH</vt:lpstr>
      <vt:lpstr>v_53_SH2</vt:lpstr>
      <vt:lpstr>v_53_SK</vt:lpstr>
      <vt:lpstr>v_53_SMEOL</vt:lpstr>
      <vt:lpstr>v_53_SMg</vt:lpstr>
      <vt:lpstr>v_53_SN_B</vt:lpstr>
      <vt:lpstr>v_53_SN2</vt:lpstr>
      <vt:lpstr>v_53_SN2O</vt:lpstr>
      <vt:lpstr>v_53_SNH2OH</vt:lpstr>
      <vt:lpstr>v_53_SNHx</vt:lpstr>
      <vt:lpstr>v_53_SNO_AOB</vt:lpstr>
      <vt:lpstr>v_53_SNO_OHO</vt:lpstr>
      <vt:lpstr>v_53_SNO2</vt:lpstr>
      <vt:lpstr>v_53_SNO3</vt:lpstr>
      <vt:lpstr>v_53_SO2</vt:lpstr>
      <vt:lpstr>v_53_SORPswitch</vt:lpstr>
      <vt:lpstr>v_53_SP_B</vt:lpstr>
      <vt:lpstr>v_53_SPFOA</vt:lpstr>
      <vt:lpstr>v_53_SPFOS</vt:lpstr>
      <vt:lpstr>v_53_SPO4</vt:lpstr>
      <vt:lpstr>v_53_SU</vt:lpstr>
      <vt:lpstr>v_53_SVFA</vt:lpstr>
      <vt:lpstr>v_53_XACP</vt:lpstr>
      <vt:lpstr>v_53_XALGAE</vt:lpstr>
      <vt:lpstr>v_53_XAMETO</vt:lpstr>
      <vt:lpstr>v_53_XAMX</vt:lpstr>
      <vt:lpstr>v_53_XAOB</vt:lpstr>
      <vt:lpstr>v_53_XB</vt:lpstr>
      <vt:lpstr>v_53_XB_e</vt:lpstr>
      <vt:lpstr>v_53_XBSH</vt:lpstr>
      <vt:lpstr>v_53_XCaCO3</vt:lpstr>
      <vt:lpstr>v_53_XCASTO</vt:lpstr>
      <vt:lpstr>v_53_XE</vt:lpstr>
      <vt:lpstr>v_53_XE_ana</vt:lpstr>
      <vt:lpstr>v_53_XHAO_H</vt:lpstr>
      <vt:lpstr>v_53_XHAO_H_P</vt:lpstr>
      <vt:lpstr>v_53_XHAO_H_P_old</vt:lpstr>
      <vt:lpstr>v_53_XHAO_L</vt:lpstr>
      <vt:lpstr>v_53_XHAO_L_P</vt:lpstr>
      <vt:lpstr>v_53_XHAO_L_P_old</vt:lpstr>
      <vt:lpstr>v_53_XHAO_old</vt:lpstr>
      <vt:lpstr>v_53_XHFO_H</vt:lpstr>
      <vt:lpstr>v_53_XHFO_H_P</vt:lpstr>
      <vt:lpstr>v_53_XHFO_H_P_old</vt:lpstr>
      <vt:lpstr>v_53_XHFO_L</vt:lpstr>
      <vt:lpstr>v_53_XHFO_L_P</vt:lpstr>
      <vt:lpstr>v_53_XHFO_L_P_old</vt:lpstr>
      <vt:lpstr>v_53_XHFO_old</vt:lpstr>
      <vt:lpstr>v_53_XHMETO</vt:lpstr>
      <vt:lpstr>v_53_XINORG</vt:lpstr>
      <vt:lpstr>v_53_XMEOLO</vt:lpstr>
      <vt:lpstr>v_53_XN_B</vt:lpstr>
      <vt:lpstr>v_53_XN_Be</vt:lpstr>
      <vt:lpstr>v_53_XN_U</vt:lpstr>
      <vt:lpstr>v_53_XNOB</vt:lpstr>
      <vt:lpstr>v_53_XOHO</vt:lpstr>
      <vt:lpstr>v_53_XP_B</vt:lpstr>
      <vt:lpstr>v_53_XP_Be</vt:lpstr>
      <vt:lpstr>v_53_XP_U</vt:lpstr>
      <vt:lpstr>v_53_XPFOA</vt:lpstr>
      <vt:lpstr>v_53_XPFOS</vt:lpstr>
      <vt:lpstr>v_53_XPHA_GAO</vt:lpstr>
      <vt:lpstr>v_53_XPHA_PAO</vt:lpstr>
      <vt:lpstr>v_53_XPP</vt:lpstr>
      <vt:lpstr>v_53_XSTR</vt:lpstr>
      <vt:lpstr>v_53_XU</vt:lpstr>
      <vt:lpstr>v_53_XVivi</vt:lpstr>
      <vt:lpstr>v_54_CB</vt:lpstr>
      <vt:lpstr>v_54_CU</vt:lpstr>
      <vt:lpstr>v_54_GCH4</vt:lpstr>
      <vt:lpstr>v_54_GCH4_atm</vt:lpstr>
      <vt:lpstr>v_54_GCO2</vt:lpstr>
      <vt:lpstr>v_54_GCO2_atm</vt:lpstr>
      <vt:lpstr>v_54_GH2</vt:lpstr>
      <vt:lpstr>v_54_GH2_atm</vt:lpstr>
      <vt:lpstr>v_54_GN2</vt:lpstr>
      <vt:lpstr>v_54_GN2_atm</vt:lpstr>
      <vt:lpstr>v_54_GN2O</vt:lpstr>
      <vt:lpstr>v_54_GN2O_atm</vt:lpstr>
      <vt:lpstr>v_54_GNH3</vt:lpstr>
      <vt:lpstr>v_54_GNH3_atm</vt:lpstr>
      <vt:lpstr>v_54_GNO</vt:lpstr>
      <vt:lpstr>v_54_GNO_atm</vt:lpstr>
      <vt:lpstr>v_54_GO2</vt:lpstr>
      <vt:lpstr>v_54_GO2_atm</vt:lpstr>
      <vt:lpstr>v_54_SALPHA</vt:lpstr>
      <vt:lpstr>v_54_SAN</vt:lpstr>
      <vt:lpstr>v_54_SB</vt:lpstr>
      <vt:lpstr>v_54_SCa</vt:lpstr>
      <vt:lpstr>v_54_SCAT</vt:lpstr>
      <vt:lpstr>v_54_SCH4</vt:lpstr>
      <vt:lpstr>v_54_SCO2</vt:lpstr>
      <vt:lpstr>v_54_SFe2</vt:lpstr>
      <vt:lpstr>v_54_SH</vt:lpstr>
      <vt:lpstr>v_54_SH2</vt:lpstr>
      <vt:lpstr>v_54_SK</vt:lpstr>
      <vt:lpstr>v_54_SMEOL</vt:lpstr>
      <vt:lpstr>v_54_SMg</vt:lpstr>
      <vt:lpstr>v_54_SN_B</vt:lpstr>
      <vt:lpstr>v_54_SN2</vt:lpstr>
      <vt:lpstr>v_54_SN2O</vt:lpstr>
      <vt:lpstr>v_54_SNH2OH</vt:lpstr>
      <vt:lpstr>v_54_SNHx</vt:lpstr>
      <vt:lpstr>v_54_SNO_AOB</vt:lpstr>
      <vt:lpstr>v_54_SNO_OHO</vt:lpstr>
      <vt:lpstr>v_54_SNO2</vt:lpstr>
      <vt:lpstr>v_54_SNO3</vt:lpstr>
      <vt:lpstr>v_54_SO2</vt:lpstr>
      <vt:lpstr>v_54_SORPswitch</vt:lpstr>
      <vt:lpstr>v_54_SP_B</vt:lpstr>
      <vt:lpstr>v_54_SPFOA</vt:lpstr>
      <vt:lpstr>v_54_SPFOS</vt:lpstr>
      <vt:lpstr>v_54_SPO4</vt:lpstr>
      <vt:lpstr>v_54_SU</vt:lpstr>
      <vt:lpstr>v_54_SVFA</vt:lpstr>
      <vt:lpstr>v_54_XACP</vt:lpstr>
      <vt:lpstr>v_54_XALGAE</vt:lpstr>
      <vt:lpstr>v_54_XAMETO</vt:lpstr>
      <vt:lpstr>v_54_XAMX</vt:lpstr>
      <vt:lpstr>v_54_XAOB</vt:lpstr>
      <vt:lpstr>v_54_XB</vt:lpstr>
      <vt:lpstr>v_54_XB_e</vt:lpstr>
      <vt:lpstr>v_54_XBSH</vt:lpstr>
      <vt:lpstr>v_54_XCaCO3</vt:lpstr>
      <vt:lpstr>v_54_XCASTO</vt:lpstr>
      <vt:lpstr>v_54_XE</vt:lpstr>
      <vt:lpstr>v_54_XE_ana</vt:lpstr>
      <vt:lpstr>v_54_XHAO_H</vt:lpstr>
      <vt:lpstr>v_54_XHAO_H_P</vt:lpstr>
      <vt:lpstr>v_54_XHAO_H_P_old</vt:lpstr>
      <vt:lpstr>v_54_XHAO_L</vt:lpstr>
      <vt:lpstr>v_54_XHAO_L_P</vt:lpstr>
      <vt:lpstr>v_54_XHAO_L_P_old</vt:lpstr>
      <vt:lpstr>v_54_XHAO_old</vt:lpstr>
      <vt:lpstr>v_54_XHFO_H</vt:lpstr>
      <vt:lpstr>v_54_XHFO_H_P</vt:lpstr>
      <vt:lpstr>v_54_XHFO_H_P_old</vt:lpstr>
      <vt:lpstr>v_54_XHFO_L</vt:lpstr>
      <vt:lpstr>v_54_XHFO_L_P</vt:lpstr>
      <vt:lpstr>v_54_XHFO_L_P_old</vt:lpstr>
      <vt:lpstr>v_54_XHFO_old</vt:lpstr>
      <vt:lpstr>v_54_XHMETO</vt:lpstr>
      <vt:lpstr>v_54_XINORG</vt:lpstr>
      <vt:lpstr>v_54_XMEOLO</vt:lpstr>
      <vt:lpstr>v_54_XN_B</vt:lpstr>
      <vt:lpstr>v_54_XN_Be</vt:lpstr>
      <vt:lpstr>v_54_XN_U</vt:lpstr>
      <vt:lpstr>v_54_XNOB</vt:lpstr>
      <vt:lpstr>v_54_XOHO</vt:lpstr>
      <vt:lpstr>v_54_XP_B</vt:lpstr>
      <vt:lpstr>v_54_XP_Be</vt:lpstr>
      <vt:lpstr>v_54_XP_U</vt:lpstr>
      <vt:lpstr>v_54_XPFOA</vt:lpstr>
      <vt:lpstr>v_54_XPFOS</vt:lpstr>
      <vt:lpstr>v_54_XPHA_GAO</vt:lpstr>
      <vt:lpstr>v_54_XPHA_PAO</vt:lpstr>
      <vt:lpstr>v_54_XPP</vt:lpstr>
      <vt:lpstr>v_54_XSTR</vt:lpstr>
      <vt:lpstr>v_54_XU</vt:lpstr>
      <vt:lpstr>v_54_XVivi</vt:lpstr>
      <vt:lpstr>v_55_CB</vt:lpstr>
      <vt:lpstr>v_55_CU</vt:lpstr>
      <vt:lpstr>v_55_GCH4</vt:lpstr>
      <vt:lpstr>v_55_GCH4_atm</vt:lpstr>
      <vt:lpstr>v_55_GCO2</vt:lpstr>
      <vt:lpstr>v_55_GCO2_atm</vt:lpstr>
      <vt:lpstr>v_55_GH2</vt:lpstr>
      <vt:lpstr>v_55_GH2_atm</vt:lpstr>
      <vt:lpstr>v_55_GN2</vt:lpstr>
      <vt:lpstr>v_55_GN2_atm</vt:lpstr>
      <vt:lpstr>v_55_GN2O</vt:lpstr>
      <vt:lpstr>v_55_GN2O_atm</vt:lpstr>
      <vt:lpstr>v_55_GNH3</vt:lpstr>
      <vt:lpstr>v_55_GNH3_atm</vt:lpstr>
      <vt:lpstr>v_55_GNO</vt:lpstr>
      <vt:lpstr>v_55_GNO_atm</vt:lpstr>
      <vt:lpstr>v_55_GO2</vt:lpstr>
      <vt:lpstr>v_55_GO2_atm</vt:lpstr>
      <vt:lpstr>v_55_SALPHA</vt:lpstr>
      <vt:lpstr>v_55_SAN</vt:lpstr>
      <vt:lpstr>v_55_SB</vt:lpstr>
      <vt:lpstr>v_55_SCa</vt:lpstr>
      <vt:lpstr>v_55_SCAT</vt:lpstr>
      <vt:lpstr>v_55_SCH4</vt:lpstr>
      <vt:lpstr>v_55_SCO2</vt:lpstr>
      <vt:lpstr>v_55_SFe2</vt:lpstr>
      <vt:lpstr>v_55_SH</vt:lpstr>
      <vt:lpstr>v_55_SH2</vt:lpstr>
      <vt:lpstr>v_55_SK</vt:lpstr>
      <vt:lpstr>v_55_SMEOL</vt:lpstr>
      <vt:lpstr>v_55_SMg</vt:lpstr>
      <vt:lpstr>v_55_SN_B</vt:lpstr>
      <vt:lpstr>v_55_SN2</vt:lpstr>
      <vt:lpstr>v_55_SN2O</vt:lpstr>
      <vt:lpstr>v_55_SNH2OH</vt:lpstr>
      <vt:lpstr>v_55_SNHx</vt:lpstr>
      <vt:lpstr>v_55_SNO_AOB</vt:lpstr>
      <vt:lpstr>v_55_SNO_OHO</vt:lpstr>
      <vt:lpstr>v_55_SNO2</vt:lpstr>
      <vt:lpstr>v_55_SNO3</vt:lpstr>
      <vt:lpstr>v_55_SO2</vt:lpstr>
      <vt:lpstr>v_55_SORPswitch</vt:lpstr>
      <vt:lpstr>v_55_SP_B</vt:lpstr>
      <vt:lpstr>v_55_SPFOA</vt:lpstr>
      <vt:lpstr>v_55_SPFOS</vt:lpstr>
      <vt:lpstr>v_55_SPO4</vt:lpstr>
      <vt:lpstr>v_55_SU</vt:lpstr>
      <vt:lpstr>v_55_SVFA</vt:lpstr>
      <vt:lpstr>v_55_XACP</vt:lpstr>
      <vt:lpstr>v_55_XALGAE</vt:lpstr>
      <vt:lpstr>v_55_XAMETO</vt:lpstr>
      <vt:lpstr>v_55_XAMX</vt:lpstr>
      <vt:lpstr>v_55_XAOB</vt:lpstr>
      <vt:lpstr>v_55_XB</vt:lpstr>
      <vt:lpstr>v_55_XB_e</vt:lpstr>
      <vt:lpstr>v_55_XBSH</vt:lpstr>
      <vt:lpstr>v_55_XCaCO3</vt:lpstr>
      <vt:lpstr>v_55_XCASTO</vt:lpstr>
      <vt:lpstr>v_55_XE</vt:lpstr>
      <vt:lpstr>v_55_XE_ana</vt:lpstr>
      <vt:lpstr>v_55_XHAO_H</vt:lpstr>
      <vt:lpstr>v_55_XHAO_H_P</vt:lpstr>
      <vt:lpstr>v_55_XHAO_H_P_old</vt:lpstr>
      <vt:lpstr>v_55_XHAO_L</vt:lpstr>
      <vt:lpstr>v_55_XHAO_L_P</vt:lpstr>
      <vt:lpstr>v_55_XHAO_L_P_old</vt:lpstr>
      <vt:lpstr>v_55_XHAO_old</vt:lpstr>
      <vt:lpstr>v_55_XHFO_H</vt:lpstr>
      <vt:lpstr>v_55_XHFO_H_P</vt:lpstr>
      <vt:lpstr>v_55_XHFO_H_P_old</vt:lpstr>
      <vt:lpstr>v_55_XHFO_L</vt:lpstr>
      <vt:lpstr>v_55_XHFO_L_P</vt:lpstr>
      <vt:lpstr>v_55_XHFO_L_P_old</vt:lpstr>
      <vt:lpstr>v_55_XHFO_old</vt:lpstr>
      <vt:lpstr>v_55_XHMETO</vt:lpstr>
      <vt:lpstr>v_55_XINORG</vt:lpstr>
      <vt:lpstr>v_55_XMEOLO</vt:lpstr>
      <vt:lpstr>v_55_XN_B</vt:lpstr>
      <vt:lpstr>v_55_XN_Be</vt:lpstr>
      <vt:lpstr>v_55_XN_U</vt:lpstr>
      <vt:lpstr>v_55_XNOB</vt:lpstr>
      <vt:lpstr>v_55_XOHO</vt:lpstr>
      <vt:lpstr>v_55_XP_B</vt:lpstr>
      <vt:lpstr>v_55_XP_Be</vt:lpstr>
      <vt:lpstr>v_55_XP_U</vt:lpstr>
      <vt:lpstr>v_55_XPFOA</vt:lpstr>
      <vt:lpstr>v_55_XPFOS</vt:lpstr>
      <vt:lpstr>v_55_XPHA_GAO</vt:lpstr>
      <vt:lpstr>v_55_XPHA_PAO</vt:lpstr>
      <vt:lpstr>v_55_XPP</vt:lpstr>
      <vt:lpstr>v_55_XSTR</vt:lpstr>
      <vt:lpstr>v_55_XU</vt:lpstr>
      <vt:lpstr>v_55_XVivi</vt:lpstr>
      <vt:lpstr>v_56_CB</vt:lpstr>
      <vt:lpstr>v_56_CU</vt:lpstr>
      <vt:lpstr>v_56_GCH4</vt:lpstr>
      <vt:lpstr>v_56_GCH4_atm</vt:lpstr>
      <vt:lpstr>v_56_GCO2</vt:lpstr>
      <vt:lpstr>v_56_GCO2_atm</vt:lpstr>
      <vt:lpstr>v_56_GH2</vt:lpstr>
      <vt:lpstr>v_56_GH2_atm</vt:lpstr>
      <vt:lpstr>v_56_GN2</vt:lpstr>
      <vt:lpstr>v_56_GN2_atm</vt:lpstr>
      <vt:lpstr>v_56_GN2O</vt:lpstr>
      <vt:lpstr>v_56_GN2O_atm</vt:lpstr>
      <vt:lpstr>v_56_GNH3</vt:lpstr>
      <vt:lpstr>v_56_GNH3_atm</vt:lpstr>
      <vt:lpstr>v_56_GNO</vt:lpstr>
      <vt:lpstr>v_56_GNO_atm</vt:lpstr>
      <vt:lpstr>v_56_GO2</vt:lpstr>
      <vt:lpstr>v_56_GO2_atm</vt:lpstr>
      <vt:lpstr>v_56_SALPHA</vt:lpstr>
      <vt:lpstr>v_56_SAN</vt:lpstr>
      <vt:lpstr>v_56_SB</vt:lpstr>
      <vt:lpstr>v_56_SCa</vt:lpstr>
      <vt:lpstr>v_56_SCAT</vt:lpstr>
      <vt:lpstr>v_56_SCH4</vt:lpstr>
      <vt:lpstr>v_56_SCO2</vt:lpstr>
      <vt:lpstr>v_56_SFe2</vt:lpstr>
      <vt:lpstr>v_56_SH</vt:lpstr>
      <vt:lpstr>v_56_SH2</vt:lpstr>
      <vt:lpstr>v_56_SK</vt:lpstr>
      <vt:lpstr>v_56_SMEOL</vt:lpstr>
      <vt:lpstr>v_56_SMg</vt:lpstr>
      <vt:lpstr>v_56_SN_B</vt:lpstr>
      <vt:lpstr>v_56_SN2</vt:lpstr>
      <vt:lpstr>v_56_SN2O</vt:lpstr>
      <vt:lpstr>v_56_SNH2OH</vt:lpstr>
      <vt:lpstr>v_56_SNHx</vt:lpstr>
      <vt:lpstr>v_56_SNO_AOB</vt:lpstr>
      <vt:lpstr>v_56_SNO_OHO</vt:lpstr>
      <vt:lpstr>v_56_SNO2</vt:lpstr>
      <vt:lpstr>v_56_SNO3</vt:lpstr>
      <vt:lpstr>v_56_SO2</vt:lpstr>
      <vt:lpstr>v_56_SORPswitch</vt:lpstr>
      <vt:lpstr>v_56_SP_B</vt:lpstr>
      <vt:lpstr>v_56_SPFOA</vt:lpstr>
      <vt:lpstr>v_56_SPFOS</vt:lpstr>
      <vt:lpstr>v_56_SPO4</vt:lpstr>
      <vt:lpstr>v_56_SU</vt:lpstr>
      <vt:lpstr>v_56_SVFA</vt:lpstr>
      <vt:lpstr>v_56_XACP</vt:lpstr>
      <vt:lpstr>v_56_XALGAE</vt:lpstr>
      <vt:lpstr>v_56_XAMETO</vt:lpstr>
      <vt:lpstr>v_56_XAMX</vt:lpstr>
      <vt:lpstr>v_56_XAOB</vt:lpstr>
      <vt:lpstr>v_56_XB</vt:lpstr>
      <vt:lpstr>v_56_XB_e</vt:lpstr>
      <vt:lpstr>v_56_XBSH</vt:lpstr>
      <vt:lpstr>v_56_XCaCO3</vt:lpstr>
      <vt:lpstr>v_56_XCASTO</vt:lpstr>
      <vt:lpstr>v_56_XE</vt:lpstr>
      <vt:lpstr>v_56_XE_ana</vt:lpstr>
      <vt:lpstr>v_56_XHAO_H</vt:lpstr>
      <vt:lpstr>v_56_XHAO_H_P</vt:lpstr>
      <vt:lpstr>v_56_XHAO_H_P_old</vt:lpstr>
      <vt:lpstr>v_56_XHAO_L</vt:lpstr>
      <vt:lpstr>v_56_XHAO_L_P</vt:lpstr>
      <vt:lpstr>v_56_XHAO_L_P_old</vt:lpstr>
      <vt:lpstr>v_56_XHAO_old</vt:lpstr>
      <vt:lpstr>v_56_XHFO_H</vt:lpstr>
      <vt:lpstr>v_56_XHFO_H_P</vt:lpstr>
      <vt:lpstr>v_56_XHFO_H_P_old</vt:lpstr>
      <vt:lpstr>v_56_XHFO_L</vt:lpstr>
      <vt:lpstr>v_56_XHFO_L_P</vt:lpstr>
      <vt:lpstr>v_56_XHFO_L_P_old</vt:lpstr>
      <vt:lpstr>v_56_XHFO_old</vt:lpstr>
      <vt:lpstr>v_56_XHMETO</vt:lpstr>
      <vt:lpstr>v_56_XINORG</vt:lpstr>
      <vt:lpstr>v_56_XMEOLO</vt:lpstr>
      <vt:lpstr>v_56_XN_B</vt:lpstr>
      <vt:lpstr>v_56_XN_Be</vt:lpstr>
      <vt:lpstr>v_56_XN_U</vt:lpstr>
      <vt:lpstr>v_56_XNOB</vt:lpstr>
      <vt:lpstr>v_56_XOHO</vt:lpstr>
      <vt:lpstr>v_56_XP_B</vt:lpstr>
      <vt:lpstr>v_56_XP_Be</vt:lpstr>
      <vt:lpstr>v_56_XP_U</vt:lpstr>
      <vt:lpstr>v_56_XPFOA</vt:lpstr>
      <vt:lpstr>v_56_XPFOS</vt:lpstr>
      <vt:lpstr>v_56_XPHA_GAO</vt:lpstr>
      <vt:lpstr>v_56_XPHA_PAO</vt:lpstr>
      <vt:lpstr>v_56_XPP</vt:lpstr>
      <vt:lpstr>v_56_XSTR</vt:lpstr>
      <vt:lpstr>v_56_XU</vt:lpstr>
      <vt:lpstr>v_56_XVivi</vt:lpstr>
      <vt:lpstr>v_57_CB</vt:lpstr>
      <vt:lpstr>v_57_CU</vt:lpstr>
      <vt:lpstr>v_57_GCH4</vt:lpstr>
      <vt:lpstr>v_57_GCH4_atm</vt:lpstr>
      <vt:lpstr>v_57_GCO2</vt:lpstr>
      <vt:lpstr>v_57_GCO2_atm</vt:lpstr>
      <vt:lpstr>v_57_GH2</vt:lpstr>
      <vt:lpstr>v_57_GH2_atm</vt:lpstr>
      <vt:lpstr>v_57_GN2</vt:lpstr>
      <vt:lpstr>v_57_GN2_atm</vt:lpstr>
      <vt:lpstr>v_57_GN2O</vt:lpstr>
      <vt:lpstr>v_57_GN2O_atm</vt:lpstr>
      <vt:lpstr>v_57_GNH3</vt:lpstr>
      <vt:lpstr>v_57_GNH3_atm</vt:lpstr>
      <vt:lpstr>v_57_GNO</vt:lpstr>
      <vt:lpstr>v_57_GNO_atm</vt:lpstr>
      <vt:lpstr>v_57_GO2</vt:lpstr>
      <vt:lpstr>v_57_GO2_atm</vt:lpstr>
      <vt:lpstr>v_57_SALPHA</vt:lpstr>
      <vt:lpstr>v_57_SAN</vt:lpstr>
      <vt:lpstr>v_57_SB</vt:lpstr>
      <vt:lpstr>v_57_SCa</vt:lpstr>
      <vt:lpstr>v_57_SCAT</vt:lpstr>
      <vt:lpstr>v_57_SCH4</vt:lpstr>
      <vt:lpstr>v_57_SCO2</vt:lpstr>
      <vt:lpstr>v_57_SFe2</vt:lpstr>
      <vt:lpstr>v_57_SH</vt:lpstr>
      <vt:lpstr>v_57_SH2</vt:lpstr>
      <vt:lpstr>v_57_SK</vt:lpstr>
      <vt:lpstr>v_57_SMEOL</vt:lpstr>
      <vt:lpstr>v_57_SMg</vt:lpstr>
      <vt:lpstr>v_57_SN_B</vt:lpstr>
      <vt:lpstr>v_57_SN2</vt:lpstr>
      <vt:lpstr>v_57_SN2O</vt:lpstr>
      <vt:lpstr>v_57_SNH2OH</vt:lpstr>
      <vt:lpstr>v_57_SNHx</vt:lpstr>
      <vt:lpstr>v_57_SNO_AOB</vt:lpstr>
      <vt:lpstr>v_57_SNO_OHO</vt:lpstr>
      <vt:lpstr>v_57_SNO2</vt:lpstr>
      <vt:lpstr>v_57_SNO3</vt:lpstr>
      <vt:lpstr>v_57_SO2</vt:lpstr>
      <vt:lpstr>v_57_SORPswitch</vt:lpstr>
      <vt:lpstr>v_57_SP_B</vt:lpstr>
      <vt:lpstr>v_57_SPFOA</vt:lpstr>
      <vt:lpstr>v_57_SPFOS</vt:lpstr>
      <vt:lpstr>v_57_SPO4</vt:lpstr>
      <vt:lpstr>v_57_SU</vt:lpstr>
      <vt:lpstr>v_57_SVFA</vt:lpstr>
      <vt:lpstr>v_57_XACP</vt:lpstr>
      <vt:lpstr>v_57_XALGAE</vt:lpstr>
      <vt:lpstr>v_57_XAMETO</vt:lpstr>
      <vt:lpstr>v_57_XAMX</vt:lpstr>
      <vt:lpstr>v_57_XAOB</vt:lpstr>
      <vt:lpstr>v_57_XB</vt:lpstr>
      <vt:lpstr>v_57_XB_e</vt:lpstr>
      <vt:lpstr>v_57_XBSH</vt:lpstr>
      <vt:lpstr>v_57_XCaCO3</vt:lpstr>
      <vt:lpstr>v_57_XCASTO</vt:lpstr>
      <vt:lpstr>v_57_XE</vt:lpstr>
      <vt:lpstr>v_57_XE_ana</vt:lpstr>
      <vt:lpstr>v_57_XHAO_H</vt:lpstr>
      <vt:lpstr>v_57_XHAO_H_P</vt:lpstr>
      <vt:lpstr>v_57_XHAO_H_P_old</vt:lpstr>
      <vt:lpstr>v_57_XHAO_L</vt:lpstr>
      <vt:lpstr>v_57_XHAO_L_P</vt:lpstr>
      <vt:lpstr>v_57_XHAO_L_P_old</vt:lpstr>
      <vt:lpstr>v_57_XHAO_old</vt:lpstr>
      <vt:lpstr>v_57_XHFO_H</vt:lpstr>
      <vt:lpstr>v_57_XHFO_H_P</vt:lpstr>
      <vt:lpstr>v_57_XHFO_H_P_old</vt:lpstr>
      <vt:lpstr>v_57_XHFO_L</vt:lpstr>
      <vt:lpstr>v_57_XHFO_L_P</vt:lpstr>
      <vt:lpstr>v_57_XHFO_L_P_old</vt:lpstr>
      <vt:lpstr>v_57_XHFO_old</vt:lpstr>
      <vt:lpstr>v_57_XHMETO</vt:lpstr>
      <vt:lpstr>v_57_XINORG</vt:lpstr>
      <vt:lpstr>v_57_XMEOLO</vt:lpstr>
      <vt:lpstr>v_57_XN_B</vt:lpstr>
      <vt:lpstr>v_57_XN_Be</vt:lpstr>
      <vt:lpstr>v_57_XN_U</vt:lpstr>
      <vt:lpstr>v_57_XNOB</vt:lpstr>
      <vt:lpstr>v_57_XOHO</vt:lpstr>
      <vt:lpstr>v_57_XP_B</vt:lpstr>
      <vt:lpstr>v_57_XP_Be</vt:lpstr>
      <vt:lpstr>v_57_XP_U</vt:lpstr>
      <vt:lpstr>v_57_XPFOA</vt:lpstr>
      <vt:lpstr>v_57_XPFOS</vt:lpstr>
      <vt:lpstr>v_57_XPHA_GAO</vt:lpstr>
      <vt:lpstr>v_57_XPHA_PAO</vt:lpstr>
      <vt:lpstr>v_57_XPP</vt:lpstr>
      <vt:lpstr>v_57_XSTR</vt:lpstr>
      <vt:lpstr>v_57_XU</vt:lpstr>
      <vt:lpstr>v_57_XVivi</vt:lpstr>
      <vt:lpstr>v_58_CB</vt:lpstr>
      <vt:lpstr>v_58_CU</vt:lpstr>
      <vt:lpstr>v_58_GCH4</vt:lpstr>
      <vt:lpstr>v_58_GCH4_atm</vt:lpstr>
      <vt:lpstr>v_58_GCO2</vt:lpstr>
      <vt:lpstr>v_58_GCO2_atm</vt:lpstr>
      <vt:lpstr>v_58_GH2</vt:lpstr>
      <vt:lpstr>v_58_GH2_atm</vt:lpstr>
      <vt:lpstr>v_58_GN2</vt:lpstr>
      <vt:lpstr>v_58_GN2_atm</vt:lpstr>
      <vt:lpstr>v_58_GN2O</vt:lpstr>
      <vt:lpstr>v_58_GN2O_atm</vt:lpstr>
      <vt:lpstr>v_58_GNH3</vt:lpstr>
      <vt:lpstr>v_58_GNH3_atm</vt:lpstr>
      <vt:lpstr>v_58_GNO</vt:lpstr>
      <vt:lpstr>v_58_GNO_atm</vt:lpstr>
      <vt:lpstr>v_58_GO2</vt:lpstr>
      <vt:lpstr>v_58_GO2_atm</vt:lpstr>
      <vt:lpstr>v_58_SALPHA</vt:lpstr>
      <vt:lpstr>v_58_SAN</vt:lpstr>
      <vt:lpstr>v_58_SB</vt:lpstr>
      <vt:lpstr>v_58_SCa</vt:lpstr>
      <vt:lpstr>v_58_SCAT</vt:lpstr>
      <vt:lpstr>v_58_SCH4</vt:lpstr>
      <vt:lpstr>v_58_SCO2</vt:lpstr>
      <vt:lpstr>v_58_SFe2</vt:lpstr>
      <vt:lpstr>v_58_SH</vt:lpstr>
      <vt:lpstr>v_58_SH2</vt:lpstr>
      <vt:lpstr>v_58_SK</vt:lpstr>
      <vt:lpstr>v_58_SMEOL</vt:lpstr>
      <vt:lpstr>v_58_SMg</vt:lpstr>
      <vt:lpstr>v_58_SN_B</vt:lpstr>
      <vt:lpstr>v_58_SN2</vt:lpstr>
      <vt:lpstr>v_58_SN2O</vt:lpstr>
      <vt:lpstr>v_58_SNH2OH</vt:lpstr>
      <vt:lpstr>v_58_SNHx</vt:lpstr>
      <vt:lpstr>v_58_SNO_AOB</vt:lpstr>
      <vt:lpstr>v_58_SNO_OHO</vt:lpstr>
      <vt:lpstr>v_58_SNO2</vt:lpstr>
      <vt:lpstr>v_58_SNO3</vt:lpstr>
      <vt:lpstr>v_58_SO2</vt:lpstr>
      <vt:lpstr>v_58_SORPswitch</vt:lpstr>
      <vt:lpstr>v_58_SP_B</vt:lpstr>
      <vt:lpstr>v_58_SPFOA</vt:lpstr>
      <vt:lpstr>v_58_SPFOS</vt:lpstr>
      <vt:lpstr>v_58_SPO4</vt:lpstr>
      <vt:lpstr>v_58_SU</vt:lpstr>
      <vt:lpstr>v_58_SVFA</vt:lpstr>
      <vt:lpstr>v_58_XACP</vt:lpstr>
      <vt:lpstr>v_58_XALGAE</vt:lpstr>
      <vt:lpstr>v_58_XAMETO</vt:lpstr>
      <vt:lpstr>v_58_XAMX</vt:lpstr>
      <vt:lpstr>v_58_XAOB</vt:lpstr>
      <vt:lpstr>v_58_XB</vt:lpstr>
      <vt:lpstr>v_58_XB_e</vt:lpstr>
      <vt:lpstr>v_58_XBSH</vt:lpstr>
      <vt:lpstr>v_58_XCaCO3</vt:lpstr>
      <vt:lpstr>v_58_XCASTO</vt:lpstr>
      <vt:lpstr>v_58_XE</vt:lpstr>
      <vt:lpstr>v_58_XE_ana</vt:lpstr>
      <vt:lpstr>v_58_XHAO_H</vt:lpstr>
      <vt:lpstr>v_58_XHAO_H_P</vt:lpstr>
      <vt:lpstr>v_58_XHAO_H_P_old</vt:lpstr>
      <vt:lpstr>v_58_XHAO_L</vt:lpstr>
      <vt:lpstr>v_58_XHAO_L_P</vt:lpstr>
      <vt:lpstr>v_58_XHAO_L_P_old</vt:lpstr>
      <vt:lpstr>v_58_XHAO_old</vt:lpstr>
      <vt:lpstr>v_58_XHFO_H</vt:lpstr>
      <vt:lpstr>v_58_XHFO_H_P</vt:lpstr>
      <vt:lpstr>v_58_XHFO_H_P_old</vt:lpstr>
      <vt:lpstr>v_58_XHFO_L</vt:lpstr>
      <vt:lpstr>v_58_XHFO_L_P</vt:lpstr>
      <vt:lpstr>v_58_XHFO_L_P_old</vt:lpstr>
      <vt:lpstr>v_58_XHFO_old</vt:lpstr>
      <vt:lpstr>v_58_XHMETO</vt:lpstr>
      <vt:lpstr>v_58_XINORG</vt:lpstr>
      <vt:lpstr>v_58_XMEOLO</vt:lpstr>
      <vt:lpstr>v_58_XN_B</vt:lpstr>
      <vt:lpstr>v_58_XN_Be</vt:lpstr>
      <vt:lpstr>v_58_XN_U</vt:lpstr>
      <vt:lpstr>v_58_XNOB</vt:lpstr>
      <vt:lpstr>v_58_XOHO</vt:lpstr>
      <vt:lpstr>v_58_XP_B</vt:lpstr>
      <vt:lpstr>v_58_XP_Be</vt:lpstr>
      <vt:lpstr>v_58_XP_U</vt:lpstr>
      <vt:lpstr>v_58_XPFOA</vt:lpstr>
      <vt:lpstr>v_58_XPFOS</vt:lpstr>
      <vt:lpstr>v_58_XPHA_GAO</vt:lpstr>
      <vt:lpstr>v_58_XPHA_PAO</vt:lpstr>
      <vt:lpstr>v_58_XPP</vt:lpstr>
      <vt:lpstr>v_58_XSTR</vt:lpstr>
      <vt:lpstr>v_58_XU</vt:lpstr>
      <vt:lpstr>v_58_XVivi</vt:lpstr>
      <vt:lpstr>v_59_CB</vt:lpstr>
      <vt:lpstr>v_59_CU</vt:lpstr>
      <vt:lpstr>v_59_GCH4</vt:lpstr>
      <vt:lpstr>v_59_GCH4_atm</vt:lpstr>
      <vt:lpstr>v_59_GCO2</vt:lpstr>
      <vt:lpstr>v_59_GCO2_atm</vt:lpstr>
      <vt:lpstr>v_59_GH2</vt:lpstr>
      <vt:lpstr>v_59_GH2_atm</vt:lpstr>
      <vt:lpstr>v_59_GN2</vt:lpstr>
      <vt:lpstr>v_59_GN2_atm</vt:lpstr>
      <vt:lpstr>v_59_GN2O</vt:lpstr>
      <vt:lpstr>v_59_GN2O_atm</vt:lpstr>
      <vt:lpstr>v_59_GNH3</vt:lpstr>
      <vt:lpstr>v_59_GNH3_atm</vt:lpstr>
      <vt:lpstr>v_59_GNO</vt:lpstr>
      <vt:lpstr>v_59_GNO_atm</vt:lpstr>
      <vt:lpstr>v_59_GO2</vt:lpstr>
      <vt:lpstr>v_59_GO2_atm</vt:lpstr>
      <vt:lpstr>v_59_SALPHA</vt:lpstr>
      <vt:lpstr>v_59_SAN</vt:lpstr>
      <vt:lpstr>v_59_SB</vt:lpstr>
      <vt:lpstr>v_59_SCa</vt:lpstr>
      <vt:lpstr>v_59_SCAT</vt:lpstr>
      <vt:lpstr>v_59_SCH4</vt:lpstr>
      <vt:lpstr>v_59_SCO2</vt:lpstr>
      <vt:lpstr>v_59_SFe2</vt:lpstr>
      <vt:lpstr>v_59_SH</vt:lpstr>
      <vt:lpstr>v_59_SH2</vt:lpstr>
      <vt:lpstr>v_59_SK</vt:lpstr>
      <vt:lpstr>v_59_SMEOL</vt:lpstr>
      <vt:lpstr>v_59_SMg</vt:lpstr>
      <vt:lpstr>v_59_SN_B</vt:lpstr>
      <vt:lpstr>v_59_SN2</vt:lpstr>
      <vt:lpstr>v_59_SN2O</vt:lpstr>
      <vt:lpstr>v_59_SNH2OH</vt:lpstr>
      <vt:lpstr>v_59_SNHx</vt:lpstr>
      <vt:lpstr>v_59_SNO_AOB</vt:lpstr>
      <vt:lpstr>v_59_SNO_OHO</vt:lpstr>
      <vt:lpstr>v_59_SNO2</vt:lpstr>
      <vt:lpstr>v_59_SNO3</vt:lpstr>
      <vt:lpstr>v_59_SO2</vt:lpstr>
      <vt:lpstr>v_59_SORPswitch</vt:lpstr>
      <vt:lpstr>v_59_SP_B</vt:lpstr>
      <vt:lpstr>v_59_SPFOA</vt:lpstr>
      <vt:lpstr>v_59_SPFOS</vt:lpstr>
      <vt:lpstr>v_59_SPO4</vt:lpstr>
      <vt:lpstr>v_59_SU</vt:lpstr>
      <vt:lpstr>v_59_SVFA</vt:lpstr>
      <vt:lpstr>v_59_XACP</vt:lpstr>
      <vt:lpstr>v_59_XALGAE</vt:lpstr>
      <vt:lpstr>v_59_XAMETO</vt:lpstr>
      <vt:lpstr>v_59_XAMX</vt:lpstr>
      <vt:lpstr>v_59_XAOB</vt:lpstr>
      <vt:lpstr>v_59_XB</vt:lpstr>
      <vt:lpstr>v_59_XB_e</vt:lpstr>
      <vt:lpstr>v_59_XBSH</vt:lpstr>
      <vt:lpstr>v_59_XCaCO3</vt:lpstr>
      <vt:lpstr>v_59_XCASTO</vt:lpstr>
      <vt:lpstr>v_59_XE</vt:lpstr>
      <vt:lpstr>v_59_XE_ana</vt:lpstr>
      <vt:lpstr>v_59_XHAO_H</vt:lpstr>
      <vt:lpstr>v_59_XHAO_H_P</vt:lpstr>
      <vt:lpstr>v_59_XHAO_H_P_old</vt:lpstr>
      <vt:lpstr>v_59_XHAO_L</vt:lpstr>
      <vt:lpstr>v_59_XHAO_L_P</vt:lpstr>
      <vt:lpstr>v_59_XHAO_L_P_old</vt:lpstr>
      <vt:lpstr>v_59_XHAO_old</vt:lpstr>
      <vt:lpstr>v_59_XHFO_H</vt:lpstr>
      <vt:lpstr>v_59_XHFO_H_P</vt:lpstr>
      <vt:lpstr>v_59_XHFO_H_P_old</vt:lpstr>
      <vt:lpstr>v_59_XHFO_L</vt:lpstr>
      <vt:lpstr>v_59_XHFO_L_P</vt:lpstr>
      <vt:lpstr>v_59_XHFO_L_P_old</vt:lpstr>
      <vt:lpstr>v_59_XHFO_old</vt:lpstr>
      <vt:lpstr>v_59_XHMETO</vt:lpstr>
      <vt:lpstr>v_59_XINORG</vt:lpstr>
      <vt:lpstr>v_59_XMEOLO</vt:lpstr>
      <vt:lpstr>v_59_XN_B</vt:lpstr>
      <vt:lpstr>v_59_XN_Be</vt:lpstr>
      <vt:lpstr>v_59_XN_U</vt:lpstr>
      <vt:lpstr>v_59_XNOB</vt:lpstr>
      <vt:lpstr>v_59_XOHO</vt:lpstr>
      <vt:lpstr>v_59_XP_B</vt:lpstr>
      <vt:lpstr>v_59_XP_Be</vt:lpstr>
      <vt:lpstr>v_59_XP_U</vt:lpstr>
      <vt:lpstr>v_59_XPFOA</vt:lpstr>
      <vt:lpstr>v_59_XPFOS</vt:lpstr>
      <vt:lpstr>v_59_XPHA_GAO</vt:lpstr>
      <vt:lpstr>v_59_XPHA_PAO</vt:lpstr>
      <vt:lpstr>v_59_XPP</vt:lpstr>
      <vt:lpstr>v_59_XSTR</vt:lpstr>
      <vt:lpstr>v_59_XU</vt:lpstr>
      <vt:lpstr>v_59_XVivi</vt:lpstr>
      <vt:lpstr>v_6_CB</vt:lpstr>
      <vt:lpstr>v_6_CU</vt:lpstr>
      <vt:lpstr>v_6_GCH4</vt:lpstr>
      <vt:lpstr>v_6_GCH4_atm</vt:lpstr>
      <vt:lpstr>v_6_GCO2</vt:lpstr>
      <vt:lpstr>v_6_GCO2_atm</vt:lpstr>
      <vt:lpstr>v_6_GH2</vt:lpstr>
      <vt:lpstr>v_6_GH2_atm</vt:lpstr>
      <vt:lpstr>v_6_GN2</vt:lpstr>
      <vt:lpstr>v_6_GN2_atm</vt:lpstr>
      <vt:lpstr>v_6_GN2O</vt:lpstr>
      <vt:lpstr>v_6_GN2O_atm</vt:lpstr>
      <vt:lpstr>v_6_GNH3</vt:lpstr>
      <vt:lpstr>v_6_GNH3_atm</vt:lpstr>
      <vt:lpstr>v_6_GNO</vt:lpstr>
      <vt:lpstr>v_6_GNO_atm</vt:lpstr>
      <vt:lpstr>v_6_GO2</vt:lpstr>
      <vt:lpstr>v_6_GO2_atm</vt:lpstr>
      <vt:lpstr>v_6_SALPHA</vt:lpstr>
      <vt:lpstr>v_6_SAN</vt:lpstr>
      <vt:lpstr>v_6_SB</vt:lpstr>
      <vt:lpstr>v_6_SCa</vt:lpstr>
      <vt:lpstr>v_6_SCAT</vt:lpstr>
      <vt:lpstr>v_6_SCH4</vt:lpstr>
      <vt:lpstr>v_6_SCO2</vt:lpstr>
      <vt:lpstr>v_6_SFe2</vt:lpstr>
      <vt:lpstr>v_6_SH</vt:lpstr>
      <vt:lpstr>v_6_SH2</vt:lpstr>
      <vt:lpstr>v_6_SK</vt:lpstr>
      <vt:lpstr>v_6_SMEOL</vt:lpstr>
      <vt:lpstr>v_6_SMg</vt:lpstr>
      <vt:lpstr>v_6_SN_B</vt:lpstr>
      <vt:lpstr>v_6_SN2</vt:lpstr>
      <vt:lpstr>v_6_SN2O</vt:lpstr>
      <vt:lpstr>v_6_SNH2OH</vt:lpstr>
      <vt:lpstr>v_6_SNHx</vt:lpstr>
      <vt:lpstr>v_6_SNO_AOB</vt:lpstr>
      <vt:lpstr>v_6_SNO_OHO</vt:lpstr>
      <vt:lpstr>v_6_SNO2</vt:lpstr>
      <vt:lpstr>v_6_SNO3</vt:lpstr>
      <vt:lpstr>v_6_SO2</vt:lpstr>
      <vt:lpstr>v_6_SORPswitch</vt:lpstr>
      <vt:lpstr>v_6_SP_B</vt:lpstr>
      <vt:lpstr>v_6_SPFOA</vt:lpstr>
      <vt:lpstr>v_6_SPFOS</vt:lpstr>
      <vt:lpstr>v_6_SPO4</vt:lpstr>
      <vt:lpstr>v_6_SU</vt:lpstr>
      <vt:lpstr>v_6_SVFA</vt:lpstr>
      <vt:lpstr>v_6_XACP</vt:lpstr>
      <vt:lpstr>v_6_XALGAE</vt:lpstr>
      <vt:lpstr>v_6_XAMETO</vt:lpstr>
      <vt:lpstr>v_6_XAMX</vt:lpstr>
      <vt:lpstr>v_6_XAOB</vt:lpstr>
      <vt:lpstr>v_6_XB</vt:lpstr>
      <vt:lpstr>v_6_XB_e</vt:lpstr>
      <vt:lpstr>v_6_XBSH</vt:lpstr>
      <vt:lpstr>v_6_XCaCO3</vt:lpstr>
      <vt:lpstr>v_6_XCASTO</vt:lpstr>
      <vt:lpstr>v_6_XE</vt:lpstr>
      <vt:lpstr>v_6_XE_ana</vt:lpstr>
      <vt:lpstr>v_6_XHAO_H</vt:lpstr>
      <vt:lpstr>v_6_XHAO_H_P</vt:lpstr>
      <vt:lpstr>v_6_XHAO_H_P_old</vt:lpstr>
      <vt:lpstr>v_6_XHAO_L</vt:lpstr>
      <vt:lpstr>v_6_XHAO_L_P</vt:lpstr>
      <vt:lpstr>v_6_XHAO_L_P_old</vt:lpstr>
      <vt:lpstr>v_6_XHAO_old</vt:lpstr>
      <vt:lpstr>v_6_XHFO_H</vt:lpstr>
      <vt:lpstr>v_6_XHFO_H_P</vt:lpstr>
      <vt:lpstr>v_6_XHFO_H_P_old</vt:lpstr>
      <vt:lpstr>v_6_XHFO_L</vt:lpstr>
      <vt:lpstr>v_6_XHFO_L_P</vt:lpstr>
      <vt:lpstr>v_6_XHFO_L_P_old</vt:lpstr>
      <vt:lpstr>v_6_XHFO_old</vt:lpstr>
      <vt:lpstr>v_6_XHMETO</vt:lpstr>
      <vt:lpstr>v_6_XINORG</vt:lpstr>
      <vt:lpstr>v_6_XMEOLO</vt:lpstr>
      <vt:lpstr>v_6_XN_B</vt:lpstr>
      <vt:lpstr>v_6_XN_Be</vt:lpstr>
      <vt:lpstr>v_6_XN_U</vt:lpstr>
      <vt:lpstr>v_6_XNOB</vt:lpstr>
      <vt:lpstr>v_6_XOHO</vt:lpstr>
      <vt:lpstr>v_6_XP_B</vt:lpstr>
      <vt:lpstr>v_6_XP_Be</vt:lpstr>
      <vt:lpstr>v_6_XP_U</vt:lpstr>
      <vt:lpstr>v_6_XPFOA</vt:lpstr>
      <vt:lpstr>v_6_XPFOS</vt:lpstr>
      <vt:lpstr>v_6_XPHA_GAO</vt:lpstr>
      <vt:lpstr>v_6_XPHA_PAO</vt:lpstr>
      <vt:lpstr>v_6_XPP</vt:lpstr>
      <vt:lpstr>v_6_XSTR</vt:lpstr>
      <vt:lpstr>v_6_XU</vt:lpstr>
      <vt:lpstr>v_6_XVivi</vt:lpstr>
      <vt:lpstr>v_60_CB</vt:lpstr>
      <vt:lpstr>v_60_CU</vt:lpstr>
      <vt:lpstr>v_60_GCH4</vt:lpstr>
      <vt:lpstr>v_60_GCH4_atm</vt:lpstr>
      <vt:lpstr>v_60_GCO2</vt:lpstr>
      <vt:lpstr>v_60_GCO2_atm</vt:lpstr>
      <vt:lpstr>v_60_GH2</vt:lpstr>
      <vt:lpstr>v_60_GH2_atm</vt:lpstr>
      <vt:lpstr>v_60_GN2</vt:lpstr>
      <vt:lpstr>v_60_GN2_atm</vt:lpstr>
      <vt:lpstr>v_60_GN2O</vt:lpstr>
      <vt:lpstr>v_60_GN2O_atm</vt:lpstr>
      <vt:lpstr>v_60_GNH3</vt:lpstr>
      <vt:lpstr>v_60_GNH3_atm</vt:lpstr>
      <vt:lpstr>v_60_GNO</vt:lpstr>
      <vt:lpstr>v_60_GNO_atm</vt:lpstr>
      <vt:lpstr>v_60_GO2</vt:lpstr>
      <vt:lpstr>v_60_GO2_atm</vt:lpstr>
      <vt:lpstr>v_60_SALPHA</vt:lpstr>
      <vt:lpstr>v_60_SAN</vt:lpstr>
      <vt:lpstr>v_60_SB</vt:lpstr>
      <vt:lpstr>v_60_SCa</vt:lpstr>
      <vt:lpstr>v_60_SCAT</vt:lpstr>
      <vt:lpstr>v_60_SCH4</vt:lpstr>
      <vt:lpstr>v_60_SCO2</vt:lpstr>
      <vt:lpstr>v_60_SFe2</vt:lpstr>
      <vt:lpstr>v_60_SH</vt:lpstr>
      <vt:lpstr>v_60_SH2</vt:lpstr>
      <vt:lpstr>v_60_SK</vt:lpstr>
      <vt:lpstr>v_60_SMEOL</vt:lpstr>
      <vt:lpstr>v_60_SMg</vt:lpstr>
      <vt:lpstr>v_60_SN_B</vt:lpstr>
      <vt:lpstr>v_60_SN2</vt:lpstr>
      <vt:lpstr>v_60_SN2O</vt:lpstr>
      <vt:lpstr>v_60_SNH2OH</vt:lpstr>
      <vt:lpstr>v_60_SNHx</vt:lpstr>
      <vt:lpstr>v_60_SNO_AOB</vt:lpstr>
      <vt:lpstr>v_60_SNO_OHO</vt:lpstr>
      <vt:lpstr>v_60_SNO2</vt:lpstr>
      <vt:lpstr>v_60_SNO3</vt:lpstr>
      <vt:lpstr>v_60_SO2</vt:lpstr>
      <vt:lpstr>v_60_SORPswitch</vt:lpstr>
      <vt:lpstr>v_60_SP_B</vt:lpstr>
      <vt:lpstr>v_60_SPFOA</vt:lpstr>
      <vt:lpstr>v_60_SPFOS</vt:lpstr>
      <vt:lpstr>v_60_SPO4</vt:lpstr>
      <vt:lpstr>v_60_SU</vt:lpstr>
      <vt:lpstr>v_60_SVFA</vt:lpstr>
      <vt:lpstr>v_60_XACP</vt:lpstr>
      <vt:lpstr>v_60_XALGAE</vt:lpstr>
      <vt:lpstr>v_60_XAMETO</vt:lpstr>
      <vt:lpstr>v_60_XAMX</vt:lpstr>
      <vt:lpstr>v_60_XAOB</vt:lpstr>
      <vt:lpstr>v_60_XB</vt:lpstr>
      <vt:lpstr>v_60_XB_e</vt:lpstr>
      <vt:lpstr>v_60_XBSH</vt:lpstr>
      <vt:lpstr>v_60_XCaCO3</vt:lpstr>
      <vt:lpstr>v_60_XCASTO</vt:lpstr>
      <vt:lpstr>v_60_XE</vt:lpstr>
      <vt:lpstr>v_60_XE_ana</vt:lpstr>
      <vt:lpstr>v_60_XHAO_H</vt:lpstr>
      <vt:lpstr>v_60_XHAO_H_P</vt:lpstr>
      <vt:lpstr>v_60_XHAO_H_P_old</vt:lpstr>
      <vt:lpstr>v_60_XHAO_L</vt:lpstr>
      <vt:lpstr>v_60_XHAO_L_P</vt:lpstr>
      <vt:lpstr>v_60_XHAO_L_P_old</vt:lpstr>
      <vt:lpstr>v_60_XHAO_old</vt:lpstr>
      <vt:lpstr>v_60_XHFO_H</vt:lpstr>
      <vt:lpstr>v_60_XHFO_H_P</vt:lpstr>
      <vt:lpstr>v_60_XHFO_H_P_old</vt:lpstr>
      <vt:lpstr>v_60_XHFO_L</vt:lpstr>
      <vt:lpstr>v_60_XHFO_L_P</vt:lpstr>
      <vt:lpstr>v_60_XHFO_L_P_old</vt:lpstr>
      <vt:lpstr>v_60_XHFO_old</vt:lpstr>
      <vt:lpstr>v_60_XHMETO</vt:lpstr>
      <vt:lpstr>v_60_XINORG</vt:lpstr>
      <vt:lpstr>v_60_XMEOLO</vt:lpstr>
      <vt:lpstr>v_60_XN_B</vt:lpstr>
      <vt:lpstr>v_60_XN_Be</vt:lpstr>
      <vt:lpstr>v_60_XN_U</vt:lpstr>
      <vt:lpstr>v_60_XNOB</vt:lpstr>
      <vt:lpstr>v_60_XOHO</vt:lpstr>
      <vt:lpstr>v_60_XP_B</vt:lpstr>
      <vt:lpstr>v_60_XP_Be</vt:lpstr>
      <vt:lpstr>v_60_XP_U</vt:lpstr>
      <vt:lpstr>v_60_XPFOA</vt:lpstr>
      <vt:lpstr>v_60_XPFOS</vt:lpstr>
      <vt:lpstr>v_60_XPHA_GAO</vt:lpstr>
      <vt:lpstr>v_60_XPHA_PAO</vt:lpstr>
      <vt:lpstr>v_60_XPP</vt:lpstr>
      <vt:lpstr>v_60_XSTR</vt:lpstr>
      <vt:lpstr>v_60_XU</vt:lpstr>
      <vt:lpstr>v_60_XVivi</vt:lpstr>
      <vt:lpstr>v_61_CB</vt:lpstr>
      <vt:lpstr>v_61_CU</vt:lpstr>
      <vt:lpstr>v_61_GCH4</vt:lpstr>
      <vt:lpstr>v_61_GCH4_atm</vt:lpstr>
      <vt:lpstr>v_61_GCO2</vt:lpstr>
      <vt:lpstr>v_61_GCO2_atm</vt:lpstr>
      <vt:lpstr>v_61_GH2</vt:lpstr>
      <vt:lpstr>v_61_GH2_atm</vt:lpstr>
      <vt:lpstr>v_61_GN2</vt:lpstr>
      <vt:lpstr>v_61_GN2_atm</vt:lpstr>
      <vt:lpstr>v_61_GN2O</vt:lpstr>
      <vt:lpstr>v_61_GN2O_atm</vt:lpstr>
      <vt:lpstr>v_61_GNH3</vt:lpstr>
      <vt:lpstr>v_61_GNH3_atm</vt:lpstr>
      <vt:lpstr>v_61_GNO</vt:lpstr>
      <vt:lpstr>v_61_GNO_atm</vt:lpstr>
      <vt:lpstr>v_61_GO2</vt:lpstr>
      <vt:lpstr>v_61_GO2_atm</vt:lpstr>
      <vt:lpstr>v_61_SALPHA</vt:lpstr>
      <vt:lpstr>v_61_SAN</vt:lpstr>
      <vt:lpstr>v_61_SB</vt:lpstr>
      <vt:lpstr>v_61_SCa</vt:lpstr>
      <vt:lpstr>v_61_SCAT</vt:lpstr>
      <vt:lpstr>v_61_SCH4</vt:lpstr>
      <vt:lpstr>v_61_SCO2</vt:lpstr>
      <vt:lpstr>v_61_SFe2</vt:lpstr>
      <vt:lpstr>v_61_SH</vt:lpstr>
      <vt:lpstr>v_61_SH2</vt:lpstr>
      <vt:lpstr>v_61_SK</vt:lpstr>
      <vt:lpstr>v_61_SMEOL</vt:lpstr>
      <vt:lpstr>v_61_SMg</vt:lpstr>
      <vt:lpstr>v_61_SN_B</vt:lpstr>
      <vt:lpstr>v_61_SN2</vt:lpstr>
      <vt:lpstr>v_61_SN2O</vt:lpstr>
      <vt:lpstr>v_61_SNH2OH</vt:lpstr>
      <vt:lpstr>v_61_SNHx</vt:lpstr>
      <vt:lpstr>v_61_SNO_AOB</vt:lpstr>
      <vt:lpstr>v_61_SNO_OHO</vt:lpstr>
      <vt:lpstr>v_61_SNO2</vt:lpstr>
      <vt:lpstr>v_61_SNO3</vt:lpstr>
      <vt:lpstr>v_61_SO2</vt:lpstr>
      <vt:lpstr>v_61_SORPswitch</vt:lpstr>
      <vt:lpstr>v_61_SP_B</vt:lpstr>
      <vt:lpstr>v_61_SPFOA</vt:lpstr>
      <vt:lpstr>v_61_SPFOS</vt:lpstr>
      <vt:lpstr>v_61_SPO4</vt:lpstr>
      <vt:lpstr>v_61_SU</vt:lpstr>
      <vt:lpstr>v_61_SVFA</vt:lpstr>
      <vt:lpstr>v_61_XACP</vt:lpstr>
      <vt:lpstr>v_61_XALGAE</vt:lpstr>
      <vt:lpstr>v_61_XAMETO</vt:lpstr>
      <vt:lpstr>v_61_XAMX</vt:lpstr>
      <vt:lpstr>v_61_XAOB</vt:lpstr>
      <vt:lpstr>v_61_XB</vt:lpstr>
      <vt:lpstr>v_61_XB_e</vt:lpstr>
      <vt:lpstr>v_61_XBSH</vt:lpstr>
      <vt:lpstr>v_61_XCaCO3</vt:lpstr>
      <vt:lpstr>v_61_XCASTO</vt:lpstr>
      <vt:lpstr>v_61_XE</vt:lpstr>
      <vt:lpstr>v_61_XE_ana</vt:lpstr>
      <vt:lpstr>v_61_XHAO_H</vt:lpstr>
      <vt:lpstr>v_61_XHAO_H_P</vt:lpstr>
      <vt:lpstr>v_61_XHAO_H_P_old</vt:lpstr>
      <vt:lpstr>v_61_XHAO_L</vt:lpstr>
      <vt:lpstr>v_61_XHAO_L_P</vt:lpstr>
      <vt:lpstr>v_61_XHAO_L_P_old</vt:lpstr>
      <vt:lpstr>v_61_XHAO_old</vt:lpstr>
      <vt:lpstr>v_61_XHFO_H</vt:lpstr>
      <vt:lpstr>v_61_XHFO_H_P</vt:lpstr>
      <vt:lpstr>v_61_XHFO_H_P_old</vt:lpstr>
      <vt:lpstr>v_61_XHFO_L</vt:lpstr>
      <vt:lpstr>v_61_XHFO_L_P</vt:lpstr>
      <vt:lpstr>v_61_XHFO_L_P_old</vt:lpstr>
      <vt:lpstr>v_61_XHFO_old</vt:lpstr>
      <vt:lpstr>v_61_XHMETO</vt:lpstr>
      <vt:lpstr>v_61_XINORG</vt:lpstr>
      <vt:lpstr>v_61_XMEOLO</vt:lpstr>
      <vt:lpstr>v_61_XN_B</vt:lpstr>
      <vt:lpstr>v_61_XN_Be</vt:lpstr>
      <vt:lpstr>v_61_XN_U</vt:lpstr>
      <vt:lpstr>v_61_XNOB</vt:lpstr>
      <vt:lpstr>v_61_XOHO</vt:lpstr>
      <vt:lpstr>v_61_XP_B</vt:lpstr>
      <vt:lpstr>v_61_XP_Be</vt:lpstr>
      <vt:lpstr>v_61_XP_U</vt:lpstr>
      <vt:lpstr>v_61_XPFOA</vt:lpstr>
      <vt:lpstr>v_61_XPFOS</vt:lpstr>
      <vt:lpstr>v_61_XPHA_GAO</vt:lpstr>
      <vt:lpstr>v_61_XPHA_PAO</vt:lpstr>
      <vt:lpstr>v_61_XPP</vt:lpstr>
      <vt:lpstr>v_61_XSTR</vt:lpstr>
      <vt:lpstr>v_61_XU</vt:lpstr>
      <vt:lpstr>v_61_XVivi</vt:lpstr>
      <vt:lpstr>v_62_CB</vt:lpstr>
      <vt:lpstr>v_62_CU</vt:lpstr>
      <vt:lpstr>v_62_GCH4</vt:lpstr>
      <vt:lpstr>v_62_GCH4_atm</vt:lpstr>
      <vt:lpstr>v_62_GCO2</vt:lpstr>
      <vt:lpstr>v_62_GCO2_atm</vt:lpstr>
      <vt:lpstr>v_62_GH2</vt:lpstr>
      <vt:lpstr>v_62_GH2_atm</vt:lpstr>
      <vt:lpstr>v_62_GN2</vt:lpstr>
      <vt:lpstr>v_62_GN2_atm</vt:lpstr>
      <vt:lpstr>v_62_GN2O</vt:lpstr>
      <vt:lpstr>v_62_GN2O_atm</vt:lpstr>
      <vt:lpstr>v_62_GNH3</vt:lpstr>
      <vt:lpstr>v_62_GNH3_atm</vt:lpstr>
      <vt:lpstr>v_62_GNO</vt:lpstr>
      <vt:lpstr>v_62_GNO_atm</vt:lpstr>
      <vt:lpstr>v_62_GO2</vt:lpstr>
      <vt:lpstr>v_62_GO2_atm</vt:lpstr>
      <vt:lpstr>v_62_SALPHA</vt:lpstr>
      <vt:lpstr>v_62_SAN</vt:lpstr>
      <vt:lpstr>v_62_SB</vt:lpstr>
      <vt:lpstr>v_62_SCa</vt:lpstr>
      <vt:lpstr>v_62_SCAT</vt:lpstr>
      <vt:lpstr>v_62_SCH4</vt:lpstr>
      <vt:lpstr>v_62_SCO2</vt:lpstr>
      <vt:lpstr>v_62_SFe2</vt:lpstr>
      <vt:lpstr>v_62_SH</vt:lpstr>
      <vt:lpstr>v_62_SH2</vt:lpstr>
      <vt:lpstr>v_62_SK</vt:lpstr>
      <vt:lpstr>v_62_SMEOL</vt:lpstr>
      <vt:lpstr>v_62_SMg</vt:lpstr>
      <vt:lpstr>v_62_SN_B</vt:lpstr>
      <vt:lpstr>v_62_SN2</vt:lpstr>
      <vt:lpstr>v_62_SN2O</vt:lpstr>
      <vt:lpstr>v_62_SNH2OH</vt:lpstr>
      <vt:lpstr>v_62_SNHx</vt:lpstr>
      <vt:lpstr>v_62_SNO_AOB</vt:lpstr>
      <vt:lpstr>v_62_SNO_OHO</vt:lpstr>
      <vt:lpstr>v_62_SNO2</vt:lpstr>
      <vt:lpstr>v_62_SNO3</vt:lpstr>
      <vt:lpstr>v_62_SO2</vt:lpstr>
      <vt:lpstr>v_62_SORPswitch</vt:lpstr>
      <vt:lpstr>v_62_SP_B</vt:lpstr>
      <vt:lpstr>v_62_SPFOA</vt:lpstr>
      <vt:lpstr>v_62_SPFOS</vt:lpstr>
      <vt:lpstr>v_62_SPO4</vt:lpstr>
      <vt:lpstr>v_62_SU</vt:lpstr>
      <vt:lpstr>v_62_SVFA</vt:lpstr>
      <vt:lpstr>v_62_XACP</vt:lpstr>
      <vt:lpstr>v_62_XALGAE</vt:lpstr>
      <vt:lpstr>v_62_XAMETO</vt:lpstr>
      <vt:lpstr>v_62_XAMX</vt:lpstr>
      <vt:lpstr>v_62_XAOB</vt:lpstr>
      <vt:lpstr>v_62_XB</vt:lpstr>
      <vt:lpstr>v_62_XB_e</vt:lpstr>
      <vt:lpstr>v_62_XBSH</vt:lpstr>
      <vt:lpstr>v_62_XCaCO3</vt:lpstr>
      <vt:lpstr>v_62_XCASTO</vt:lpstr>
      <vt:lpstr>v_62_XE</vt:lpstr>
      <vt:lpstr>v_62_XE_ana</vt:lpstr>
      <vt:lpstr>v_62_XHAO_H</vt:lpstr>
      <vt:lpstr>v_62_XHAO_H_P</vt:lpstr>
      <vt:lpstr>v_62_XHAO_H_P_old</vt:lpstr>
      <vt:lpstr>v_62_XHAO_L</vt:lpstr>
      <vt:lpstr>v_62_XHAO_L_P</vt:lpstr>
      <vt:lpstr>v_62_XHAO_L_P_old</vt:lpstr>
      <vt:lpstr>v_62_XHAO_old</vt:lpstr>
      <vt:lpstr>v_62_XHFO_H</vt:lpstr>
      <vt:lpstr>v_62_XHFO_H_P</vt:lpstr>
      <vt:lpstr>v_62_XHFO_H_P_old</vt:lpstr>
      <vt:lpstr>v_62_XHFO_L</vt:lpstr>
      <vt:lpstr>v_62_XHFO_L_P</vt:lpstr>
      <vt:lpstr>v_62_XHFO_L_P_old</vt:lpstr>
      <vt:lpstr>v_62_XHFO_old</vt:lpstr>
      <vt:lpstr>v_62_XHMETO</vt:lpstr>
      <vt:lpstr>v_62_XINORG</vt:lpstr>
      <vt:lpstr>v_62_XMEOLO</vt:lpstr>
      <vt:lpstr>v_62_XN_B</vt:lpstr>
      <vt:lpstr>v_62_XN_Be</vt:lpstr>
      <vt:lpstr>v_62_XN_U</vt:lpstr>
      <vt:lpstr>v_62_XNOB</vt:lpstr>
      <vt:lpstr>v_62_XOHO</vt:lpstr>
      <vt:lpstr>v_62_XP_B</vt:lpstr>
      <vt:lpstr>v_62_XP_Be</vt:lpstr>
      <vt:lpstr>v_62_XP_U</vt:lpstr>
      <vt:lpstr>v_62_XPFOA</vt:lpstr>
      <vt:lpstr>v_62_XPFOS</vt:lpstr>
      <vt:lpstr>v_62_XPHA_GAO</vt:lpstr>
      <vt:lpstr>v_62_XPHA_PAO</vt:lpstr>
      <vt:lpstr>v_62_XPP</vt:lpstr>
      <vt:lpstr>v_62_XSTR</vt:lpstr>
      <vt:lpstr>v_62_XU</vt:lpstr>
      <vt:lpstr>v_62_XVivi</vt:lpstr>
      <vt:lpstr>v_63_CB</vt:lpstr>
      <vt:lpstr>v_63_CU</vt:lpstr>
      <vt:lpstr>v_63_GCH4</vt:lpstr>
      <vt:lpstr>v_63_GCH4_atm</vt:lpstr>
      <vt:lpstr>v_63_GCO2</vt:lpstr>
      <vt:lpstr>v_63_GCO2_atm</vt:lpstr>
      <vt:lpstr>v_63_GH2</vt:lpstr>
      <vt:lpstr>v_63_GH2_atm</vt:lpstr>
      <vt:lpstr>v_63_GN2</vt:lpstr>
      <vt:lpstr>v_63_GN2_atm</vt:lpstr>
      <vt:lpstr>v_63_GN2O</vt:lpstr>
      <vt:lpstr>v_63_GN2O_atm</vt:lpstr>
      <vt:lpstr>v_63_GNH3</vt:lpstr>
      <vt:lpstr>v_63_GNH3_atm</vt:lpstr>
      <vt:lpstr>v_63_GNO</vt:lpstr>
      <vt:lpstr>v_63_GNO_atm</vt:lpstr>
      <vt:lpstr>v_63_GO2</vt:lpstr>
      <vt:lpstr>v_63_GO2_atm</vt:lpstr>
      <vt:lpstr>v_63_SALPHA</vt:lpstr>
      <vt:lpstr>v_63_SAN</vt:lpstr>
      <vt:lpstr>v_63_SB</vt:lpstr>
      <vt:lpstr>v_63_SCa</vt:lpstr>
      <vt:lpstr>v_63_SCAT</vt:lpstr>
      <vt:lpstr>v_63_SCH4</vt:lpstr>
      <vt:lpstr>v_63_SCO2</vt:lpstr>
      <vt:lpstr>v_63_SFe2</vt:lpstr>
      <vt:lpstr>v_63_SH</vt:lpstr>
      <vt:lpstr>v_63_SH2</vt:lpstr>
      <vt:lpstr>v_63_SK</vt:lpstr>
      <vt:lpstr>v_63_SMEOL</vt:lpstr>
      <vt:lpstr>v_63_SMg</vt:lpstr>
      <vt:lpstr>v_63_SN_B</vt:lpstr>
      <vt:lpstr>v_63_SN2</vt:lpstr>
      <vt:lpstr>v_63_SN2O</vt:lpstr>
      <vt:lpstr>v_63_SNH2OH</vt:lpstr>
      <vt:lpstr>v_63_SNHx</vt:lpstr>
      <vt:lpstr>v_63_SNO_AOB</vt:lpstr>
      <vt:lpstr>v_63_SNO_OHO</vt:lpstr>
      <vt:lpstr>v_63_SNO2</vt:lpstr>
      <vt:lpstr>v_63_SNO3</vt:lpstr>
      <vt:lpstr>v_63_SO2</vt:lpstr>
      <vt:lpstr>v_63_SORPswitch</vt:lpstr>
      <vt:lpstr>v_63_SP_B</vt:lpstr>
      <vt:lpstr>v_63_SPFOA</vt:lpstr>
      <vt:lpstr>v_63_SPFOS</vt:lpstr>
      <vt:lpstr>v_63_SPO4</vt:lpstr>
      <vt:lpstr>v_63_SU</vt:lpstr>
      <vt:lpstr>v_63_SVFA</vt:lpstr>
      <vt:lpstr>v_63_XACP</vt:lpstr>
      <vt:lpstr>v_63_XALGAE</vt:lpstr>
      <vt:lpstr>v_63_XAMETO</vt:lpstr>
      <vt:lpstr>v_63_XAMX</vt:lpstr>
      <vt:lpstr>v_63_XAOB</vt:lpstr>
      <vt:lpstr>v_63_XB</vt:lpstr>
      <vt:lpstr>v_63_XB_e</vt:lpstr>
      <vt:lpstr>v_63_XBSH</vt:lpstr>
      <vt:lpstr>v_63_XCaCO3</vt:lpstr>
      <vt:lpstr>v_63_XCASTO</vt:lpstr>
      <vt:lpstr>v_63_XE</vt:lpstr>
      <vt:lpstr>v_63_XE_ana</vt:lpstr>
      <vt:lpstr>v_63_XHAO_H</vt:lpstr>
      <vt:lpstr>v_63_XHAO_H_P</vt:lpstr>
      <vt:lpstr>v_63_XHAO_H_P_old</vt:lpstr>
      <vt:lpstr>v_63_XHAO_L</vt:lpstr>
      <vt:lpstr>v_63_XHAO_L_P</vt:lpstr>
      <vt:lpstr>v_63_XHAO_L_P_old</vt:lpstr>
      <vt:lpstr>v_63_XHAO_old</vt:lpstr>
      <vt:lpstr>v_63_XHFO_H</vt:lpstr>
      <vt:lpstr>v_63_XHFO_H_P</vt:lpstr>
      <vt:lpstr>v_63_XHFO_H_P_old</vt:lpstr>
      <vt:lpstr>v_63_XHFO_L</vt:lpstr>
      <vt:lpstr>v_63_XHFO_L_P</vt:lpstr>
      <vt:lpstr>v_63_XHFO_L_P_old</vt:lpstr>
      <vt:lpstr>v_63_XHFO_old</vt:lpstr>
      <vt:lpstr>v_63_XHMETO</vt:lpstr>
      <vt:lpstr>v_63_XINORG</vt:lpstr>
      <vt:lpstr>v_63_XMEOLO</vt:lpstr>
      <vt:lpstr>v_63_XN_B</vt:lpstr>
      <vt:lpstr>v_63_XN_Be</vt:lpstr>
      <vt:lpstr>v_63_XN_U</vt:lpstr>
      <vt:lpstr>v_63_XNOB</vt:lpstr>
      <vt:lpstr>v_63_XOHO</vt:lpstr>
      <vt:lpstr>v_63_XP_B</vt:lpstr>
      <vt:lpstr>v_63_XP_Be</vt:lpstr>
      <vt:lpstr>v_63_XP_U</vt:lpstr>
      <vt:lpstr>v_63_XPFOA</vt:lpstr>
      <vt:lpstr>v_63_XPFOS</vt:lpstr>
      <vt:lpstr>v_63_XPHA_GAO</vt:lpstr>
      <vt:lpstr>v_63_XPHA_PAO</vt:lpstr>
      <vt:lpstr>v_63_XPP</vt:lpstr>
      <vt:lpstr>v_63_XSTR</vt:lpstr>
      <vt:lpstr>v_63_XU</vt:lpstr>
      <vt:lpstr>v_63_XVivi</vt:lpstr>
      <vt:lpstr>v_64_CB</vt:lpstr>
      <vt:lpstr>v_64_CU</vt:lpstr>
      <vt:lpstr>v_64_GCH4</vt:lpstr>
      <vt:lpstr>v_64_GCH4_atm</vt:lpstr>
      <vt:lpstr>v_64_GCO2</vt:lpstr>
      <vt:lpstr>v_64_GCO2_atm</vt:lpstr>
      <vt:lpstr>v_64_GH2</vt:lpstr>
      <vt:lpstr>v_64_GH2_atm</vt:lpstr>
      <vt:lpstr>v_64_GN2</vt:lpstr>
      <vt:lpstr>v_64_GN2_atm</vt:lpstr>
      <vt:lpstr>v_64_GN2O</vt:lpstr>
      <vt:lpstr>v_64_GN2O_atm</vt:lpstr>
      <vt:lpstr>v_64_GNH3</vt:lpstr>
      <vt:lpstr>v_64_GNH3_atm</vt:lpstr>
      <vt:lpstr>v_64_GNO</vt:lpstr>
      <vt:lpstr>v_64_GNO_atm</vt:lpstr>
      <vt:lpstr>v_64_GO2</vt:lpstr>
      <vt:lpstr>v_64_GO2_atm</vt:lpstr>
      <vt:lpstr>v_64_SALPHA</vt:lpstr>
      <vt:lpstr>v_64_SAN</vt:lpstr>
      <vt:lpstr>v_64_SB</vt:lpstr>
      <vt:lpstr>v_64_SCa</vt:lpstr>
      <vt:lpstr>v_64_SCAT</vt:lpstr>
      <vt:lpstr>v_64_SCH4</vt:lpstr>
      <vt:lpstr>v_64_SCO2</vt:lpstr>
      <vt:lpstr>v_64_SFe2</vt:lpstr>
      <vt:lpstr>v_64_SH</vt:lpstr>
      <vt:lpstr>v_64_SH2</vt:lpstr>
      <vt:lpstr>v_64_SK</vt:lpstr>
      <vt:lpstr>v_64_SMEOL</vt:lpstr>
      <vt:lpstr>v_64_SMg</vt:lpstr>
      <vt:lpstr>v_64_SN_B</vt:lpstr>
      <vt:lpstr>v_64_SN2</vt:lpstr>
      <vt:lpstr>v_64_SN2O</vt:lpstr>
      <vt:lpstr>v_64_SNH2OH</vt:lpstr>
      <vt:lpstr>v_64_SNHx</vt:lpstr>
      <vt:lpstr>v_64_SNO_AOB</vt:lpstr>
      <vt:lpstr>v_64_SNO_OHO</vt:lpstr>
      <vt:lpstr>v_64_SNO2</vt:lpstr>
      <vt:lpstr>v_64_SNO3</vt:lpstr>
      <vt:lpstr>v_64_SO2</vt:lpstr>
      <vt:lpstr>v_64_SORPswitch</vt:lpstr>
      <vt:lpstr>v_64_SP_B</vt:lpstr>
      <vt:lpstr>v_64_SPFOA</vt:lpstr>
      <vt:lpstr>v_64_SPFOS</vt:lpstr>
      <vt:lpstr>v_64_SPO4</vt:lpstr>
      <vt:lpstr>v_64_SU</vt:lpstr>
      <vt:lpstr>v_64_SVFA</vt:lpstr>
      <vt:lpstr>v_64_XACP</vt:lpstr>
      <vt:lpstr>v_64_XALGAE</vt:lpstr>
      <vt:lpstr>v_64_XAMETO</vt:lpstr>
      <vt:lpstr>v_64_XAMX</vt:lpstr>
      <vt:lpstr>v_64_XAOB</vt:lpstr>
      <vt:lpstr>v_64_XB</vt:lpstr>
      <vt:lpstr>v_64_XB_e</vt:lpstr>
      <vt:lpstr>v_64_XBSH</vt:lpstr>
      <vt:lpstr>v_64_XCaCO3</vt:lpstr>
      <vt:lpstr>v_64_XCASTO</vt:lpstr>
      <vt:lpstr>v_64_XE</vt:lpstr>
      <vt:lpstr>v_64_XE_ana</vt:lpstr>
      <vt:lpstr>v_64_XHAO_H</vt:lpstr>
      <vt:lpstr>v_64_XHAO_H_P</vt:lpstr>
      <vt:lpstr>v_64_XHAO_H_P_old</vt:lpstr>
      <vt:lpstr>v_64_XHAO_L</vt:lpstr>
      <vt:lpstr>v_64_XHAO_L_P</vt:lpstr>
      <vt:lpstr>v_64_XHAO_L_P_old</vt:lpstr>
      <vt:lpstr>v_64_XHAO_old</vt:lpstr>
      <vt:lpstr>v_64_XHFO_H</vt:lpstr>
      <vt:lpstr>v_64_XHFO_H_P</vt:lpstr>
      <vt:lpstr>v_64_XHFO_H_P_old</vt:lpstr>
      <vt:lpstr>v_64_XHFO_L</vt:lpstr>
      <vt:lpstr>v_64_XHFO_L_P</vt:lpstr>
      <vt:lpstr>v_64_XHFO_L_P_old</vt:lpstr>
      <vt:lpstr>v_64_XHFO_old</vt:lpstr>
      <vt:lpstr>v_64_XHMETO</vt:lpstr>
      <vt:lpstr>v_64_XINORG</vt:lpstr>
      <vt:lpstr>v_64_XMEOLO</vt:lpstr>
      <vt:lpstr>v_64_XN_B</vt:lpstr>
      <vt:lpstr>v_64_XN_Be</vt:lpstr>
      <vt:lpstr>v_64_XN_U</vt:lpstr>
      <vt:lpstr>v_64_XNOB</vt:lpstr>
      <vt:lpstr>v_64_XOHO</vt:lpstr>
      <vt:lpstr>v_64_XP_B</vt:lpstr>
      <vt:lpstr>v_64_XP_Be</vt:lpstr>
      <vt:lpstr>v_64_XP_U</vt:lpstr>
      <vt:lpstr>v_64_XPFOA</vt:lpstr>
      <vt:lpstr>v_64_XPFOS</vt:lpstr>
      <vt:lpstr>v_64_XPHA_GAO</vt:lpstr>
      <vt:lpstr>v_64_XPHA_PAO</vt:lpstr>
      <vt:lpstr>v_64_XPP</vt:lpstr>
      <vt:lpstr>v_64_XSTR</vt:lpstr>
      <vt:lpstr>v_64_XU</vt:lpstr>
      <vt:lpstr>v_64_XVivi</vt:lpstr>
      <vt:lpstr>v_65_CB</vt:lpstr>
      <vt:lpstr>v_65_CU</vt:lpstr>
      <vt:lpstr>v_65_GCH4</vt:lpstr>
      <vt:lpstr>v_65_GCH4_atm</vt:lpstr>
      <vt:lpstr>v_65_GCO2</vt:lpstr>
      <vt:lpstr>v_65_GCO2_atm</vt:lpstr>
      <vt:lpstr>v_65_GH2</vt:lpstr>
      <vt:lpstr>v_65_GH2_atm</vt:lpstr>
      <vt:lpstr>v_65_GN2</vt:lpstr>
      <vt:lpstr>v_65_GN2_atm</vt:lpstr>
      <vt:lpstr>v_65_GN2O</vt:lpstr>
      <vt:lpstr>v_65_GN2O_atm</vt:lpstr>
      <vt:lpstr>v_65_GNH3</vt:lpstr>
      <vt:lpstr>v_65_GNH3_atm</vt:lpstr>
      <vt:lpstr>v_65_GNO</vt:lpstr>
      <vt:lpstr>v_65_GNO_atm</vt:lpstr>
      <vt:lpstr>v_65_GO2</vt:lpstr>
      <vt:lpstr>v_65_GO2_atm</vt:lpstr>
      <vt:lpstr>v_65_SALPHA</vt:lpstr>
      <vt:lpstr>v_65_SAN</vt:lpstr>
      <vt:lpstr>v_65_SB</vt:lpstr>
      <vt:lpstr>v_65_SCa</vt:lpstr>
      <vt:lpstr>v_65_SCAT</vt:lpstr>
      <vt:lpstr>v_65_SCH4</vt:lpstr>
      <vt:lpstr>v_65_SCO2</vt:lpstr>
      <vt:lpstr>v_65_SFe2</vt:lpstr>
      <vt:lpstr>v_65_SH</vt:lpstr>
      <vt:lpstr>v_65_SH2</vt:lpstr>
      <vt:lpstr>v_65_SK</vt:lpstr>
      <vt:lpstr>v_65_SMEOL</vt:lpstr>
      <vt:lpstr>v_65_SMg</vt:lpstr>
      <vt:lpstr>v_65_SN_B</vt:lpstr>
      <vt:lpstr>v_65_SN2</vt:lpstr>
      <vt:lpstr>v_65_SN2O</vt:lpstr>
      <vt:lpstr>v_65_SNH2OH</vt:lpstr>
      <vt:lpstr>v_65_SNHx</vt:lpstr>
      <vt:lpstr>v_65_SNO_AOB</vt:lpstr>
      <vt:lpstr>v_65_SNO_OHO</vt:lpstr>
      <vt:lpstr>v_65_SNO2</vt:lpstr>
      <vt:lpstr>v_65_SNO3</vt:lpstr>
      <vt:lpstr>v_65_SO2</vt:lpstr>
      <vt:lpstr>v_65_SORPswitch</vt:lpstr>
      <vt:lpstr>v_65_SP_B</vt:lpstr>
      <vt:lpstr>v_65_SPFOA</vt:lpstr>
      <vt:lpstr>v_65_SPFOS</vt:lpstr>
      <vt:lpstr>v_65_SPO4</vt:lpstr>
      <vt:lpstr>v_65_SU</vt:lpstr>
      <vt:lpstr>v_65_SVFA</vt:lpstr>
      <vt:lpstr>v_65_XACP</vt:lpstr>
      <vt:lpstr>v_65_XALGAE</vt:lpstr>
      <vt:lpstr>v_65_XAMETO</vt:lpstr>
      <vt:lpstr>v_65_XAMX</vt:lpstr>
      <vt:lpstr>v_65_XAOB</vt:lpstr>
      <vt:lpstr>v_65_XB</vt:lpstr>
      <vt:lpstr>v_65_XB_e</vt:lpstr>
      <vt:lpstr>v_65_XBSH</vt:lpstr>
      <vt:lpstr>v_65_XCaCO3</vt:lpstr>
      <vt:lpstr>v_65_XCASTO</vt:lpstr>
      <vt:lpstr>v_65_XE</vt:lpstr>
      <vt:lpstr>v_65_XE_ana</vt:lpstr>
      <vt:lpstr>v_65_XHAO_H</vt:lpstr>
      <vt:lpstr>v_65_XHAO_H_P</vt:lpstr>
      <vt:lpstr>v_65_XHAO_H_P_old</vt:lpstr>
      <vt:lpstr>v_65_XHAO_L</vt:lpstr>
      <vt:lpstr>v_65_XHAO_L_P</vt:lpstr>
      <vt:lpstr>v_65_XHAO_L_P_old</vt:lpstr>
      <vt:lpstr>v_65_XHAO_old</vt:lpstr>
      <vt:lpstr>v_65_XHFO_H</vt:lpstr>
      <vt:lpstr>v_65_XHFO_H_P</vt:lpstr>
      <vt:lpstr>v_65_XHFO_H_P_old</vt:lpstr>
      <vt:lpstr>v_65_XHFO_L</vt:lpstr>
      <vt:lpstr>v_65_XHFO_L_P</vt:lpstr>
      <vt:lpstr>v_65_XHFO_L_P_old</vt:lpstr>
      <vt:lpstr>v_65_XHFO_old</vt:lpstr>
      <vt:lpstr>v_65_XHMETO</vt:lpstr>
      <vt:lpstr>v_65_XINORG</vt:lpstr>
      <vt:lpstr>v_65_XMEOLO</vt:lpstr>
      <vt:lpstr>v_65_XN_B</vt:lpstr>
      <vt:lpstr>v_65_XN_Be</vt:lpstr>
      <vt:lpstr>v_65_XN_U</vt:lpstr>
      <vt:lpstr>v_65_XNOB</vt:lpstr>
      <vt:lpstr>v_65_XOHO</vt:lpstr>
      <vt:lpstr>v_65_XP_B</vt:lpstr>
      <vt:lpstr>v_65_XP_Be</vt:lpstr>
      <vt:lpstr>v_65_XP_U</vt:lpstr>
      <vt:lpstr>v_65_XPFOA</vt:lpstr>
      <vt:lpstr>v_65_XPFOS</vt:lpstr>
      <vt:lpstr>v_65_XPHA_GAO</vt:lpstr>
      <vt:lpstr>v_65_XPHA_PAO</vt:lpstr>
      <vt:lpstr>v_65_XPP</vt:lpstr>
      <vt:lpstr>v_65_XSTR</vt:lpstr>
      <vt:lpstr>v_65_XU</vt:lpstr>
      <vt:lpstr>v_65_XVivi</vt:lpstr>
      <vt:lpstr>v_66_CB</vt:lpstr>
      <vt:lpstr>v_66_CU</vt:lpstr>
      <vt:lpstr>v_66_GCH4</vt:lpstr>
      <vt:lpstr>v_66_GCH4_atm</vt:lpstr>
      <vt:lpstr>v_66_GCO2</vt:lpstr>
      <vt:lpstr>v_66_GCO2_atm</vt:lpstr>
      <vt:lpstr>v_66_GH2</vt:lpstr>
      <vt:lpstr>v_66_GH2_atm</vt:lpstr>
      <vt:lpstr>v_66_GN2</vt:lpstr>
      <vt:lpstr>v_66_GN2_atm</vt:lpstr>
      <vt:lpstr>v_66_GN2O</vt:lpstr>
      <vt:lpstr>v_66_GN2O_atm</vt:lpstr>
      <vt:lpstr>v_66_GNH3</vt:lpstr>
      <vt:lpstr>v_66_GNH3_atm</vt:lpstr>
      <vt:lpstr>v_66_GNO</vt:lpstr>
      <vt:lpstr>v_66_GNO_atm</vt:lpstr>
      <vt:lpstr>v_66_GO2</vt:lpstr>
      <vt:lpstr>v_66_GO2_atm</vt:lpstr>
      <vt:lpstr>v_66_SALPHA</vt:lpstr>
      <vt:lpstr>v_66_SAN</vt:lpstr>
      <vt:lpstr>v_66_SB</vt:lpstr>
      <vt:lpstr>v_66_SCa</vt:lpstr>
      <vt:lpstr>v_66_SCAT</vt:lpstr>
      <vt:lpstr>v_66_SCH4</vt:lpstr>
      <vt:lpstr>v_66_SCO2</vt:lpstr>
      <vt:lpstr>v_66_SFe2</vt:lpstr>
      <vt:lpstr>v_66_SH</vt:lpstr>
      <vt:lpstr>v_66_SH2</vt:lpstr>
      <vt:lpstr>v_66_SK</vt:lpstr>
      <vt:lpstr>v_66_SMEOL</vt:lpstr>
      <vt:lpstr>v_66_SMg</vt:lpstr>
      <vt:lpstr>v_66_SN_B</vt:lpstr>
      <vt:lpstr>v_66_SN2</vt:lpstr>
      <vt:lpstr>v_66_SN2O</vt:lpstr>
      <vt:lpstr>v_66_SNH2OH</vt:lpstr>
      <vt:lpstr>v_66_SNHx</vt:lpstr>
      <vt:lpstr>v_66_SNO_AOB</vt:lpstr>
      <vt:lpstr>v_66_SNO_OHO</vt:lpstr>
      <vt:lpstr>v_66_SNO2</vt:lpstr>
      <vt:lpstr>v_66_SNO3</vt:lpstr>
      <vt:lpstr>v_66_SO2</vt:lpstr>
      <vt:lpstr>v_66_SORPswitch</vt:lpstr>
      <vt:lpstr>v_66_SP_B</vt:lpstr>
      <vt:lpstr>v_66_SPFOA</vt:lpstr>
      <vt:lpstr>v_66_SPFOS</vt:lpstr>
      <vt:lpstr>v_66_SPO4</vt:lpstr>
      <vt:lpstr>v_66_SU</vt:lpstr>
      <vt:lpstr>v_66_SVFA</vt:lpstr>
      <vt:lpstr>v_66_XACP</vt:lpstr>
      <vt:lpstr>v_66_XALGAE</vt:lpstr>
      <vt:lpstr>v_66_XAMETO</vt:lpstr>
      <vt:lpstr>v_66_XAMX</vt:lpstr>
      <vt:lpstr>v_66_XAOB</vt:lpstr>
      <vt:lpstr>v_66_XB</vt:lpstr>
      <vt:lpstr>v_66_XB_e</vt:lpstr>
      <vt:lpstr>v_66_XBSH</vt:lpstr>
      <vt:lpstr>v_66_XCaCO3</vt:lpstr>
      <vt:lpstr>v_66_XCASTO</vt:lpstr>
      <vt:lpstr>v_66_XE</vt:lpstr>
      <vt:lpstr>v_66_XE_ana</vt:lpstr>
      <vt:lpstr>v_66_XHAO_H</vt:lpstr>
      <vt:lpstr>v_66_XHAO_H_P</vt:lpstr>
      <vt:lpstr>v_66_XHAO_H_P_old</vt:lpstr>
      <vt:lpstr>v_66_XHAO_L</vt:lpstr>
      <vt:lpstr>v_66_XHAO_L_P</vt:lpstr>
      <vt:lpstr>v_66_XHAO_L_P_old</vt:lpstr>
      <vt:lpstr>v_66_XHAO_old</vt:lpstr>
      <vt:lpstr>v_66_XHFO_H</vt:lpstr>
      <vt:lpstr>v_66_XHFO_H_P</vt:lpstr>
      <vt:lpstr>v_66_XHFO_H_P_old</vt:lpstr>
      <vt:lpstr>v_66_XHFO_L</vt:lpstr>
      <vt:lpstr>v_66_XHFO_L_P</vt:lpstr>
      <vt:lpstr>v_66_XHFO_L_P_old</vt:lpstr>
      <vt:lpstr>v_66_XHFO_old</vt:lpstr>
      <vt:lpstr>v_66_XHMETO</vt:lpstr>
      <vt:lpstr>v_66_XINORG</vt:lpstr>
      <vt:lpstr>v_66_XMEOLO</vt:lpstr>
      <vt:lpstr>v_66_XN_B</vt:lpstr>
      <vt:lpstr>v_66_XN_Be</vt:lpstr>
      <vt:lpstr>v_66_XN_U</vt:lpstr>
      <vt:lpstr>v_66_XNOB</vt:lpstr>
      <vt:lpstr>v_66_XOHO</vt:lpstr>
      <vt:lpstr>v_66_XP_B</vt:lpstr>
      <vt:lpstr>v_66_XP_Be</vt:lpstr>
      <vt:lpstr>v_66_XP_U</vt:lpstr>
      <vt:lpstr>v_66_XPFOA</vt:lpstr>
      <vt:lpstr>v_66_XPFOS</vt:lpstr>
      <vt:lpstr>v_66_XPHA_GAO</vt:lpstr>
      <vt:lpstr>v_66_XPHA_PAO</vt:lpstr>
      <vt:lpstr>v_66_XPP</vt:lpstr>
      <vt:lpstr>v_66_XSTR</vt:lpstr>
      <vt:lpstr>v_66_XU</vt:lpstr>
      <vt:lpstr>v_66_XVivi</vt:lpstr>
      <vt:lpstr>v_67_CB</vt:lpstr>
      <vt:lpstr>v_67_CU</vt:lpstr>
      <vt:lpstr>v_67_GCH4</vt:lpstr>
      <vt:lpstr>v_67_GCH4_atm</vt:lpstr>
      <vt:lpstr>v_67_GCO2</vt:lpstr>
      <vt:lpstr>v_67_GCO2_atm</vt:lpstr>
      <vt:lpstr>v_67_GH2</vt:lpstr>
      <vt:lpstr>v_67_GH2_atm</vt:lpstr>
      <vt:lpstr>v_67_GN2</vt:lpstr>
      <vt:lpstr>v_67_GN2_atm</vt:lpstr>
      <vt:lpstr>v_67_GN2O</vt:lpstr>
      <vt:lpstr>v_67_GN2O_atm</vt:lpstr>
      <vt:lpstr>v_67_GNH3</vt:lpstr>
      <vt:lpstr>v_67_GNH3_atm</vt:lpstr>
      <vt:lpstr>v_67_GNO</vt:lpstr>
      <vt:lpstr>v_67_GNO_atm</vt:lpstr>
      <vt:lpstr>v_67_GO2</vt:lpstr>
      <vt:lpstr>v_67_GO2_atm</vt:lpstr>
      <vt:lpstr>v_67_SALPHA</vt:lpstr>
      <vt:lpstr>v_67_SAN</vt:lpstr>
      <vt:lpstr>v_67_SB</vt:lpstr>
      <vt:lpstr>v_67_SCa</vt:lpstr>
      <vt:lpstr>v_67_SCAT</vt:lpstr>
      <vt:lpstr>v_67_SCH4</vt:lpstr>
      <vt:lpstr>v_67_SCO2</vt:lpstr>
      <vt:lpstr>v_67_SFe2</vt:lpstr>
      <vt:lpstr>v_67_SH</vt:lpstr>
      <vt:lpstr>v_67_SH2</vt:lpstr>
      <vt:lpstr>v_67_SK</vt:lpstr>
      <vt:lpstr>v_67_SMEOL</vt:lpstr>
      <vt:lpstr>v_67_SMg</vt:lpstr>
      <vt:lpstr>v_67_SN_B</vt:lpstr>
      <vt:lpstr>v_67_SN2</vt:lpstr>
      <vt:lpstr>v_67_SN2O</vt:lpstr>
      <vt:lpstr>v_67_SNH2OH</vt:lpstr>
      <vt:lpstr>v_67_SNHx</vt:lpstr>
      <vt:lpstr>v_67_SNO_AOB</vt:lpstr>
      <vt:lpstr>v_67_SNO_OHO</vt:lpstr>
      <vt:lpstr>v_67_SNO2</vt:lpstr>
      <vt:lpstr>v_67_SNO3</vt:lpstr>
      <vt:lpstr>v_67_SO2</vt:lpstr>
      <vt:lpstr>v_67_SORPswitch</vt:lpstr>
      <vt:lpstr>v_67_SP_B</vt:lpstr>
      <vt:lpstr>v_67_SPFOA</vt:lpstr>
      <vt:lpstr>v_67_SPFOS</vt:lpstr>
      <vt:lpstr>v_67_SPO4</vt:lpstr>
      <vt:lpstr>v_67_SU</vt:lpstr>
      <vt:lpstr>v_67_SVFA</vt:lpstr>
      <vt:lpstr>v_67_XACP</vt:lpstr>
      <vt:lpstr>v_67_XALGAE</vt:lpstr>
      <vt:lpstr>v_67_XAMETO</vt:lpstr>
      <vt:lpstr>v_67_XAMX</vt:lpstr>
      <vt:lpstr>v_67_XAOB</vt:lpstr>
      <vt:lpstr>v_67_XB</vt:lpstr>
      <vt:lpstr>v_67_XB_e</vt:lpstr>
      <vt:lpstr>v_67_XBSH</vt:lpstr>
      <vt:lpstr>v_67_XCaCO3</vt:lpstr>
      <vt:lpstr>v_67_XCASTO</vt:lpstr>
      <vt:lpstr>v_67_XE</vt:lpstr>
      <vt:lpstr>v_67_XE_ana</vt:lpstr>
      <vt:lpstr>v_67_XHAO_H</vt:lpstr>
      <vt:lpstr>v_67_XHAO_H_P</vt:lpstr>
      <vt:lpstr>v_67_XHAO_H_P_old</vt:lpstr>
      <vt:lpstr>v_67_XHAO_L</vt:lpstr>
      <vt:lpstr>v_67_XHAO_L_P</vt:lpstr>
      <vt:lpstr>v_67_XHAO_L_P_old</vt:lpstr>
      <vt:lpstr>v_67_XHAO_old</vt:lpstr>
      <vt:lpstr>v_67_XHFO_H</vt:lpstr>
      <vt:lpstr>v_67_XHFO_H_P</vt:lpstr>
      <vt:lpstr>v_67_XHFO_H_P_old</vt:lpstr>
      <vt:lpstr>v_67_XHFO_L</vt:lpstr>
      <vt:lpstr>v_67_XHFO_L_P</vt:lpstr>
      <vt:lpstr>v_67_XHFO_L_P_old</vt:lpstr>
      <vt:lpstr>v_67_XHFO_old</vt:lpstr>
      <vt:lpstr>v_67_XHMETO</vt:lpstr>
      <vt:lpstr>v_67_XINORG</vt:lpstr>
      <vt:lpstr>v_67_XMEOLO</vt:lpstr>
      <vt:lpstr>v_67_XN_B</vt:lpstr>
      <vt:lpstr>v_67_XN_Be</vt:lpstr>
      <vt:lpstr>v_67_XN_U</vt:lpstr>
      <vt:lpstr>v_67_XNOB</vt:lpstr>
      <vt:lpstr>v_67_XOHO</vt:lpstr>
      <vt:lpstr>v_67_XP_B</vt:lpstr>
      <vt:lpstr>v_67_XP_Be</vt:lpstr>
      <vt:lpstr>v_67_XP_U</vt:lpstr>
      <vt:lpstr>v_67_XPFOA</vt:lpstr>
      <vt:lpstr>v_67_XPFOS</vt:lpstr>
      <vt:lpstr>v_67_XPHA_GAO</vt:lpstr>
      <vt:lpstr>v_67_XPHA_PAO</vt:lpstr>
      <vt:lpstr>v_67_XPP</vt:lpstr>
      <vt:lpstr>v_67_XSTR</vt:lpstr>
      <vt:lpstr>v_67_XU</vt:lpstr>
      <vt:lpstr>v_67_XVivi</vt:lpstr>
      <vt:lpstr>v_68_CB</vt:lpstr>
      <vt:lpstr>v_68_CU</vt:lpstr>
      <vt:lpstr>v_68_GCH4</vt:lpstr>
      <vt:lpstr>v_68_GCH4_atm</vt:lpstr>
      <vt:lpstr>v_68_GCO2</vt:lpstr>
      <vt:lpstr>v_68_GCO2_atm</vt:lpstr>
      <vt:lpstr>v_68_GH2</vt:lpstr>
      <vt:lpstr>v_68_GH2_atm</vt:lpstr>
      <vt:lpstr>v_68_GN2</vt:lpstr>
      <vt:lpstr>v_68_GN2_atm</vt:lpstr>
      <vt:lpstr>v_68_GN2O</vt:lpstr>
      <vt:lpstr>v_68_GN2O_atm</vt:lpstr>
      <vt:lpstr>v_68_GNH3</vt:lpstr>
      <vt:lpstr>v_68_GNH3_atm</vt:lpstr>
      <vt:lpstr>v_68_GNO</vt:lpstr>
      <vt:lpstr>v_68_GNO_atm</vt:lpstr>
      <vt:lpstr>v_68_GO2</vt:lpstr>
      <vt:lpstr>v_68_GO2_atm</vt:lpstr>
      <vt:lpstr>v_68_SALPHA</vt:lpstr>
      <vt:lpstr>v_68_SAN</vt:lpstr>
      <vt:lpstr>v_68_SB</vt:lpstr>
      <vt:lpstr>v_68_SCa</vt:lpstr>
      <vt:lpstr>v_68_SCAT</vt:lpstr>
      <vt:lpstr>v_68_SCH4</vt:lpstr>
      <vt:lpstr>v_68_SCO2</vt:lpstr>
      <vt:lpstr>v_68_SFe2</vt:lpstr>
      <vt:lpstr>v_68_SH</vt:lpstr>
      <vt:lpstr>v_68_SH2</vt:lpstr>
      <vt:lpstr>v_68_SK</vt:lpstr>
      <vt:lpstr>v_68_SMEOL</vt:lpstr>
      <vt:lpstr>v_68_SMg</vt:lpstr>
      <vt:lpstr>v_68_SN_B</vt:lpstr>
      <vt:lpstr>v_68_SN2</vt:lpstr>
      <vt:lpstr>v_68_SN2O</vt:lpstr>
      <vt:lpstr>v_68_SNH2OH</vt:lpstr>
      <vt:lpstr>v_68_SNHx</vt:lpstr>
      <vt:lpstr>v_68_SNO_AOB</vt:lpstr>
      <vt:lpstr>v_68_SNO_OHO</vt:lpstr>
      <vt:lpstr>v_68_SNO2</vt:lpstr>
      <vt:lpstr>v_68_SNO3</vt:lpstr>
      <vt:lpstr>v_68_SO2</vt:lpstr>
      <vt:lpstr>v_68_SORPswitch</vt:lpstr>
      <vt:lpstr>v_68_SP_B</vt:lpstr>
      <vt:lpstr>v_68_SPFOA</vt:lpstr>
      <vt:lpstr>v_68_SPFOS</vt:lpstr>
      <vt:lpstr>v_68_SPO4</vt:lpstr>
      <vt:lpstr>v_68_SU</vt:lpstr>
      <vt:lpstr>v_68_SVFA</vt:lpstr>
      <vt:lpstr>v_68_XACP</vt:lpstr>
      <vt:lpstr>v_68_XALGAE</vt:lpstr>
      <vt:lpstr>v_68_XAMETO</vt:lpstr>
      <vt:lpstr>v_68_XAMX</vt:lpstr>
      <vt:lpstr>v_68_XAOB</vt:lpstr>
      <vt:lpstr>v_68_XB</vt:lpstr>
      <vt:lpstr>v_68_XB_e</vt:lpstr>
      <vt:lpstr>v_68_XBSH</vt:lpstr>
      <vt:lpstr>v_68_XCaCO3</vt:lpstr>
      <vt:lpstr>v_68_XCASTO</vt:lpstr>
      <vt:lpstr>v_68_XE</vt:lpstr>
      <vt:lpstr>v_68_XE_ana</vt:lpstr>
      <vt:lpstr>v_68_XHAO_H</vt:lpstr>
      <vt:lpstr>v_68_XHAO_H_P</vt:lpstr>
      <vt:lpstr>v_68_XHAO_H_P_old</vt:lpstr>
      <vt:lpstr>v_68_XHAO_L</vt:lpstr>
      <vt:lpstr>v_68_XHAO_L_P</vt:lpstr>
      <vt:lpstr>v_68_XHAO_L_P_old</vt:lpstr>
      <vt:lpstr>v_68_XHAO_old</vt:lpstr>
      <vt:lpstr>v_68_XHFO_H</vt:lpstr>
      <vt:lpstr>v_68_XHFO_H_P</vt:lpstr>
      <vt:lpstr>v_68_XHFO_H_P_old</vt:lpstr>
      <vt:lpstr>v_68_XHFO_L</vt:lpstr>
      <vt:lpstr>v_68_XHFO_L_P</vt:lpstr>
      <vt:lpstr>v_68_XHFO_L_P_old</vt:lpstr>
      <vt:lpstr>v_68_XHFO_old</vt:lpstr>
      <vt:lpstr>v_68_XHMETO</vt:lpstr>
      <vt:lpstr>v_68_XINORG</vt:lpstr>
      <vt:lpstr>v_68_XMEOLO</vt:lpstr>
      <vt:lpstr>v_68_XN_B</vt:lpstr>
      <vt:lpstr>v_68_XN_Be</vt:lpstr>
      <vt:lpstr>v_68_XN_U</vt:lpstr>
      <vt:lpstr>v_68_XNOB</vt:lpstr>
      <vt:lpstr>v_68_XOHO</vt:lpstr>
      <vt:lpstr>v_68_XP_B</vt:lpstr>
      <vt:lpstr>v_68_XP_Be</vt:lpstr>
      <vt:lpstr>v_68_XP_U</vt:lpstr>
      <vt:lpstr>v_68_XPFOA</vt:lpstr>
      <vt:lpstr>v_68_XPFOS</vt:lpstr>
      <vt:lpstr>v_68_XPHA_GAO</vt:lpstr>
      <vt:lpstr>v_68_XPHA_PAO</vt:lpstr>
      <vt:lpstr>v_68_XPP</vt:lpstr>
      <vt:lpstr>v_68_XSTR</vt:lpstr>
      <vt:lpstr>v_68_XU</vt:lpstr>
      <vt:lpstr>v_68_XVivi</vt:lpstr>
      <vt:lpstr>v_69_CB</vt:lpstr>
      <vt:lpstr>v_69_CU</vt:lpstr>
      <vt:lpstr>v_69_GCH4</vt:lpstr>
      <vt:lpstr>v_69_GCH4_atm</vt:lpstr>
      <vt:lpstr>v_69_GCO2</vt:lpstr>
      <vt:lpstr>v_69_GCO2_atm</vt:lpstr>
      <vt:lpstr>v_69_GH2</vt:lpstr>
      <vt:lpstr>v_69_GH2_atm</vt:lpstr>
      <vt:lpstr>v_69_GN2</vt:lpstr>
      <vt:lpstr>v_69_GN2_atm</vt:lpstr>
      <vt:lpstr>v_69_GN2O</vt:lpstr>
      <vt:lpstr>v_69_GN2O_atm</vt:lpstr>
      <vt:lpstr>v_69_GNH3</vt:lpstr>
      <vt:lpstr>v_69_GNH3_atm</vt:lpstr>
      <vt:lpstr>v_69_GNO</vt:lpstr>
      <vt:lpstr>v_69_GNO_atm</vt:lpstr>
      <vt:lpstr>v_69_GO2</vt:lpstr>
      <vt:lpstr>v_69_GO2_atm</vt:lpstr>
      <vt:lpstr>v_69_SALPHA</vt:lpstr>
      <vt:lpstr>v_69_SAN</vt:lpstr>
      <vt:lpstr>v_69_SB</vt:lpstr>
      <vt:lpstr>v_69_SCa</vt:lpstr>
      <vt:lpstr>v_69_SCAT</vt:lpstr>
      <vt:lpstr>v_69_SCH4</vt:lpstr>
      <vt:lpstr>v_69_SCO2</vt:lpstr>
      <vt:lpstr>v_69_SFe2</vt:lpstr>
      <vt:lpstr>v_69_SH</vt:lpstr>
      <vt:lpstr>v_69_SH2</vt:lpstr>
      <vt:lpstr>v_69_SK</vt:lpstr>
      <vt:lpstr>v_69_SMEOL</vt:lpstr>
      <vt:lpstr>v_69_SMg</vt:lpstr>
      <vt:lpstr>v_69_SN_B</vt:lpstr>
      <vt:lpstr>v_69_SN2</vt:lpstr>
      <vt:lpstr>v_69_SN2O</vt:lpstr>
      <vt:lpstr>v_69_SNH2OH</vt:lpstr>
      <vt:lpstr>v_69_SNHx</vt:lpstr>
      <vt:lpstr>v_69_SNO_AOB</vt:lpstr>
      <vt:lpstr>v_69_SNO_OHO</vt:lpstr>
      <vt:lpstr>v_69_SNO2</vt:lpstr>
      <vt:lpstr>v_69_SNO3</vt:lpstr>
      <vt:lpstr>v_69_SO2</vt:lpstr>
      <vt:lpstr>v_69_SORPswitch</vt:lpstr>
      <vt:lpstr>v_69_SP_B</vt:lpstr>
      <vt:lpstr>v_69_SPFOA</vt:lpstr>
      <vt:lpstr>v_69_SPFOS</vt:lpstr>
      <vt:lpstr>v_69_SPO4</vt:lpstr>
      <vt:lpstr>v_69_SU</vt:lpstr>
      <vt:lpstr>v_69_SVFA</vt:lpstr>
      <vt:lpstr>v_69_XACP</vt:lpstr>
      <vt:lpstr>v_69_XALGAE</vt:lpstr>
      <vt:lpstr>v_69_XAMETO</vt:lpstr>
      <vt:lpstr>v_69_XAMX</vt:lpstr>
      <vt:lpstr>v_69_XAOB</vt:lpstr>
      <vt:lpstr>v_69_XB</vt:lpstr>
      <vt:lpstr>v_69_XB_e</vt:lpstr>
      <vt:lpstr>v_69_XBSH</vt:lpstr>
      <vt:lpstr>v_69_XCaCO3</vt:lpstr>
      <vt:lpstr>v_69_XCASTO</vt:lpstr>
      <vt:lpstr>v_69_XE</vt:lpstr>
      <vt:lpstr>v_69_XE_ana</vt:lpstr>
      <vt:lpstr>v_69_XHAO_H</vt:lpstr>
      <vt:lpstr>v_69_XHAO_H_P</vt:lpstr>
      <vt:lpstr>v_69_XHAO_H_P_old</vt:lpstr>
      <vt:lpstr>v_69_XHAO_L</vt:lpstr>
      <vt:lpstr>v_69_XHAO_L_P</vt:lpstr>
      <vt:lpstr>v_69_XHAO_L_P_old</vt:lpstr>
      <vt:lpstr>v_69_XHAO_old</vt:lpstr>
      <vt:lpstr>v_69_XHFO_H</vt:lpstr>
      <vt:lpstr>v_69_XHFO_H_P</vt:lpstr>
      <vt:lpstr>v_69_XHFO_H_P_old</vt:lpstr>
      <vt:lpstr>v_69_XHFO_L</vt:lpstr>
      <vt:lpstr>v_69_XHFO_L_P</vt:lpstr>
      <vt:lpstr>v_69_XHFO_L_P_old</vt:lpstr>
      <vt:lpstr>v_69_XHFO_old</vt:lpstr>
      <vt:lpstr>v_69_XHMETO</vt:lpstr>
      <vt:lpstr>v_69_XINORG</vt:lpstr>
      <vt:lpstr>v_69_XMEOLO</vt:lpstr>
      <vt:lpstr>v_69_XN_B</vt:lpstr>
      <vt:lpstr>v_69_XN_Be</vt:lpstr>
      <vt:lpstr>v_69_XN_U</vt:lpstr>
      <vt:lpstr>v_69_XNOB</vt:lpstr>
      <vt:lpstr>v_69_XOHO</vt:lpstr>
      <vt:lpstr>v_69_XP_B</vt:lpstr>
      <vt:lpstr>v_69_XP_Be</vt:lpstr>
      <vt:lpstr>v_69_XP_U</vt:lpstr>
      <vt:lpstr>v_69_XPFOA</vt:lpstr>
      <vt:lpstr>v_69_XPFOS</vt:lpstr>
      <vt:lpstr>v_69_XPHA_GAO</vt:lpstr>
      <vt:lpstr>v_69_XPHA_PAO</vt:lpstr>
      <vt:lpstr>v_69_XPP</vt:lpstr>
      <vt:lpstr>v_69_XSTR</vt:lpstr>
      <vt:lpstr>v_69_XU</vt:lpstr>
      <vt:lpstr>v_69_XVivi</vt:lpstr>
      <vt:lpstr>v_7_CB</vt:lpstr>
      <vt:lpstr>v_7_CU</vt:lpstr>
      <vt:lpstr>v_7_GCH4</vt:lpstr>
      <vt:lpstr>v_7_GCH4_atm</vt:lpstr>
      <vt:lpstr>v_7_GCO2</vt:lpstr>
      <vt:lpstr>v_7_GCO2_atm</vt:lpstr>
      <vt:lpstr>v_7_GH2</vt:lpstr>
      <vt:lpstr>v_7_GH2_atm</vt:lpstr>
      <vt:lpstr>v_7_GN2</vt:lpstr>
      <vt:lpstr>v_7_GN2_atm</vt:lpstr>
      <vt:lpstr>v_7_GN2O</vt:lpstr>
      <vt:lpstr>v_7_GN2O_atm</vt:lpstr>
      <vt:lpstr>v_7_GNH3</vt:lpstr>
      <vt:lpstr>v_7_GNH3_atm</vt:lpstr>
      <vt:lpstr>v_7_GNO</vt:lpstr>
      <vt:lpstr>v_7_GNO_atm</vt:lpstr>
      <vt:lpstr>v_7_GO2</vt:lpstr>
      <vt:lpstr>v_7_GO2_atm</vt:lpstr>
      <vt:lpstr>v_7_SALPHA</vt:lpstr>
      <vt:lpstr>v_7_SAN</vt:lpstr>
      <vt:lpstr>v_7_SB</vt:lpstr>
      <vt:lpstr>v_7_SCa</vt:lpstr>
      <vt:lpstr>v_7_SCAT</vt:lpstr>
      <vt:lpstr>v_7_SCH4</vt:lpstr>
      <vt:lpstr>v_7_SCO2</vt:lpstr>
      <vt:lpstr>v_7_SFe2</vt:lpstr>
      <vt:lpstr>v_7_SH</vt:lpstr>
      <vt:lpstr>v_7_SH2</vt:lpstr>
      <vt:lpstr>v_7_SK</vt:lpstr>
      <vt:lpstr>v_7_SMEOL</vt:lpstr>
      <vt:lpstr>v_7_SMg</vt:lpstr>
      <vt:lpstr>v_7_SN_B</vt:lpstr>
      <vt:lpstr>v_7_SN2</vt:lpstr>
      <vt:lpstr>v_7_SN2O</vt:lpstr>
      <vt:lpstr>v_7_SNH2OH</vt:lpstr>
      <vt:lpstr>v_7_SNHx</vt:lpstr>
      <vt:lpstr>v_7_SNO_AOB</vt:lpstr>
      <vt:lpstr>v_7_SNO_OHO</vt:lpstr>
      <vt:lpstr>v_7_SNO2</vt:lpstr>
      <vt:lpstr>v_7_SNO3</vt:lpstr>
      <vt:lpstr>v_7_SO2</vt:lpstr>
      <vt:lpstr>v_7_SORPswitch</vt:lpstr>
      <vt:lpstr>v_7_SP_B</vt:lpstr>
      <vt:lpstr>v_7_SPFOA</vt:lpstr>
      <vt:lpstr>v_7_SPFOS</vt:lpstr>
      <vt:lpstr>v_7_SPO4</vt:lpstr>
      <vt:lpstr>v_7_SU</vt:lpstr>
      <vt:lpstr>v_7_SVFA</vt:lpstr>
      <vt:lpstr>v_7_XACP</vt:lpstr>
      <vt:lpstr>v_7_XALGAE</vt:lpstr>
      <vt:lpstr>v_7_XAMETO</vt:lpstr>
      <vt:lpstr>v_7_XAMX</vt:lpstr>
      <vt:lpstr>v_7_XAOB</vt:lpstr>
      <vt:lpstr>v_7_XB</vt:lpstr>
      <vt:lpstr>v_7_XB_e</vt:lpstr>
      <vt:lpstr>v_7_XBSH</vt:lpstr>
      <vt:lpstr>v_7_XCaCO3</vt:lpstr>
      <vt:lpstr>v_7_XCASTO</vt:lpstr>
      <vt:lpstr>v_7_XE</vt:lpstr>
      <vt:lpstr>v_7_XE_ana</vt:lpstr>
      <vt:lpstr>v_7_XHAO_H</vt:lpstr>
      <vt:lpstr>v_7_XHAO_H_P</vt:lpstr>
      <vt:lpstr>v_7_XHAO_H_P_old</vt:lpstr>
      <vt:lpstr>v_7_XHAO_L</vt:lpstr>
      <vt:lpstr>v_7_XHAO_L_P</vt:lpstr>
      <vt:lpstr>v_7_XHAO_L_P_old</vt:lpstr>
      <vt:lpstr>v_7_XHAO_old</vt:lpstr>
      <vt:lpstr>v_7_XHFO_H</vt:lpstr>
      <vt:lpstr>v_7_XHFO_H_P</vt:lpstr>
      <vt:lpstr>v_7_XHFO_H_P_old</vt:lpstr>
      <vt:lpstr>v_7_XHFO_L</vt:lpstr>
      <vt:lpstr>v_7_XHFO_L_P</vt:lpstr>
      <vt:lpstr>v_7_XHFO_L_P_old</vt:lpstr>
      <vt:lpstr>v_7_XHFO_old</vt:lpstr>
      <vt:lpstr>v_7_XHMETO</vt:lpstr>
      <vt:lpstr>v_7_XINORG</vt:lpstr>
      <vt:lpstr>v_7_XMEOLO</vt:lpstr>
      <vt:lpstr>v_7_XN_B</vt:lpstr>
      <vt:lpstr>v_7_XN_Be</vt:lpstr>
      <vt:lpstr>v_7_XN_U</vt:lpstr>
      <vt:lpstr>v_7_XNOB</vt:lpstr>
      <vt:lpstr>v_7_XOHO</vt:lpstr>
      <vt:lpstr>v_7_XP_B</vt:lpstr>
      <vt:lpstr>v_7_XP_Be</vt:lpstr>
      <vt:lpstr>v_7_XP_U</vt:lpstr>
      <vt:lpstr>v_7_XPFOA</vt:lpstr>
      <vt:lpstr>v_7_XPFOS</vt:lpstr>
      <vt:lpstr>v_7_XPHA_GAO</vt:lpstr>
      <vt:lpstr>v_7_XPHA_PAO</vt:lpstr>
      <vt:lpstr>v_7_XPP</vt:lpstr>
      <vt:lpstr>v_7_XSTR</vt:lpstr>
      <vt:lpstr>v_7_XU</vt:lpstr>
      <vt:lpstr>v_7_XVivi</vt:lpstr>
      <vt:lpstr>v_70_CB</vt:lpstr>
      <vt:lpstr>v_70_CU</vt:lpstr>
      <vt:lpstr>v_70_GCH4</vt:lpstr>
      <vt:lpstr>v_70_GCH4_atm</vt:lpstr>
      <vt:lpstr>v_70_GCO2</vt:lpstr>
      <vt:lpstr>v_70_GCO2_atm</vt:lpstr>
      <vt:lpstr>v_70_GH2</vt:lpstr>
      <vt:lpstr>v_70_GH2_atm</vt:lpstr>
      <vt:lpstr>v_70_GN2</vt:lpstr>
      <vt:lpstr>v_70_GN2_atm</vt:lpstr>
      <vt:lpstr>v_70_GN2O</vt:lpstr>
      <vt:lpstr>v_70_GN2O_atm</vt:lpstr>
      <vt:lpstr>v_70_GNH3</vt:lpstr>
      <vt:lpstr>v_70_GNH3_atm</vt:lpstr>
      <vt:lpstr>v_70_GNO</vt:lpstr>
      <vt:lpstr>v_70_GNO_atm</vt:lpstr>
      <vt:lpstr>v_70_GO2</vt:lpstr>
      <vt:lpstr>v_70_GO2_atm</vt:lpstr>
      <vt:lpstr>v_70_SALPHA</vt:lpstr>
      <vt:lpstr>v_70_SAN</vt:lpstr>
      <vt:lpstr>v_70_SB</vt:lpstr>
      <vt:lpstr>v_70_SCa</vt:lpstr>
      <vt:lpstr>v_70_SCAT</vt:lpstr>
      <vt:lpstr>v_70_SCH4</vt:lpstr>
      <vt:lpstr>v_70_SCO2</vt:lpstr>
      <vt:lpstr>v_70_SFe2</vt:lpstr>
      <vt:lpstr>v_70_SH</vt:lpstr>
      <vt:lpstr>v_70_SH2</vt:lpstr>
      <vt:lpstr>v_70_SK</vt:lpstr>
      <vt:lpstr>v_70_SMEOL</vt:lpstr>
      <vt:lpstr>v_70_SMg</vt:lpstr>
      <vt:lpstr>v_70_SN_B</vt:lpstr>
      <vt:lpstr>v_70_SN2</vt:lpstr>
      <vt:lpstr>v_70_SN2O</vt:lpstr>
      <vt:lpstr>v_70_SNH2OH</vt:lpstr>
      <vt:lpstr>v_70_SNHx</vt:lpstr>
      <vt:lpstr>v_70_SNO_AOB</vt:lpstr>
      <vt:lpstr>v_70_SNO_OHO</vt:lpstr>
      <vt:lpstr>v_70_SNO2</vt:lpstr>
      <vt:lpstr>v_70_SNO3</vt:lpstr>
      <vt:lpstr>v_70_SO2</vt:lpstr>
      <vt:lpstr>v_70_SORPswitch</vt:lpstr>
      <vt:lpstr>v_70_SP_B</vt:lpstr>
      <vt:lpstr>v_70_SPFOA</vt:lpstr>
      <vt:lpstr>v_70_SPFOS</vt:lpstr>
      <vt:lpstr>v_70_SPO4</vt:lpstr>
      <vt:lpstr>v_70_SU</vt:lpstr>
      <vt:lpstr>v_70_SVFA</vt:lpstr>
      <vt:lpstr>v_70_XACP</vt:lpstr>
      <vt:lpstr>v_70_XALGAE</vt:lpstr>
      <vt:lpstr>v_70_XAMETO</vt:lpstr>
      <vt:lpstr>v_70_XAMX</vt:lpstr>
      <vt:lpstr>v_70_XAOB</vt:lpstr>
      <vt:lpstr>v_70_XB</vt:lpstr>
      <vt:lpstr>v_70_XB_e</vt:lpstr>
      <vt:lpstr>v_70_XBSH</vt:lpstr>
      <vt:lpstr>v_70_XCaCO3</vt:lpstr>
      <vt:lpstr>v_70_XCASTO</vt:lpstr>
      <vt:lpstr>v_70_XE</vt:lpstr>
      <vt:lpstr>v_70_XE_ana</vt:lpstr>
      <vt:lpstr>v_70_XHAO_H</vt:lpstr>
      <vt:lpstr>v_70_XHAO_H_P</vt:lpstr>
      <vt:lpstr>v_70_XHAO_H_P_old</vt:lpstr>
      <vt:lpstr>v_70_XHAO_L</vt:lpstr>
      <vt:lpstr>v_70_XHAO_L_P</vt:lpstr>
      <vt:lpstr>v_70_XHAO_L_P_old</vt:lpstr>
      <vt:lpstr>v_70_XHAO_old</vt:lpstr>
      <vt:lpstr>v_70_XHFO_H</vt:lpstr>
      <vt:lpstr>v_70_XHFO_H_P</vt:lpstr>
      <vt:lpstr>v_70_XHFO_H_P_old</vt:lpstr>
      <vt:lpstr>v_70_XHFO_L</vt:lpstr>
      <vt:lpstr>v_70_XHFO_L_P</vt:lpstr>
      <vt:lpstr>v_70_XHFO_L_P_old</vt:lpstr>
      <vt:lpstr>v_70_XHFO_old</vt:lpstr>
      <vt:lpstr>v_70_XHMETO</vt:lpstr>
      <vt:lpstr>v_70_XINORG</vt:lpstr>
      <vt:lpstr>v_70_XMEOLO</vt:lpstr>
      <vt:lpstr>v_70_XN_B</vt:lpstr>
      <vt:lpstr>v_70_XN_Be</vt:lpstr>
      <vt:lpstr>v_70_XN_U</vt:lpstr>
      <vt:lpstr>v_70_XNOB</vt:lpstr>
      <vt:lpstr>v_70_XOHO</vt:lpstr>
      <vt:lpstr>v_70_XP_B</vt:lpstr>
      <vt:lpstr>v_70_XP_Be</vt:lpstr>
      <vt:lpstr>v_70_XP_U</vt:lpstr>
      <vt:lpstr>v_70_XPFOA</vt:lpstr>
      <vt:lpstr>v_70_XPFOS</vt:lpstr>
      <vt:lpstr>v_70_XPHA_GAO</vt:lpstr>
      <vt:lpstr>v_70_XPHA_PAO</vt:lpstr>
      <vt:lpstr>v_70_XPP</vt:lpstr>
      <vt:lpstr>v_70_XSTR</vt:lpstr>
      <vt:lpstr>v_70_XU</vt:lpstr>
      <vt:lpstr>v_70_XVivi</vt:lpstr>
      <vt:lpstr>v_71_CB</vt:lpstr>
      <vt:lpstr>v_71_CU</vt:lpstr>
      <vt:lpstr>v_71_GCH4</vt:lpstr>
      <vt:lpstr>v_71_GCH4_atm</vt:lpstr>
      <vt:lpstr>v_71_GCO2</vt:lpstr>
      <vt:lpstr>v_71_GCO2_atm</vt:lpstr>
      <vt:lpstr>v_71_GH2</vt:lpstr>
      <vt:lpstr>v_71_GH2_atm</vt:lpstr>
      <vt:lpstr>v_71_GN2</vt:lpstr>
      <vt:lpstr>v_71_GN2_atm</vt:lpstr>
      <vt:lpstr>v_71_GN2O</vt:lpstr>
      <vt:lpstr>v_71_GN2O_atm</vt:lpstr>
      <vt:lpstr>v_71_GNH3</vt:lpstr>
      <vt:lpstr>v_71_GNH3_atm</vt:lpstr>
      <vt:lpstr>v_71_GNO</vt:lpstr>
      <vt:lpstr>v_71_GNO_atm</vt:lpstr>
      <vt:lpstr>v_71_GO2</vt:lpstr>
      <vt:lpstr>v_71_GO2_atm</vt:lpstr>
      <vt:lpstr>v_71_SALPHA</vt:lpstr>
      <vt:lpstr>v_71_SAN</vt:lpstr>
      <vt:lpstr>v_71_SB</vt:lpstr>
      <vt:lpstr>v_71_SCa</vt:lpstr>
      <vt:lpstr>v_71_SCAT</vt:lpstr>
      <vt:lpstr>v_71_SCH4</vt:lpstr>
      <vt:lpstr>v_71_SCO2</vt:lpstr>
      <vt:lpstr>v_71_SFe2</vt:lpstr>
      <vt:lpstr>v_71_SH</vt:lpstr>
      <vt:lpstr>v_71_SH2</vt:lpstr>
      <vt:lpstr>v_71_SK</vt:lpstr>
      <vt:lpstr>v_71_SMEOL</vt:lpstr>
      <vt:lpstr>v_71_SMg</vt:lpstr>
      <vt:lpstr>v_71_SN_B</vt:lpstr>
      <vt:lpstr>v_71_SN2</vt:lpstr>
      <vt:lpstr>v_71_SN2O</vt:lpstr>
      <vt:lpstr>v_71_SNH2OH</vt:lpstr>
      <vt:lpstr>v_71_SNHx</vt:lpstr>
      <vt:lpstr>v_71_SNO_AOB</vt:lpstr>
      <vt:lpstr>v_71_SNO_OHO</vt:lpstr>
      <vt:lpstr>v_71_SNO2</vt:lpstr>
      <vt:lpstr>v_71_SNO3</vt:lpstr>
      <vt:lpstr>v_71_SO2</vt:lpstr>
      <vt:lpstr>v_71_SORPswitch</vt:lpstr>
      <vt:lpstr>v_71_SP_B</vt:lpstr>
      <vt:lpstr>v_71_SPFOA</vt:lpstr>
      <vt:lpstr>v_71_SPFOS</vt:lpstr>
      <vt:lpstr>v_71_SPO4</vt:lpstr>
      <vt:lpstr>v_71_SU</vt:lpstr>
      <vt:lpstr>v_71_SVFA</vt:lpstr>
      <vt:lpstr>v_71_XACP</vt:lpstr>
      <vt:lpstr>v_71_XALGAE</vt:lpstr>
      <vt:lpstr>v_71_XAMETO</vt:lpstr>
      <vt:lpstr>v_71_XAMX</vt:lpstr>
      <vt:lpstr>v_71_XAOB</vt:lpstr>
      <vt:lpstr>v_71_XB</vt:lpstr>
      <vt:lpstr>v_71_XB_e</vt:lpstr>
      <vt:lpstr>v_71_XBSH</vt:lpstr>
      <vt:lpstr>v_71_XCaCO3</vt:lpstr>
      <vt:lpstr>v_71_XCASTO</vt:lpstr>
      <vt:lpstr>v_71_XE</vt:lpstr>
      <vt:lpstr>v_71_XE_ana</vt:lpstr>
      <vt:lpstr>v_71_XHAO_H</vt:lpstr>
      <vt:lpstr>v_71_XHAO_H_P</vt:lpstr>
      <vt:lpstr>v_71_XHAO_H_P_old</vt:lpstr>
      <vt:lpstr>v_71_XHAO_L</vt:lpstr>
      <vt:lpstr>v_71_XHAO_L_P</vt:lpstr>
      <vt:lpstr>v_71_XHAO_L_P_old</vt:lpstr>
      <vt:lpstr>v_71_XHAO_old</vt:lpstr>
      <vt:lpstr>v_71_XHFO_H</vt:lpstr>
      <vt:lpstr>v_71_XHFO_H_P</vt:lpstr>
      <vt:lpstr>v_71_XHFO_H_P_old</vt:lpstr>
      <vt:lpstr>v_71_XHFO_L</vt:lpstr>
      <vt:lpstr>v_71_XHFO_L_P</vt:lpstr>
      <vt:lpstr>v_71_XHFO_L_P_old</vt:lpstr>
      <vt:lpstr>v_71_XHFO_old</vt:lpstr>
      <vt:lpstr>v_71_XHMETO</vt:lpstr>
      <vt:lpstr>v_71_XINORG</vt:lpstr>
      <vt:lpstr>v_71_XMEOLO</vt:lpstr>
      <vt:lpstr>v_71_XN_B</vt:lpstr>
      <vt:lpstr>v_71_XN_Be</vt:lpstr>
      <vt:lpstr>v_71_XN_U</vt:lpstr>
      <vt:lpstr>v_71_XNOB</vt:lpstr>
      <vt:lpstr>v_71_XOHO</vt:lpstr>
      <vt:lpstr>v_71_XP_B</vt:lpstr>
      <vt:lpstr>v_71_XP_Be</vt:lpstr>
      <vt:lpstr>v_71_XP_U</vt:lpstr>
      <vt:lpstr>v_71_XPFOA</vt:lpstr>
      <vt:lpstr>v_71_XPFOS</vt:lpstr>
      <vt:lpstr>v_71_XPHA_GAO</vt:lpstr>
      <vt:lpstr>v_71_XPHA_PAO</vt:lpstr>
      <vt:lpstr>v_71_XPP</vt:lpstr>
      <vt:lpstr>v_71_XSTR</vt:lpstr>
      <vt:lpstr>v_71_XU</vt:lpstr>
      <vt:lpstr>v_71_XVivi</vt:lpstr>
      <vt:lpstr>v_72_CB</vt:lpstr>
      <vt:lpstr>v_72_CU</vt:lpstr>
      <vt:lpstr>v_72_GCH4</vt:lpstr>
      <vt:lpstr>v_72_GCH4_atm</vt:lpstr>
      <vt:lpstr>v_72_GCO2</vt:lpstr>
      <vt:lpstr>v_72_GCO2_atm</vt:lpstr>
      <vt:lpstr>v_72_GH2</vt:lpstr>
      <vt:lpstr>v_72_GH2_atm</vt:lpstr>
      <vt:lpstr>v_72_GN2</vt:lpstr>
      <vt:lpstr>v_72_GN2_atm</vt:lpstr>
      <vt:lpstr>v_72_GN2O</vt:lpstr>
      <vt:lpstr>v_72_GN2O_atm</vt:lpstr>
      <vt:lpstr>v_72_GNH3</vt:lpstr>
      <vt:lpstr>v_72_GNH3_atm</vt:lpstr>
      <vt:lpstr>v_72_GNO</vt:lpstr>
      <vt:lpstr>v_72_GNO_atm</vt:lpstr>
      <vt:lpstr>v_72_GO2</vt:lpstr>
      <vt:lpstr>v_72_GO2_atm</vt:lpstr>
      <vt:lpstr>v_72_SALPHA</vt:lpstr>
      <vt:lpstr>v_72_SAN</vt:lpstr>
      <vt:lpstr>v_72_SB</vt:lpstr>
      <vt:lpstr>v_72_SCa</vt:lpstr>
      <vt:lpstr>v_72_SCAT</vt:lpstr>
      <vt:lpstr>v_72_SCH4</vt:lpstr>
      <vt:lpstr>v_72_SCO2</vt:lpstr>
      <vt:lpstr>v_72_SFe2</vt:lpstr>
      <vt:lpstr>v_72_SH</vt:lpstr>
      <vt:lpstr>v_72_SH2</vt:lpstr>
      <vt:lpstr>v_72_SK</vt:lpstr>
      <vt:lpstr>v_72_SMEOL</vt:lpstr>
      <vt:lpstr>v_72_SMg</vt:lpstr>
      <vt:lpstr>v_72_SN_B</vt:lpstr>
      <vt:lpstr>v_72_SN2</vt:lpstr>
      <vt:lpstr>v_72_SN2O</vt:lpstr>
      <vt:lpstr>v_72_SNH2OH</vt:lpstr>
      <vt:lpstr>v_72_SNHx</vt:lpstr>
      <vt:lpstr>v_72_SNO_AOB</vt:lpstr>
      <vt:lpstr>v_72_SNO_OHO</vt:lpstr>
      <vt:lpstr>v_72_SNO2</vt:lpstr>
      <vt:lpstr>v_72_SNO3</vt:lpstr>
      <vt:lpstr>v_72_SO2</vt:lpstr>
      <vt:lpstr>v_72_SORPswitch</vt:lpstr>
      <vt:lpstr>v_72_SP_B</vt:lpstr>
      <vt:lpstr>v_72_SPFOA</vt:lpstr>
      <vt:lpstr>v_72_SPFOS</vt:lpstr>
      <vt:lpstr>v_72_SPO4</vt:lpstr>
      <vt:lpstr>v_72_SU</vt:lpstr>
      <vt:lpstr>v_72_SVFA</vt:lpstr>
      <vt:lpstr>v_72_XACP</vt:lpstr>
      <vt:lpstr>v_72_XALGAE</vt:lpstr>
      <vt:lpstr>v_72_XAMETO</vt:lpstr>
      <vt:lpstr>v_72_XAMX</vt:lpstr>
      <vt:lpstr>v_72_XAOB</vt:lpstr>
      <vt:lpstr>v_72_XB</vt:lpstr>
      <vt:lpstr>v_72_XB_e</vt:lpstr>
      <vt:lpstr>v_72_XBSH</vt:lpstr>
      <vt:lpstr>v_72_XCaCO3</vt:lpstr>
      <vt:lpstr>v_72_XCASTO</vt:lpstr>
      <vt:lpstr>v_72_XE</vt:lpstr>
      <vt:lpstr>v_72_XE_ana</vt:lpstr>
      <vt:lpstr>v_72_XHAO_H</vt:lpstr>
      <vt:lpstr>v_72_XHAO_H_P</vt:lpstr>
      <vt:lpstr>v_72_XHAO_H_P_old</vt:lpstr>
      <vt:lpstr>v_72_XHAO_L</vt:lpstr>
      <vt:lpstr>v_72_XHAO_L_P</vt:lpstr>
      <vt:lpstr>v_72_XHAO_L_P_old</vt:lpstr>
      <vt:lpstr>v_72_XHAO_old</vt:lpstr>
      <vt:lpstr>v_72_XHFO_H</vt:lpstr>
      <vt:lpstr>v_72_XHFO_H_P</vt:lpstr>
      <vt:lpstr>v_72_XHFO_H_P_old</vt:lpstr>
      <vt:lpstr>v_72_XHFO_L</vt:lpstr>
      <vt:lpstr>v_72_XHFO_L_P</vt:lpstr>
      <vt:lpstr>v_72_XHFO_L_P_old</vt:lpstr>
      <vt:lpstr>v_72_XHFO_old</vt:lpstr>
      <vt:lpstr>v_72_XHMETO</vt:lpstr>
      <vt:lpstr>v_72_XINORG</vt:lpstr>
      <vt:lpstr>v_72_XMEOLO</vt:lpstr>
      <vt:lpstr>v_72_XN_B</vt:lpstr>
      <vt:lpstr>v_72_XN_Be</vt:lpstr>
      <vt:lpstr>v_72_XN_U</vt:lpstr>
      <vt:lpstr>v_72_XNOB</vt:lpstr>
      <vt:lpstr>v_72_XOHO</vt:lpstr>
      <vt:lpstr>v_72_XP_B</vt:lpstr>
      <vt:lpstr>v_72_XP_Be</vt:lpstr>
      <vt:lpstr>v_72_XP_U</vt:lpstr>
      <vt:lpstr>v_72_XPFOA</vt:lpstr>
      <vt:lpstr>v_72_XPFOS</vt:lpstr>
      <vt:lpstr>v_72_XPHA_GAO</vt:lpstr>
      <vt:lpstr>v_72_XPHA_PAO</vt:lpstr>
      <vt:lpstr>v_72_XPP</vt:lpstr>
      <vt:lpstr>v_72_XSTR</vt:lpstr>
      <vt:lpstr>v_72_XU</vt:lpstr>
      <vt:lpstr>v_72_XVivi</vt:lpstr>
      <vt:lpstr>v_73_CB</vt:lpstr>
      <vt:lpstr>v_73_CU</vt:lpstr>
      <vt:lpstr>v_73_GCH4</vt:lpstr>
      <vt:lpstr>v_73_GCH4_atm</vt:lpstr>
      <vt:lpstr>v_73_GCO2</vt:lpstr>
      <vt:lpstr>v_73_GCO2_atm</vt:lpstr>
      <vt:lpstr>v_73_GH2</vt:lpstr>
      <vt:lpstr>v_73_GH2_atm</vt:lpstr>
      <vt:lpstr>v_73_GN2</vt:lpstr>
      <vt:lpstr>v_73_GN2_atm</vt:lpstr>
      <vt:lpstr>v_73_GN2O</vt:lpstr>
      <vt:lpstr>v_73_GN2O_atm</vt:lpstr>
      <vt:lpstr>v_73_GNH3</vt:lpstr>
      <vt:lpstr>v_73_GNH3_atm</vt:lpstr>
      <vt:lpstr>v_73_GNO</vt:lpstr>
      <vt:lpstr>v_73_GNO_atm</vt:lpstr>
      <vt:lpstr>v_73_GO2</vt:lpstr>
      <vt:lpstr>v_73_GO2_atm</vt:lpstr>
      <vt:lpstr>v_73_SALPHA</vt:lpstr>
      <vt:lpstr>v_73_SAN</vt:lpstr>
      <vt:lpstr>v_73_SB</vt:lpstr>
      <vt:lpstr>v_73_SCa</vt:lpstr>
      <vt:lpstr>v_73_SCAT</vt:lpstr>
      <vt:lpstr>v_73_SCH4</vt:lpstr>
      <vt:lpstr>v_73_SCO2</vt:lpstr>
      <vt:lpstr>v_73_SFe2</vt:lpstr>
      <vt:lpstr>v_73_SH</vt:lpstr>
      <vt:lpstr>v_73_SH2</vt:lpstr>
      <vt:lpstr>v_73_SK</vt:lpstr>
      <vt:lpstr>v_73_SMEOL</vt:lpstr>
      <vt:lpstr>v_73_SMg</vt:lpstr>
      <vt:lpstr>v_73_SN_B</vt:lpstr>
      <vt:lpstr>v_73_SN2</vt:lpstr>
      <vt:lpstr>v_73_SN2O</vt:lpstr>
      <vt:lpstr>v_73_SNH2OH</vt:lpstr>
      <vt:lpstr>v_73_SNHx</vt:lpstr>
      <vt:lpstr>v_73_SNO_AOB</vt:lpstr>
      <vt:lpstr>v_73_SNO_OHO</vt:lpstr>
      <vt:lpstr>v_73_SNO2</vt:lpstr>
      <vt:lpstr>v_73_SNO3</vt:lpstr>
      <vt:lpstr>v_73_SO2</vt:lpstr>
      <vt:lpstr>v_73_SORPswitch</vt:lpstr>
      <vt:lpstr>v_73_SP_B</vt:lpstr>
      <vt:lpstr>v_73_SPFOA</vt:lpstr>
      <vt:lpstr>v_73_SPFOS</vt:lpstr>
      <vt:lpstr>v_73_SPO4</vt:lpstr>
      <vt:lpstr>v_73_SU</vt:lpstr>
      <vt:lpstr>v_73_SVFA</vt:lpstr>
      <vt:lpstr>v_73_XACP</vt:lpstr>
      <vt:lpstr>v_73_XALGAE</vt:lpstr>
      <vt:lpstr>v_73_XAMETO</vt:lpstr>
      <vt:lpstr>v_73_XAMX</vt:lpstr>
      <vt:lpstr>v_73_XAOB</vt:lpstr>
      <vt:lpstr>v_73_XB</vt:lpstr>
      <vt:lpstr>v_73_XB_e</vt:lpstr>
      <vt:lpstr>v_73_XBSH</vt:lpstr>
      <vt:lpstr>v_73_XCaCO3</vt:lpstr>
      <vt:lpstr>v_73_XCASTO</vt:lpstr>
      <vt:lpstr>v_73_XE</vt:lpstr>
      <vt:lpstr>v_73_XE_ana</vt:lpstr>
      <vt:lpstr>v_73_XHAO_H</vt:lpstr>
      <vt:lpstr>v_73_XHAO_H_P</vt:lpstr>
      <vt:lpstr>v_73_XHAO_H_P_old</vt:lpstr>
      <vt:lpstr>v_73_XHAO_L</vt:lpstr>
      <vt:lpstr>v_73_XHAO_L_P</vt:lpstr>
      <vt:lpstr>v_73_XHAO_L_P_old</vt:lpstr>
      <vt:lpstr>v_73_XHAO_old</vt:lpstr>
      <vt:lpstr>v_73_XHFO_H</vt:lpstr>
      <vt:lpstr>v_73_XHFO_H_P</vt:lpstr>
      <vt:lpstr>v_73_XHFO_H_P_old</vt:lpstr>
      <vt:lpstr>v_73_XHFO_L</vt:lpstr>
      <vt:lpstr>v_73_XHFO_L_P</vt:lpstr>
      <vt:lpstr>v_73_XHFO_L_P_old</vt:lpstr>
      <vt:lpstr>v_73_XHFO_old</vt:lpstr>
      <vt:lpstr>v_73_XHMETO</vt:lpstr>
      <vt:lpstr>v_73_XINORG</vt:lpstr>
      <vt:lpstr>v_73_XMEOLO</vt:lpstr>
      <vt:lpstr>v_73_XN_B</vt:lpstr>
      <vt:lpstr>v_73_XN_Be</vt:lpstr>
      <vt:lpstr>v_73_XN_U</vt:lpstr>
      <vt:lpstr>v_73_XNOB</vt:lpstr>
      <vt:lpstr>v_73_XOHO</vt:lpstr>
      <vt:lpstr>v_73_XP_B</vt:lpstr>
      <vt:lpstr>v_73_XP_Be</vt:lpstr>
      <vt:lpstr>v_73_XP_U</vt:lpstr>
      <vt:lpstr>v_73_XPFOA</vt:lpstr>
      <vt:lpstr>v_73_XPFOS</vt:lpstr>
      <vt:lpstr>v_73_XPHA_GAO</vt:lpstr>
      <vt:lpstr>v_73_XPHA_PAO</vt:lpstr>
      <vt:lpstr>v_73_XPP</vt:lpstr>
      <vt:lpstr>v_73_XSTR</vt:lpstr>
      <vt:lpstr>v_73_XU</vt:lpstr>
      <vt:lpstr>v_73_XVivi</vt:lpstr>
      <vt:lpstr>v_74_CB</vt:lpstr>
      <vt:lpstr>v_74_CU</vt:lpstr>
      <vt:lpstr>v_74_GCH4</vt:lpstr>
      <vt:lpstr>v_74_GCH4_atm</vt:lpstr>
      <vt:lpstr>v_74_GCO2</vt:lpstr>
      <vt:lpstr>v_74_GCO2_atm</vt:lpstr>
      <vt:lpstr>v_74_GH2</vt:lpstr>
      <vt:lpstr>v_74_GH2_atm</vt:lpstr>
      <vt:lpstr>v_74_GN2</vt:lpstr>
      <vt:lpstr>v_74_GN2_atm</vt:lpstr>
      <vt:lpstr>v_74_GN2O</vt:lpstr>
      <vt:lpstr>v_74_GN2O_atm</vt:lpstr>
      <vt:lpstr>v_74_GNH3</vt:lpstr>
      <vt:lpstr>v_74_GNH3_atm</vt:lpstr>
      <vt:lpstr>v_74_GNO</vt:lpstr>
      <vt:lpstr>v_74_GNO_atm</vt:lpstr>
      <vt:lpstr>v_74_GO2</vt:lpstr>
      <vt:lpstr>v_74_GO2_atm</vt:lpstr>
      <vt:lpstr>v_74_SALPHA</vt:lpstr>
      <vt:lpstr>v_74_SAN</vt:lpstr>
      <vt:lpstr>v_74_SB</vt:lpstr>
      <vt:lpstr>v_74_SCa</vt:lpstr>
      <vt:lpstr>v_74_SCAT</vt:lpstr>
      <vt:lpstr>v_74_SCH4</vt:lpstr>
      <vt:lpstr>v_74_SCO2</vt:lpstr>
      <vt:lpstr>v_74_SFe2</vt:lpstr>
      <vt:lpstr>v_74_SH</vt:lpstr>
      <vt:lpstr>v_74_SH2</vt:lpstr>
      <vt:lpstr>v_74_SK</vt:lpstr>
      <vt:lpstr>v_74_SMEOL</vt:lpstr>
      <vt:lpstr>v_74_SMg</vt:lpstr>
      <vt:lpstr>v_74_SN_B</vt:lpstr>
      <vt:lpstr>v_74_SN2</vt:lpstr>
      <vt:lpstr>v_74_SN2O</vt:lpstr>
      <vt:lpstr>v_74_SNH2OH</vt:lpstr>
      <vt:lpstr>v_74_SNHx</vt:lpstr>
      <vt:lpstr>v_74_SNO_AOB</vt:lpstr>
      <vt:lpstr>v_74_SNO_OHO</vt:lpstr>
      <vt:lpstr>v_74_SNO2</vt:lpstr>
      <vt:lpstr>v_74_SNO3</vt:lpstr>
      <vt:lpstr>v_74_SO2</vt:lpstr>
      <vt:lpstr>v_74_SORPswitch</vt:lpstr>
      <vt:lpstr>v_74_SP_B</vt:lpstr>
      <vt:lpstr>v_74_SPFOA</vt:lpstr>
      <vt:lpstr>v_74_SPFOS</vt:lpstr>
      <vt:lpstr>v_74_SPO4</vt:lpstr>
      <vt:lpstr>v_74_SU</vt:lpstr>
      <vt:lpstr>v_74_SVFA</vt:lpstr>
      <vt:lpstr>v_74_XACP</vt:lpstr>
      <vt:lpstr>v_74_XALGAE</vt:lpstr>
      <vt:lpstr>v_74_XAMETO</vt:lpstr>
      <vt:lpstr>v_74_XAMX</vt:lpstr>
      <vt:lpstr>v_74_XAOB</vt:lpstr>
      <vt:lpstr>v_74_XB</vt:lpstr>
      <vt:lpstr>v_74_XB_e</vt:lpstr>
      <vt:lpstr>v_74_XBSH</vt:lpstr>
      <vt:lpstr>v_74_XCaCO3</vt:lpstr>
      <vt:lpstr>v_74_XCASTO</vt:lpstr>
      <vt:lpstr>v_74_XE</vt:lpstr>
      <vt:lpstr>v_74_XE_ana</vt:lpstr>
      <vt:lpstr>v_74_XHAO_H</vt:lpstr>
      <vt:lpstr>v_74_XHAO_H_P</vt:lpstr>
      <vt:lpstr>v_74_XHAO_H_P_old</vt:lpstr>
      <vt:lpstr>v_74_XHAO_L</vt:lpstr>
      <vt:lpstr>v_74_XHAO_L_P</vt:lpstr>
      <vt:lpstr>v_74_XHAO_L_P_old</vt:lpstr>
      <vt:lpstr>v_74_XHAO_old</vt:lpstr>
      <vt:lpstr>v_74_XHFO_H</vt:lpstr>
      <vt:lpstr>v_74_XHFO_H_P</vt:lpstr>
      <vt:lpstr>v_74_XHFO_H_P_old</vt:lpstr>
      <vt:lpstr>v_74_XHFO_L</vt:lpstr>
      <vt:lpstr>v_74_XHFO_L_P</vt:lpstr>
      <vt:lpstr>v_74_XHFO_L_P_old</vt:lpstr>
      <vt:lpstr>v_74_XHFO_old</vt:lpstr>
      <vt:lpstr>v_74_XHMETO</vt:lpstr>
      <vt:lpstr>v_74_XINORG</vt:lpstr>
      <vt:lpstr>v_74_XMEOLO</vt:lpstr>
      <vt:lpstr>v_74_XN_B</vt:lpstr>
      <vt:lpstr>v_74_XN_Be</vt:lpstr>
      <vt:lpstr>v_74_XN_U</vt:lpstr>
      <vt:lpstr>v_74_XNOB</vt:lpstr>
      <vt:lpstr>v_74_XOHO</vt:lpstr>
      <vt:lpstr>v_74_XP_B</vt:lpstr>
      <vt:lpstr>v_74_XP_Be</vt:lpstr>
      <vt:lpstr>v_74_XP_U</vt:lpstr>
      <vt:lpstr>v_74_XPFOA</vt:lpstr>
      <vt:lpstr>v_74_XPFOS</vt:lpstr>
      <vt:lpstr>v_74_XPHA_GAO</vt:lpstr>
      <vt:lpstr>v_74_XPHA_PAO</vt:lpstr>
      <vt:lpstr>v_74_XPP</vt:lpstr>
      <vt:lpstr>v_74_XSTR</vt:lpstr>
      <vt:lpstr>v_74_XU</vt:lpstr>
      <vt:lpstr>v_74_XVivi</vt:lpstr>
      <vt:lpstr>v_75_CB</vt:lpstr>
      <vt:lpstr>v_75_CU</vt:lpstr>
      <vt:lpstr>v_75_GCH4</vt:lpstr>
      <vt:lpstr>v_75_GCH4_atm</vt:lpstr>
      <vt:lpstr>v_75_GCO2</vt:lpstr>
      <vt:lpstr>v_75_GCO2_atm</vt:lpstr>
      <vt:lpstr>v_75_GH2</vt:lpstr>
      <vt:lpstr>v_75_GH2_atm</vt:lpstr>
      <vt:lpstr>v_75_GN2</vt:lpstr>
      <vt:lpstr>v_75_GN2_atm</vt:lpstr>
      <vt:lpstr>v_75_GN2O</vt:lpstr>
      <vt:lpstr>v_75_GN2O_atm</vt:lpstr>
      <vt:lpstr>v_75_GNH3</vt:lpstr>
      <vt:lpstr>v_75_GNH3_atm</vt:lpstr>
      <vt:lpstr>v_75_GNO</vt:lpstr>
      <vt:lpstr>v_75_GNO_atm</vt:lpstr>
      <vt:lpstr>v_75_GO2</vt:lpstr>
      <vt:lpstr>v_75_GO2_atm</vt:lpstr>
      <vt:lpstr>v_75_SALPHA</vt:lpstr>
      <vt:lpstr>v_75_SAN</vt:lpstr>
      <vt:lpstr>v_75_SB</vt:lpstr>
      <vt:lpstr>v_75_SCa</vt:lpstr>
      <vt:lpstr>v_75_SCAT</vt:lpstr>
      <vt:lpstr>v_75_SCH4</vt:lpstr>
      <vt:lpstr>v_75_SCO2</vt:lpstr>
      <vt:lpstr>v_75_SFe2</vt:lpstr>
      <vt:lpstr>v_75_SH</vt:lpstr>
      <vt:lpstr>v_75_SH2</vt:lpstr>
      <vt:lpstr>v_75_SK</vt:lpstr>
      <vt:lpstr>v_75_SMEOL</vt:lpstr>
      <vt:lpstr>v_75_SMg</vt:lpstr>
      <vt:lpstr>v_75_SN_B</vt:lpstr>
      <vt:lpstr>v_75_SN2</vt:lpstr>
      <vt:lpstr>v_75_SN2O</vt:lpstr>
      <vt:lpstr>v_75_SNH2OH</vt:lpstr>
      <vt:lpstr>v_75_SNHx</vt:lpstr>
      <vt:lpstr>v_75_SNO_AOB</vt:lpstr>
      <vt:lpstr>v_75_SNO_OHO</vt:lpstr>
      <vt:lpstr>v_75_SNO2</vt:lpstr>
      <vt:lpstr>v_75_SNO3</vt:lpstr>
      <vt:lpstr>v_75_SO2</vt:lpstr>
      <vt:lpstr>v_75_SORPswitch</vt:lpstr>
      <vt:lpstr>v_75_SP_B</vt:lpstr>
      <vt:lpstr>v_75_SPFOA</vt:lpstr>
      <vt:lpstr>v_75_SPFOS</vt:lpstr>
      <vt:lpstr>v_75_SPO4</vt:lpstr>
      <vt:lpstr>v_75_SU</vt:lpstr>
      <vt:lpstr>v_75_SVFA</vt:lpstr>
      <vt:lpstr>v_75_XACP</vt:lpstr>
      <vt:lpstr>v_75_XALGAE</vt:lpstr>
      <vt:lpstr>v_75_XAMETO</vt:lpstr>
      <vt:lpstr>v_75_XAMX</vt:lpstr>
      <vt:lpstr>v_75_XAOB</vt:lpstr>
      <vt:lpstr>v_75_XB</vt:lpstr>
      <vt:lpstr>v_75_XB_e</vt:lpstr>
      <vt:lpstr>v_75_XBSH</vt:lpstr>
      <vt:lpstr>v_75_XCaCO3</vt:lpstr>
      <vt:lpstr>v_75_XCASTO</vt:lpstr>
      <vt:lpstr>v_75_XE</vt:lpstr>
      <vt:lpstr>v_75_XE_ana</vt:lpstr>
      <vt:lpstr>v_75_XHAO_H</vt:lpstr>
      <vt:lpstr>v_75_XHAO_H_P</vt:lpstr>
      <vt:lpstr>v_75_XHAO_H_P_old</vt:lpstr>
      <vt:lpstr>v_75_XHAO_L</vt:lpstr>
      <vt:lpstr>v_75_XHAO_L_P</vt:lpstr>
      <vt:lpstr>v_75_XHAO_L_P_old</vt:lpstr>
      <vt:lpstr>v_75_XHAO_old</vt:lpstr>
      <vt:lpstr>v_75_XHFO_H</vt:lpstr>
      <vt:lpstr>v_75_XHFO_H_P</vt:lpstr>
      <vt:lpstr>v_75_XHFO_H_P_old</vt:lpstr>
      <vt:lpstr>v_75_XHFO_L</vt:lpstr>
      <vt:lpstr>v_75_XHFO_L_P</vt:lpstr>
      <vt:lpstr>v_75_XHFO_L_P_old</vt:lpstr>
      <vt:lpstr>v_75_XHFO_old</vt:lpstr>
      <vt:lpstr>v_75_XHMETO</vt:lpstr>
      <vt:lpstr>v_75_XINORG</vt:lpstr>
      <vt:lpstr>v_75_XMEOLO</vt:lpstr>
      <vt:lpstr>v_75_XN_B</vt:lpstr>
      <vt:lpstr>v_75_XN_Be</vt:lpstr>
      <vt:lpstr>v_75_XN_U</vt:lpstr>
      <vt:lpstr>v_75_XNOB</vt:lpstr>
      <vt:lpstr>v_75_XOHO</vt:lpstr>
      <vt:lpstr>v_75_XP_B</vt:lpstr>
      <vt:lpstr>v_75_XP_Be</vt:lpstr>
      <vt:lpstr>v_75_XP_U</vt:lpstr>
      <vt:lpstr>v_75_XPFOA</vt:lpstr>
      <vt:lpstr>v_75_XPFOS</vt:lpstr>
      <vt:lpstr>v_75_XPHA_GAO</vt:lpstr>
      <vt:lpstr>v_75_XPHA_PAO</vt:lpstr>
      <vt:lpstr>v_75_XPP</vt:lpstr>
      <vt:lpstr>v_75_XSTR</vt:lpstr>
      <vt:lpstr>v_75_XU</vt:lpstr>
      <vt:lpstr>v_75_XVivi</vt:lpstr>
      <vt:lpstr>v_76_CB</vt:lpstr>
      <vt:lpstr>v_76_CU</vt:lpstr>
      <vt:lpstr>v_76_GCH4</vt:lpstr>
      <vt:lpstr>v_76_GCH4_atm</vt:lpstr>
      <vt:lpstr>v_76_GCO2</vt:lpstr>
      <vt:lpstr>v_76_GCO2_atm</vt:lpstr>
      <vt:lpstr>v_76_GH2</vt:lpstr>
      <vt:lpstr>v_76_GH2_atm</vt:lpstr>
      <vt:lpstr>v_76_GN2</vt:lpstr>
      <vt:lpstr>v_76_GN2_atm</vt:lpstr>
      <vt:lpstr>v_76_GN2O</vt:lpstr>
      <vt:lpstr>v_76_GN2O_atm</vt:lpstr>
      <vt:lpstr>v_76_GNH3</vt:lpstr>
      <vt:lpstr>v_76_GNH3_atm</vt:lpstr>
      <vt:lpstr>v_76_GNO</vt:lpstr>
      <vt:lpstr>v_76_GNO_atm</vt:lpstr>
      <vt:lpstr>v_76_GO2</vt:lpstr>
      <vt:lpstr>v_76_GO2_atm</vt:lpstr>
      <vt:lpstr>v_76_SALPHA</vt:lpstr>
      <vt:lpstr>v_76_SAN</vt:lpstr>
      <vt:lpstr>v_76_SB</vt:lpstr>
      <vt:lpstr>v_76_SCa</vt:lpstr>
      <vt:lpstr>v_76_SCAT</vt:lpstr>
      <vt:lpstr>v_76_SCH4</vt:lpstr>
      <vt:lpstr>v_76_SCO2</vt:lpstr>
      <vt:lpstr>v_76_SFe2</vt:lpstr>
      <vt:lpstr>v_76_SH</vt:lpstr>
      <vt:lpstr>v_76_SH2</vt:lpstr>
      <vt:lpstr>v_76_SK</vt:lpstr>
      <vt:lpstr>v_76_SMEOL</vt:lpstr>
      <vt:lpstr>v_76_SMg</vt:lpstr>
      <vt:lpstr>v_76_SN_B</vt:lpstr>
      <vt:lpstr>v_76_SN2</vt:lpstr>
      <vt:lpstr>v_76_SN2O</vt:lpstr>
      <vt:lpstr>v_76_SNH2OH</vt:lpstr>
      <vt:lpstr>v_76_SNHx</vt:lpstr>
      <vt:lpstr>v_76_SNO_AOB</vt:lpstr>
      <vt:lpstr>v_76_SNO_OHO</vt:lpstr>
      <vt:lpstr>v_76_SNO2</vt:lpstr>
      <vt:lpstr>v_76_SNO3</vt:lpstr>
      <vt:lpstr>v_76_SO2</vt:lpstr>
      <vt:lpstr>v_76_SORPswitch</vt:lpstr>
      <vt:lpstr>v_76_SP_B</vt:lpstr>
      <vt:lpstr>v_76_SPFOA</vt:lpstr>
      <vt:lpstr>v_76_SPFOS</vt:lpstr>
      <vt:lpstr>v_76_SPO4</vt:lpstr>
      <vt:lpstr>v_76_SU</vt:lpstr>
      <vt:lpstr>v_76_SVFA</vt:lpstr>
      <vt:lpstr>v_76_XACP</vt:lpstr>
      <vt:lpstr>v_76_XALGAE</vt:lpstr>
      <vt:lpstr>v_76_XAMETO</vt:lpstr>
      <vt:lpstr>v_76_XAMX</vt:lpstr>
      <vt:lpstr>v_76_XAOB</vt:lpstr>
      <vt:lpstr>v_76_XB</vt:lpstr>
      <vt:lpstr>v_76_XB_e</vt:lpstr>
      <vt:lpstr>v_76_XBSH</vt:lpstr>
      <vt:lpstr>v_76_XCaCO3</vt:lpstr>
      <vt:lpstr>v_76_XCASTO</vt:lpstr>
      <vt:lpstr>v_76_XE</vt:lpstr>
      <vt:lpstr>v_76_XE_ana</vt:lpstr>
      <vt:lpstr>v_76_XHAO_H</vt:lpstr>
      <vt:lpstr>v_76_XHAO_H_P</vt:lpstr>
      <vt:lpstr>v_76_XHAO_H_P_old</vt:lpstr>
      <vt:lpstr>v_76_XHAO_L</vt:lpstr>
      <vt:lpstr>v_76_XHAO_L_P</vt:lpstr>
      <vt:lpstr>v_76_XHAO_L_P_old</vt:lpstr>
      <vt:lpstr>v_76_XHAO_old</vt:lpstr>
      <vt:lpstr>v_76_XHFO_H</vt:lpstr>
      <vt:lpstr>v_76_XHFO_H_P</vt:lpstr>
      <vt:lpstr>v_76_XHFO_H_P_old</vt:lpstr>
      <vt:lpstr>v_76_XHFO_L</vt:lpstr>
      <vt:lpstr>v_76_XHFO_L_P</vt:lpstr>
      <vt:lpstr>v_76_XHFO_L_P_old</vt:lpstr>
      <vt:lpstr>v_76_XHFO_old</vt:lpstr>
      <vt:lpstr>v_76_XHMETO</vt:lpstr>
      <vt:lpstr>v_76_XINORG</vt:lpstr>
      <vt:lpstr>v_76_XMEOLO</vt:lpstr>
      <vt:lpstr>v_76_XN_B</vt:lpstr>
      <vt:lpstr>v_76_XN_Be</vt:lpstr>
      <vt:lpstr>v_76_XN_U</vt:lpstr>
      <vt:lpstr>v_76_XNOB</vt:lpstr>
      <vt:lpstr>v_76_XOHO</vt:lpstr>
      <vt:lpstr>v_76_XP_B</vt:lpstr>
      <vt:lpstr>v_76_XP_Be</vt:lpstr>
      <vt:lpstr>v_76_XP_U</vt:lpstr>
      <vt:lpstr>v_76_XPFOA</vt:lpstr>
      <vt:lpstr>v_76_XPFOS</vt:lpstr>
      <vt:lpstr>v_76_XPHA_GAO</vt:lpstr>
      <vt:lpstr>v_76_XPHA_PAO</vt:lpstr>
      <vt:lpstr>v_76_XPP</vt:lpstr>
      <vt:lpstr>v_76_XSTR</vt:lpstr>
      <vt:lpstr>v_76_XU</vt:lpstr>
      <vt:lpstr>v_76_XVivi</vt:lpstr>
      <vt:lpstr>v_77_CB</vt:lpstr>
      <vt:lpstr>v_77_CU</vt:lpstr>
      <vt:lpstr>v_77_GCH4</vt:lpstr>
      <vt:lpstr>v_77_GCH4_atm</vt:lpstr>
      <vt:lpstr>v_77_GCO2</vt:lpstr>
      <vt:lpstr>v_77_GCO2_atm</vt:lpstr>
      <vt:lpstr>v_77_GH2</vt:lpstr>
      <vt:lpstr>v_77_GH2_atm</vt:lpstr>
      <vt:lpstr>v_77_GN2</vt:lpstr>
      <vt:lpstr>v_77_GN2_atm</vt:lpstr>
      <vt:lpstr>v_77_GN2O</vt:lpstr>
      <vt:lpstr>v_77_GN2O_atm</vt:lpstr>
      <vt:lpstr>v_77_GNH3</vt:lpstr>
      <vt:lpstr>v_77_GNH3_atm</vt:lpstr>
      <vt:lpstr>v_77_GNO</vt:lpstr>
      <vt:lpstr>v_77_GNO_atm</vt:lpstr>
      <vt:lpstr>v_77_GO2</vt:lpstr>
      <vt:lpstr>v_77_GO2_atm</vt:lpstr>
      <vt:lpstr>v_77_SALPHA</vt:lpstr>
      <vt:lpstr>v_77_SAN</vt:lpstr>
      <vt:lpstr>v_77_SB</vt:lpstr>
      <vt:lpstr>v_77_SCa</vt:lpstr>
      <vt:lpstr>v_77_SCAT</vt:lpstr>
      <vt:lpstr>v_77_SCH4</vt:lpstr>
      <vt:lpstr>v_77_SCO2</vt:lpstr>
      <vt:lpstr>v_77_SFe2</vt:lpstr>
      <vt:lpstr>v_77_SH</vt:lpstr>
      <vt:lpstr>v_77_SH2</vt:lpstr>
      <vt:lpstr>v_77_SK</vt:lpstr>
      <vt:lpstr>v_77_SMEOL</vt:lpstr>
      <vt:lpstr>v_77_SMg</vt:lpstr>
      <vt:lpstr>v_77_SN_B</vt:lpstr>
      <vt:lpstr>v_77_SN2</vt:lpstr>
      <vt:lpstr>v_77_SN2O</vt:lpstr>
      <vt:lpstr>v_77_SNH2OH</vt:lpstr>
      <vt:lpstr>v_77_SNHx</vt:lpstr>
      <vt:lpstr>v_77_SNO_AOB</vt:lpstr>
      <vt:lpstr>v_77_SNO_OHO</vt:lpstr>
      <vt:lpstr>v_77_SNO2</vt:lpstr>
      <vt:lpstr>v_77_SNO3</vt:lpstr>
      <vt:lpstr>v_77_SO2</vt:lpstr>
      <vt:lpstr>v_77_SORPswitch</vt:lpstr>
      <vt:lpstr>v_77_SP_B</vt:lpstr>
      <vt:lpstr>v_77_SPFOA</vt:lpstr>
      <vt:lpstr>v_77_SPFOS</vt:lpstr>
      <vt:lpstr>v_77_SPO4</vt:lpstr>
      <vt:lpstr>v_77_SU</vt:lpstr>
      <vt:lpstr>v_77_SVFA</vt:lpstr>
      <vt:lpstr>v_77_XACP</vt:lpstr>
      <vt:lpstr>v_77_XALGAE</vt:lpstr>
      <vt:lpstr>v_77_XAMETO</vt:lpstr>
      <vt:lpstr>v_77_XAMX</vt:lpstr>
      <vt:lpstr>v_77_XAOB</vt:lpstr>
      <vt:lpstr>v_77_XB</vt:lpstr>
      <vt:lpstr>v_77_XB_e</vt:lpstr>
      <vt:lpstr>v_77_XBSH</vt:lpstr>
      <vt:lpstr>v_77_XCaCO3</vt:lpstr>
      <vt:lpstr>v_77_XCASTO</vt:lpstr>
      <vt:lpstr>v_77_XE</vt:lpstr>
      <vt:lpstr>v_77_XE_ana</vt:lpstr>
      <vt:lpstr>v_77_XHAO_H</vt:lpstr>
      <vt:lpstr>v_77_XHAO_H_P</vt:lpstr>
      <vt:lpstr>v_77_XHAO_H_P_old</vt:lpstr>
      <vt:lpstr>v_77_XHAO_L</vt:lpstr>
      <vt:lpstr>v_77_XHAO_L_P</vt:lpstr>
      <vt:lpstr>v_77_XHAO_L_P_old</vt:lpstr>
      <vt:lpstr>v_77_XHAO_old</vt:lpstr>
      <vt:lpstr>v_77_XHFO_H</vt:lpstr>
      <vt:lpstr>v_77_XHFO_H_P</vt:lpstr>
      <vt:lpstr>v_77_XHFO_H_P_old</vt:lpstr>
      <vt:lpstr>v_77_XHFO_L</vt:lpstr>
      <vt:lpstr>v_77_XHFO_L_P</vt:lpstr>
      <vt:lpstr>v_77_XHFO_L_P_old</vt:lpstr>
      <vt:lpstr>v_77_XHFO_old</vt:lpstr>
      <vt:lpstr>v_77_XHMETO</vt:lpstr>
      <vt:lpstr>v_77_XINORG</vt:lpstr>
      <vt:lpstr>v_77_XMEOLO</vt:lpstr>
      <vt:lpstr>v_77_XN_B</vt:lpstr>
      <vt:lpstr>v_77_XN_Be</vt:lpstr>
      <vt:lpstr>v_77_XN_U</vt:lpstr>
      <vt:lpstr>v_77_XNOB</vt:lpstr>
      <vt:lpstr>v_77_XOHO</vt:lpstr>
      <vt:lpstr>v_77_XP_B</vt:lpstr>
      <vt:lpstr>v_77_XP_Be</vt:lpstr>
      <vt:lpstr>v_77_XP_U</vt:lpstr>
      <vt:lpstr>v_77_XPFOA</vt:lpstr>
      <vt:lpstr>v_77_XPFOS</vt:lpstr>
      <vt:lpstr>v_77_XPHA_GAO</vt:lpstr>
      <vt:lpstr>v_77_XPHA_PAO</vt:lpstr>
      <vt:lpstr>v_77_XPP</vt:lpstr>
      <vt:lpstr>v_77_XSTR</vt:lpstr>
      <vt:lpstr>v_77_XU</vt:lpstr>
      <vt:lpstr>v_77_XVivi</vt:lpstr>
      <vt:lpstr>v_78_CB</vt:lpstr>
      <vt:lpstr>v_78_CU</vt:lpstr>
      <vt:lpstr>v_78_GCH4</vt:lpstr>
      <vt:lpstr>v_78_GCH4_atm</vt:lpstr>
      <vt:lpstr>v_78_GCO2</vt:lpstr>
      <vt:lpstr>v_78_GCO2_atm</vt:lpstr>
      <vt:lpstr>v_78_GH2</vt:lpstr>
      <vt:lpstr>v_78_GH2_atm</vt:lpstr>
      <vt:lpstr>v_78_GN2</vt:lpstr>
      <vt:lpstr>v_78_GN2_atm</vt:lpstr>
      <vt:lpstr>v_78_GN2O</vt:lpstr>
      <vt:lpstr>v_78_GN2O_atm</vt:lpstr>
      <vt:lpstr>v_78_GNH3</vt:lpstr>
      <vt:lpstr>v_78_GNH3_atm</vt:lpstr>
      <vt:lpstr>v_78_GNO</vt:lpstr>
      <vt:lpstr>v_78_GNO_atm</vt:lpstr>
      <vt:lpstr>v_78_GO2</vt:lpstr>
      <vt:lpstr>v_78_GO2_atm</vt:lpstr>
      <vt:lpstr>v_78_SALPHA</vt:lpstr>
      <vt:lpstr>v_78_SAN</vt:lpstr>
      <vt:lpstr>v_78_SB</vt:lpstr>
      <vt:lpstr>v_78_SCa</vt:lpstr>
      <vt:lpstr>v_78_SCAT</vt:lpstr>
      <vt:lpstr>v_78_SCH4</vt:lpstr>
      <vt:lpstr>v_78_SCO2</vt:lpstr>
      <vt:lpstr>v_78_SFe2</vt:lpstr>
      <vt:lpstr>v_78_SH</vt:lpstr>
      <vt:lpstr>v_78_SH2</vt:lpstr>
      <vt:lpstr>v_78_SK</vt:lpstr>
      <vt:lpstr>v_78_SMEOL</vt:lpstr>
      <vt:lpstr>v_78_SMg</vt:lpstr>
      <vt:lpstr>v_78_SN_B</vt:lpstr>
      <vt:lpstr>v_78_SN2</vt:lpstr>
      <vt:lpstr>v_78_SN2O</vt:lpstr>
      <vt:lpstr>v_78_SNH2OH</vt:lpstr>
      <vt:lpstr>v_78_SNHx</vt:lpstr>
      <vt:lpstr>v_78_SNO_AOB</vt:lpstr>
      <vt:lpstr>v_78_SNO_OHO</vt:lpstr>
      <vt:lpstr>v_78_SNO2</vt:lpstr>
      <vt:lpstr>v_78_SNO3</vt:lpstr>
      <vt:lpstr>v_78_SO2</vt:lpstr>
      <vt:lpstr>v_78_SORPswitch</vt:lpstr>
      <vt:lpstr>v_78_SP_B</vt:lpstr>
      <vt:lpstr>v_78_SPFOA</vt:lpstr>
      <vt:lpstr>v_78_SPFOS</vt:lpstr>
      <vt:lpstr>v_78_SPO4</vt:lpstr>
      <vt:lpstr>v_78_SU</vt:lpstr>
      <vt:lpstr>v_78_SVFA</vt:lpstr>
      <vt:lpstr>v_78_XACP</vt:lpstr>
      <vt:lpstr>v_78_XALGAE</vt:lpstr>
      <vt:lpstr>v_78_XAMETO</vt:lpstr>
      <vt:lpstr>v_78_XAMX</vt:lpstr>
      <vt:lpstr>v_78_XAOB</vt:lpstr>
      <vt:lpstr>v_78_XB</vt:lpstr>
      <vt:lpstr>v_78_XB_e</vt:lpstr>
      <vt:lpstr>v_78_XBSH</vt:lpstr>
      <vt:lpstr>v_78_XCaCO3</vt:lpstr>
      <vt:lpstr>v_78_XCASTO</vt:lpstr>
      <vt:lpstr>v_78_XE</vt:lpstr>
      <vt:lpstr>v_78_XE_ana</vt:lpstr>
      <vt:lpstr>v_78_XHAO_H</vt:lpstr>
      <vt:lpstr>v_78_XHAO_H_P</vt:lpstr>
      <vt:lpstr>v_78_XHAO_H_P_old</vt:lpstr>
      <vt:lpstr>v_78_XHAO_L</vt:lpstr>
      <vt:lpstr>v_78_XHAO_L_P</vt:lpstr>
      <vt:lpstr>v_78_XHAO_L_P_old</vt:lpstr>
      <vt:lpstr>v_78_XHAO_old</vt:lpstr>
      <vt:lpstr>v_78_XHFO_H</vt:lpstr>
      <vt:lpstr>v_78_XHFO_H_P</vt:lpstr>
      <vt:lpstr>v_78_XHFO_H_P_old</vt:lpstr>
      <vt:lpstr>v_78_XHFO_L</vt:lpstr>
      <vt:lpstr>v_78_XHFO_L_P</vt:lpstr>
      <vt:lpstr>v_78_XHFO_L_P_old</vt:lpstr>
      <vt:lpstr>v_78_XHFO_old</vt:lpstr>
      <vt:lpstr>v_78_XHMETO</vt:lpstr>
      <vt:lpstr>v_78_XINORG</vt:lpstr>
      <vt:lpstr>v_78_XMEOLO</vt:lpstr>
      <vt:lpstr>v_78_XN_B</vt:lpstr>
      <vt:lpstr>v_78_XN_Be</vt:lpstr>
      <vt:lpstr>v_78_XN_U</vt:lpstr>
      <vt:lpstr>v_78_XNOB</vt:lpstr>
      <vt:lpstr>v_78_XOHO</vt:lpstr>
      <vt:lpstr>v_78_XP_B</vt:lpstr>
      <vt:lpstr>v_78_XP_Be</vt:lpstr>
      <vt:lpstr>v_78_XP_U</vt:lpstr>
      <vt:lpstr>v_78_XPFOA</vt:lpstr>
      <vt:lpstr>v_78_XPFOS</vt:lpstr>
      <vt:lpstr>v_78_XPHA_GAO</vt:lpstr>
      <vt:lpstr>v_78_XPHA_PAO</vt:lpstr>
      <vt:lpstr>v_78_XPP</vt:lpstr>
      <vt:lpstr>v_78_XSTR</vt:lpstr>
      <vt:lpstr>v_78_XU</vt:lpstr>
      <vt:lpstr>v_78_XVivi</vt:lpstr>
      <vt:lpstr>v_79_CB</vt:lpstr>
      <vt:lpstr>v_79_CU</vt:lpstr>
      <vt:lpstr>v_79_GCH4</vt:lpstr>
      <vt:lpstr>v_79_GCH4_atm</vt:lpstr>
      <vt:lpstr>v_79_GCO2</vt:lpstr>
      <vt:lpstr>v_79_GCO2_atm</vt:lpstr>
      <vt:lpstr>v_79_GH2</vt:lpstr>
      <vt:lpstr>v_79_GH2_atm</vt:lpstr>
      <vt:lpstr>v_79_GN2</vt:lpstr>
      <vt:lpstr>v_79_GN2_atm</vt:lpstr>
      <vt:lpstr>v_79_GN2O</vt:lpstr>
      <vt:lpstr>v_79_GN2O_atm</vt:lpstr>
      <vt:lpstr>v_79_GNH3</vt:lpstr>
      <vt:lpstr>v_79_GNH3_atm</vt:lpstr>
      <vt:lpstr>v_79_GNO</vt:lpstr>
      <vt:lpstr>v_79_GNO_atm</vt:lpstr>
      <vt:lpstr>v_79_GO2</vt:lpstr>
      <vt:lpstr>v_79_GO2_atm</vt:lpstr>
      <vt:lpstr>v_79_SALPHA</vt:lpstr>
      <vt:lpstr>v_79_SAN</vt:lpstr>
      <vt:lpstr>v_79_SB</vt:lpstr>
      <vt:lpstr>v_79_SCa</vt:lpstr>
      <vt:lpstr>v_79_SCAT</vt:lpstr>
      <vt:lpstr>v_79_SCH4</vt:lpstr>
      <vt:lpstr>v_79_SCO2</vt:lpstr>
      <vt:lpstr>v_79_SFe2</vt:lpstr>
      <vt:lpstr>v_79_SH</vt:lpstr>
      <vt:lpstr>v_79_SH2</vt:lpstr>
      <vt:lpstr>v_79_SK</vt:lpstr>
      <vt:lpstr>v_79_SMEOL</vt:lpstr>
      <vt:lpstr>v_79_SMg</vt:lpstr>
      <vt:lpstr>v_79_SN_B</vt:lpstr>
      <vt:lpstr>v_79_SN2</vt:lpstr>
      <vt:lpstr>v_79_SN2O</vt:lpstr>
      <vt:lpstr>v_79_SNH2OH</vt:lpstr>
      <vt:lpstr>v_79_SNHx</vt:lpstr>
      <vt:lpstr>v_79_SNO_AOB</vt:lpstr>
      <vt:lpstr>v_79_SNO_OHO</vt:lpstr>
      <vt:lpstr>v_79_SNO2</vt:lpstr>
      <vt:lpstr>v_79_SNO3</vt:lpstr>
      <vt:lpstr>v_79_SO2</vt:lpstr>
      <vt:lpstr>v_79_SORPswitch</vt:lpstr>
      <vt:lpstr>v_79_SP_B</vt:lpstr>
      <vt:lpstr>v_79_SPFOA</vt:lpstr>
      <vt:lpstr>v_79_SPFOS</vt:lpstr>
      <vt:lpstr>v_79_SPO4</vt:lpstr>
      <vt:lpstr>v_79_SU</vt:lpstr>
      <vt:lpstr>v_79_SVFA</vt:lpstr>
      <vt:lpstr>v_79_XACP</vt:lpstr>
      <vt:lpstr>v_79_XALGAE</vt:lpstr>
      <vt:lpstr>v_79_XAMETO</vt:lpstr>
      <vt:lpstr>v_79_XAMX</vt:lpstr>
      <vt:lpstr>v_79_XAOB</vt:lpstr>
      <vt:lpstr>v_79_XB</vt:lpstr>
      <vt:lpstr>v_79_XB_e</vt:lpstr>
      <vt:lpstr>v_79_XBSH</vt:lpstr>
      <vt:lpstr>v_79_XCaCO3</vt:lpstr>
      <vt:lpstr>v_79_XCASTO</vt:lpstr>
      <vt:lpstr>v_79_XE</vt:lpstr>
      <vt:lpstr>v_79_XE_ana</vt:lpstr>
      <vt:lpstr>v_79_XHAO_H</vt:lpstr>
      <vt:lpstr>v_79_XHAO_H_P</vt:lpstr>
      <vt:lpstr>v_79_XHAO_H_P_old</vt:lpstr>
      <vt:lpstr>v_79_XHAO_L</vt:lpstr>
      <vt:lpstr>v_79_XHAO_L_P</vt:lpstr>
      <vt:lpstr>v_79_XHAO_L_P_old</vt:lpstr>
      <vt:lpstr>v_79_XHAO_old</vt:lpstr>
      <vt:lpstr>v_79_XHFO_H</vt:lpstr>
      <vt:lpstr>v_79_XHFO_H_P</vt:lpstr>
      <vt:lpstr>v_79_XHFO_H_P_old</vt:lpstr>
      <vt:lpstr>v_79_XHFO_L</vt:lpstr>
      <vt:lpstr>v_79_XHFO_L_P</vt:lpstr>
      <vt:lpstr>v_79_XHFO_L_P_old</vt:lpstr>
      <vt:lpstr>v_79_XHFO_old</vt:lpstr>
      <vt:lpstr>v_79_XHMETO</vt:lpstr>
      <vt:lpstr>v_79_XINORG</vt:lpstr>
      <vt:lpstr>v_79_XMEOLO</vt:lpstr>
      <vt:lpstr>v_79_XN_B</vt:lpstr>
      <vt:lpstr>v_79_XN_Be</vt:lpstr>
      <vt:lpstr>v_79_XN_U</vt:lpstr>
      <vt:lpstr>v_79_XNOB</vt:lpstr>
      <vt:lpstr>v_79_XOHO</vt:lpstr>
      <vt:lpstr>v_79_XP_B</vt:lpstr>
      <vt:lpstr>v_79_XP_Be</vt:lpstr>
      <vt:lpstr>v_79_XP_U</vt:lpstr>
      <vt:lpstr>v_79_XPFOA</vt:lpstr>
      <vt:lpstr>v_79_XPFOS</vt:lpstr>
      <vt:lpstr>v_79_XPHA_GAO</vt:lpstr>
      <vt:lpstr>v_79_XPHA_PAO</vt:lpstr>
      <vt:lpstr>v_79_XPP</vt:lpstr>
      <vt:lpstr>v_79_XSTR</vt:lpstr>
      <vt:lpstr>v_79_XU</vt:lpstr>
      <vt:lpstr>v_79_XVivi</vt:lpstr>
      <vt:lpstr>v_8_CB</vt:lpstr>
      <vt:lpstr>v_8_CU</vt:lpstr>
      <vt:lpstr>v_8_GCH4</vt:lpstr>
      <vt:lpstr>v_8_GCH4_atm</vt:lpstr>
      <vt:lpstr>v_8_GCO2</vt:lpstr>
      <vt:lpstr>v_8_GCO2_atm</vt:lpstr>
      <vt:lpstr>v_8_GH2</vt:lpstr>
      <vt:lpstr>v_8_GH2_atm</vt:lpstr>
      <vt:lpstr>v_8_GN2</vt:lpstr>
      <vt:lpstr>v_8_GN2_atm</vt:lpstr>
      <vt:lpstr>v_8_GN2O</vt:lpstr>
      <vt:lpstr>v_8_GN2O_atm</vt:lpstr>
      <vt:lpstr>v_8_GNH3</vt:lpstr>
      <vt:lpstr>v_8_GNH3_atm</vt:lpstr>
      <vt:lpstr>v_8_GNO</vt:lpstr>
      <vt:lpstr>v_8_GNO_atm</vt:lpstr>
      <vt:lpstr>v_8_GO2</vt:lpstr>
      <vt:lpstr>v_8_GO2_atm</vt:lpstr>
      <vt:lpstr>v_8_SALPHA</vt:lpstr>
      <vt:lpstr>v_8_SAN</vt:lpstr>
      <vt:lpstr>v_8_SB</vt:lpstr>
      <vt:lpstr>v_8_SCa</vt:lpstr>
      <vt:lpstr>v_8_SCAT</vt:lpstr>
      <vt:lpstr>v_8_SCH4</vt:lpstr>
      <vt:lpstr>v_8_SCO2</vt:lpstr>
      <vt:lpstr>v_8_SFe2</vt:lpstr>
      <vt:lpstr>v_8_SH</vt:lpstr>
      <vt:lpstr>v_8_SH2</vt:lpstr>
      <vt:lpstr>v_8_SK</vt:lpstr>
      <vt:lpstr>v_8_SMEOL</vt:lpstr>
      <vt:lpstr>v_8_SMg</vt:lpstr>
      <vt:lpstr>v_8_SN_B</vt:lpstr>
      <vt:lpstr>v_8_SN2</vt:lpstr>
      <vt:lpstr>v_8_SN2O</vt:lpstr>
      <vt:lpstr>v_8_SNH2OH</vt:lpstr>
      <vt:lpstr>v_8_SNHx</vt:lpstr>
      <vt:lpstr>v_8_SNO_AOB</vt:lpstr>
      <vt:lpstr>v_8_SNO_OHO</vt:lpstr>
      <vt:lpstr>v_8_SNO2</vt:lpstr>
      <vt:lpstr>v_8_SNO3</vt:lpstr>
      <vt:lpstr>v_8_SO2</vt:lpstr>
      <vt:lpstr>v_8_SORPswitch</vt:lpstr>
      <vt:lpstr>v_8_SP_B</vt:lpstr>
      <vt:lpstr>v_8_SPFOA</vt:lpstr>
      <vt:lpstr>v_8_SPFOS</vt:lpstr>
      <vt:lpstr>v_8_SPO4</vt:lpstr>
      <vt:lpstr>v_8_SU</vt:lpstr>
      <vt:lpstr>v_8_SVFA</vt:lpstr>
      <vt:lpstr>v_8_XACP</vt:lpstr>
      <vt:lpstr>v_8_XALGAE</vt:lpstr>
      <vt:lpstr>v_8_XAMETO</vt:lpstr>
      <vt:lpstr>v_8_XAMX</vt:lpstr>
      <vt:lpstr>v_8_XAOB</vt:lpstr>
      <vt:lpstr>v_8_XB</vt:lpstr>
      <vt:lpstr>v_8_XB_e</vt:lpstr>
      <vt:lpstr>v_8_XBSH</vt:lpstr>
      <vt:lpstr>v_8_XCaCO3</vt:lpstr>
      <vt:lpstr>v_8_XCASTO</vt:lpstr>
      <vt:lpstr>v_8_XE</vt:lpstr>
      <vt:lpstr>v_8_XE_ana</vt:lpstr>
      <vt:lpstr>v_8_XHAO_H</vt:lpstr>
      <vt:lpstr>v_8_XHAO_H_P</vt:lpstr>
      <vt:lpstr>v_8_XHAO_H_P_old</vt:lpstr>
      <vt:lpstr>v_8_XHAO_L</vt:lpstr>
      <vt:lpstr>v_8_XHAO_L_P</vt:lpstr>
      <vt:lpstr>v_8_XHAO_L_P_old</vt:lpstr>
      <vt:lpstr>v_8_XHAO_old</vt:lpstr>
      <vt:lpstr>v_8_XHFO_H</vt:lpstr>
      <vt:lpstr>v_8_XHFO_H_P</vt:lpstr>
      <vt:lpstr>v_8_XHFO_H_P_old</vt:lpstr>
      <vt:lpstr>v_8_XHFO_L</vt:lpstr>
      <vt:lpstr>v_8_XHFO_L_P</vt:lpstr>
      <vt:lpstr>v_8_XHFO_L_P_old</vt:lpstr>
      <vt:lpstr>v_8_XHFO_old</vt:lpstr>
      <vt:lpstr>v_8_XHMETO</vt:lpstr>
      <vt:lpstr>v_8_XINORG</vt:lpstr>
      <vt:lpstr>v_8_XMEOLO</vt:lpstr>
      <vt:lpstr>v_8_XN_B</vt:lpstr>
      <vt:lpstr>v_8_XN_Be</vt:lpstr>
      <vt:lpstr>v_8_XN_U</vt:lpstr>
      <vt:lpstr>v_8_XNOB</vt:lpstr>
      <vt:lpstr>v_8_XOHO</vt:lpstr>
      <vt:lpstr>v_8_XP_B</vt:lpstr>
      <vt:lpstr>v_8_XP_Be</vt:lpstr>
      <vt:lpstr>v_8_XP_U</vt:lpstr>
      <vt:lpstr>v_8_XPFOA</vt:lpstr>
      <vt:lpstr>v_8_XPFOS</vt:lpstr>
      <vt:lpstr>v_8_XPHA_GAO</vt:lpstr>
      <vt:lpstr>v_8_XPHA_PAO</vt:lpstr>
      <vt:lpstr>v_8_XPP</vt:lpstr>
      <vt:lpstr>v_8_XSTR</vt:lpstr>
      <vt:lpstr>v_8_XU</vt:lpstr>
      <vt:lpstr>v_8_XVivi</vt:lpstr>
      <vt:lpstr>v_80_CB</vt:lpstr>
      <vt:lpstr>v_80_CU</vt:lpstr>
      <vt:lpstr>v_80_GCH4</vt:lpstr>
      <vt:lpstr>v_80_GCH4_atm</vt:lpstr>
      <vt:lpstr>v_80_GCO2</vt:lpstr>
      <vt:lpstr>v_80_GCO2_atm</vt:lpstr>
      <vt:lpstr>v_80_GH2</vt:lpstr>
      <vt:lpstr>v_80_GH2_atm</vt:lpstr>
      <vt:lpstr>v_80_GN2</vt:lpstr>
      <vt:lpstr>v_80_GN2_atm</vt:lpstr>
      <vt:lpstr>v_80_GN2O</vt:lpstr>
      <vt:lpstr>v_80_GN2O_atm</vt:lpstr>
      <vt:lpstr>v_80_GNH3</vt:lpstr>
      <vt:lpstr>v_80_GNH3_atm</vt:lpstr>
      <vt:lpstr>v_80_GNO</vt:lpstr>
      <vt:lpstr>v_80_GNO_atm</vt:lpstr>
      <vt:lpstr>v_80_GO2</vt:lpstr>
      <vt:lpstr>v_80_GO2_atm</vt:lpstr>
      <vt:lpstr>v_80_SALPHA</vt:lpstr>
      <vt:lpstr>v_80_SAN</vt:lpstr>
      <vt:lpstr>v_80_SB</vt:lpstr>
      <vt:lpstr>v_80_SCa</vt:lpstr>
      <vt:lpstr>v_80_SCAT</vt:lpstr>
      <vt:lpstr>v_80_SCH4</vt:lpstr>
      <vt:lpstr>v_80_SCO2</vt:lpstr>
      <vt:lpstr>v_80_SFe2</vt:lpstr>
      <vt:lpstr>v_80_SH</vt:lpstr>
      <vt:lpstr>v_80_SH2</vt:lpstr>
      <vt:lpstr>v_80_SK</vt:lpstr>
      <vt:lpstr>v_80_SMEOL</vt:lpstr>
      <vt:lpstr>v_80_SMg</vt:lpstr>
      <vt:lpstr>v_80_SN_B</vt:lpstr>
      <vt:lpstr>v_80_SN2</vt:lpstr>
      <vt:lpstr>v_80_SN2O</vt:lpstr>
      <vt:lpstr>v_80_SNH2OH</vt:lpstr>
      <vt:lpstr>v_80_SNHx</vt:lpstr>
      <vt:lpstr>v_80_SNO_AOB</vt:lpstr>
      <vt:lpstr>v_80_SNO_OHO</vt:lpstr>
      <vt:lpstr>v_80_SNO2</vt:lpstr>
      <vt:lpstr>v_80_SNO3</vt:lpstr>
      <vt:lpstr>v_80_SO2</vt:lpstr>
      <vt:lpstr>v_80_SORPswitch</vt:lpstr>
      <vt:lpstr>v_80_SP_B</vt:lpstr>
      <vt:lpstr>v_80_SPFOA</vt:lpstr>
      <vt:lpstr>v_80_SPFOS</vt:lpstr>
      <vt:lpstr>v_80_SPO4</vt:lpstr>
      <vt:lpstr>v_80_SU</vt:lpstr>
      <vt:lpstr>v_80_SVFA</vt:lpstr>
      <vt:lpstr>v_80_XACP</vt:lpstr>
      <vt:lpstr>v_80_XALGAE</vt:lpstr>
      <vt:lpstr>v_80_XAMETO</vt:lpstr>
      <vt:lpstr>v_80_XAMX</vt:lpstr>
      <vt:lpstr>v_80_XAOB</vt:lpstr>
      <vt:lpstr>v_80_XB</vt:lpstr>
      <vt:lpstr>v_80_XB_e</vt:lpstr>
      <vt:lpstr>v_80_XBSH</vt:lpstr>
      <vt:lpstr>v_80_XCaCO3</vt:lpstr>
      <vt:lpstr>v_80_XCASTO</vt:lpstr>
      <vt:lpstr>v_80_XE</vt:lpstr>
      <vt:lpstr>v_80_XE_ana</vt:lpstr>
      <vt:lpstr>v_80_XHAO_H</vt:lpstr>
      <vt:lpstr>v_80_XHAO_H_P</vt:lpstr>
      <vt:lpstr>v_80_XHAO_H_P_old</vt:lpstr>
      <vt:lpstr>v_80_XHAO_L</vt:lpstr>
      <vt:lpstr>v_80_XHAO_L_P</vt:lpstr>
      <vt:lpstr>v_80_XHAO_L_P_old</vt:lpstr>
      <vt:lpstr>v_80_XHAO_old</vt:lpstr>
      <vt:lpstr>v_80_XHFO_H</vt:lpstr>
      <vt:lpstr>v_80_XHFO_H_P</vt:lpstr>
      <vt:lpstr>v_80_XHFO_H_P_old</vt:lpstr>
      <vt:lpstr>v_80_XHFO_L</vt:lpstr>
      <vt:lpstr>v_80_XHFO_L_P</vt:lpstr>
      <vt:lpstr>v_80_XHFO_L_P_old</vt:lpstr>
      <vt:lpstr>v_80_XHFO_old</vt:lpstr>
      <vt:lpstr>v_80_XHMETO</vt:lpstr>
      <vt:lpstr>v_80_XINORG</vt:lpstr>
      <vt:lpstr>v_80_XMEOLO</vt:lpstr>
      <vt:lpstr>v_80_XN_B</vt:lpstr>
      <vt:lpstr>v_80_XN_Be</vt:lpstr>
      <vt:lpstr>v_80_XN_U</vt:lpstr>
      <vt:lpstr>v_80_XNOB</vt:lpstr>
      <vt:lpstr>v_80_XOHO</vt:lpstr>
      <vt:lpstr>v_80_XP_B</vt:lpstr>
      <vt:lpstr>v_80_XP_Be</vt:lpstr>
      <vt:lpstr>v_80_XP_U</vt:lpstr>
      <vt:lpstr>v_80_XPFOA</vt:lpstr>
      <vt:lpstr>v_80_XPFOS</vt:lpstr>
      <vt:lpstr>v_80_XPHA_GAO</vt:lpstr>
      <vt:lpstr>v_80_XPHA_PAO</vt:lpstr>
      <vt:lpstr>v_80_XPP</vt:lpstr>
      <vt:lpstr>v_80_XSTR</vt:lpstr>
      <vt:lpstr>v_80_XU</vt:lpstr>
      <vt:lpstr>v_80_XVivi</vt:lpstr>
      <vt:lpstr>v_81_CB</vt:lpstr>
      <vt:lpstr>v_81_CU</vt:lpstr>
      <vt:lpstr>v_81_GCH4</vt:lpstr>
      <vt:lpstr>v_81_GCH4_atm</vt:lpstr>
      <vt:lpstr>v_81_GCO2</vt:lpstr>
      <vt:lpstr>v_81_GCO2_atm</vt:lpstr>
      <vt:lpstr>v_81_GH2</vt:lpstr>
      <vt:lpstr>v_81_GH2_atm</vt:lpstr>
      <vt:lpstr>v_81_GN2</vt:lpstr>
      <vt:lpstr>v_81_GN2_atm</vt:lpstr>
      <vt:lpstr>v_81_GN2O</vt:lpstr>
      <vt:lpstr>v_81_GN2O_atm</vt:lpstr>
      <vt:lpstr>v_81_GNH3</vt:lpstr>
      <vt:lpstr>v_81_GNH3_atm</vt:lpstr>
      <vt:lpstr>v_81_GNO</vt:lpstr>
      <vt:lpstr>v_81_GNO_atm</vt:lpstr>
      <vt:lpstr>v_81_GO2</vt:lpstr>
      <vt:lpstr>v_81_GO2_atm</vt:lpstr>
      <vt:lpstr>v_81_SALPHA</vt:lpstr>
      <vt:lpstr>v_81_SAN</vt:lpstr>
      <vt:lpstr>v_81_SB</vt:lpstr>
      <vt:lpstr>v_81_SCa</vt:lpstr>
      <vt:lpstr>v_81_SCAT</vt:lpstr>
      <vt:lpstr>v_81_SCH4</vt:lpstr>
      <vt:lpstr>v_81_SCO2</vt:lpstr>
      <vt:lpstr>v_81_SFe2</vt:lpstr>
      <vt:lpstr>v_81_SH</vt:lpstr>
      <vt:lpstr>v_81_SH2</vt:lpstr>
      <vt:lpstr>v_81_SK</vt:lpstr>
      <vt:lpstr>v_81_SMEOL</vt:lpstr>
      <vt:lpstr>v_81_SMg</vt:lpstr>
      <vt:lpstr>v_81_SN_B</vt:lpstr>
      <vt:lpstr>v_81_SN2</vt:lpstr>
      <vt:lpstr>v_81_SN2O</vt:lpstr>
      <vt:lpstr>v_81_SNH2OH</vt:lpstr>
      <vt:lpstr>v_81_SNHx</vt:lpstr>
      <vt:lpstr>v_81_SNO_AOB</vt:lpstr>
      <vt:lpstr>v_81_SNO_OHO</vt:lpstr>
      <vt:lpstr>v_81_SNO2</vt:lpstr>
      <vt:lpstr>v_81_SNO3</vt:lpstr>
      <vt:lpstr>v_81_SO2</vt:lpstr>
      <vt:lpstr>v_81_SORPswitch</vt:lpstr>
      <vt:lpstr>v_81_SP_B</vt:lpstr>
      <vt:lpstr>v_81_SPFOA</vt:lpstr>
      <vt:lpstr>v_81_SPFOS</vt:lpstr>
      <vt:lpstr>v_81_SPO4</vt:lpstr>
      <vt:lpstr>v_81_SU</vt:lpstr>
      <vt:lpstr>v_81_SVFA</vt:lpstr>
      <vt:lpstr>v_81_XACP</vt:lpstr>
      <vt:lpstr>v_81_XALGAE</vt:lpstr>
      <vt:lpstr>v_81_XAMETO</vt:lpstr>
      <vt:lpstr>v_81_XAMX</vt:lpstr>
      <vt:lpstr>v_81_XAOB</vt:lpstr>
      <vt:lpstr>v_81_XB</vt:lpstr>
      <vt:lpstr>v_81_XB_e</vt:lpstr>
      <vt:lpstr>v_81_XBSH</vt:lpstr>
      <vt:lpstr>v_81_XCaCO3</vt:lpstr>
      <vt:lpstr>v_81_XCASTO</vt:lpstr>
      <vt:lpstr>v_81_XE</vt:lpstr>
      <vt:lpstr>v_81_XE_ana</vt:lpstr>
      <vt:lpstr>v_81_XHAO_H</vt:lpstr>
      <vt:lpstr>v_81_XHAO_H_P</vt:lpstr>
      <vt:lpstr>v_81_XHAO_H_P_old</vt:lpstr>
      <vt:lpstr>v_81_XHAO_L</vt:lpstr>
      <vt:lpstr>v_81_XHAO_L_P</vt:lpstr>
      <vt:lpstr>v_81_XHAO_L_P_old</vt:lpstr>
      <vt:lpstr>v_81_XHAO_old</vt:lpstr>
      <vt:lpstr>v_81_XHFO_H</vt:lpstr>
      <vt:lpstr>v_81_XHFO_H_P</vt:lpstr>
      <vt:lpstr>v_81_XHFO_H_P_old</vt:lpstr>
      <vt:lpstr>v_81_XHFO_L</vt:lpstr>
      <vt:lpstr>v_81_XHFO_L_P</vt:lpstr>
      <vt:lpstr>v_81_XHFO_L_P_old</vt:lpstr>
      <vt:lpstr>v_81_XHFO_old</vt:lpstr>
      <vt:lpstr>v_81_XHMETO</vt:lpstr>
      <vt:lpstr>v_81_XINORG</vt:lpstr>
      <vt:lpstr>v_81_XMEOLO</vt:lpstr>
      <vt:lpstr>v_81_XN_B</vt:lpstr>
      <vt:lpstr>v_81_XN_Be</vt:lpstr>
      <vt:lpstr>v_81_XN_U</vt:lpstr>
      <vt:lpstr>v_81_XNOB</vt:lpstr>
      <vt:lpstr>v_81_XOHO</vt:lpstr>
      <vt:lpstr>v_81_XP_B</vt:lpstr>
      <vt:lpstr>v_81_XP_Be</vt:lpstr>
      <vt:lpstr>v_81_XP_U</vt:lpstr>
      <vt:lpstr>v_81_XPFOA</vt:lpstr>
      <vt:lpstr>v_81_XPFOS</vt:lpstr>
      <vt:lpstr>v_81_XPHA_GAO</vt:lpstr>
      <vt:lpstr>v_81_XPHA_PAO</vt:lpstr>
      <vt:lpstr>v_81_XPP</vt:lpstr>
      <vt:lpstr>v_81_XSTR</vt:lpstr>
      <vt:lpstr>v_81_XU</vt:lpstr>
      <vt:lpstr>v_81_XVivi</vt:lpstr>
      <vt:lpstr>v_82_CB</vt:lpstr>
      <vt:lpstr>v_82_CU</vt:lpstr>
      <vt:lpstr>v_82_GCH4</vt:lpstr>
      <vt:lpstr>v_82_GCH4_atm</vt:lpstr>
      <vt:lpstr>v_82_GCO2</vt:lpstr>
      <vt:lpstr>v_82_GCO2_atm</vt:lpstr>
      <vt:lpstr>v_82_GH2</vt:lpstr>
      <vt:lpstr>v_82_GH2_atm</vt:lpstr>
      <vt:lpstr>v_82_GN2</vt:lpstr>
      <vt:lpstr>v_82_GN2_atm</vt:lpstr>
      <vt:lpstr>v_82_GN2O</vt:lpstr>
      <vt:lpstr>v_82_GN2O_atm</vt:lpstr>
      <vt:lpstr>v_82_GNH3</vt:lpstr>
      <vt:lpstr>v_82_GNH3_atm</vt:lpstr>
      <vt:lpstr>v_82_GNO</vt:lpstr>
      <vt:lpstr>v_82_GNO_atm</vt:lpstr>
      <vt:lpstr>v_82_GO2</vt:lpstr>
      <vt:lpstr>v_82_GO2_atm</vt:lpstr>
      <vt:lpstr>v_82_SALPHA</vt:lpstr>
      <vt:lpstr>v_82_SAN</vt:lpstr>
      <vt:lpstr>v_82_SB</vt:lpstr>
      <vt:lpstr>v_82_SCa</vt:lpstr>
      <vt:lpstr>v_82_SCAT</vt:lpstr>
      <vt:lpstr>v_82_SCH4</vt:lpstr>
      <vt:lpstr>v_82_SCO2</vt:lpstr>
      <vt:lpstr>v_82_SFe2</vt:lpstr>
      <vt:lpstr>v_82_SH</vt:lpstr>
      <vt:lpstr>v_82_SH2</vt:lpstr>
      <vt:lpstr>v_82_SK</vt:lpstr>
      <vt:lpstr>v_82_SMEOL</vt:lpstr>
      <vt:lpstr>v_82_SMg</vt:lpstr>
      <vt:lpstr>v_82_SN_B</vt:lpstr>
      <vt:lpstr>v_82_SN2</vt:lpstr>
      <vt:lpstr>v_82_SN2O</vt:lpstr>
      <vt:lpstr>v_82_SNH2OH</vt:lpstr>
      <vt:lpstr>v_82_SNHx</vt:lpstr>
      <vt:lpstr>v_82_SNO_AOB</vt:lpstr>
      <vt:lpstr>v_82_SNO_OHO</vt:lpstr>
      <vt:lpstr>v_82_SNO2</vt:lpstr>
      <vt:lpstr>v_82_SNO3</vt:lpstr>
      <vt:lpstr>v_82_SO2</vt:lpstr>
      <vt:lpstr>v_82_SORPswitch</vt:lpstr>
      <vt:lpstr>v_82_SP_B</vt:lpstr>
      <vt:lpstr>v_82_SPFOA</vt:lpstr>
      <vt:lpstr>v_82_SPFOS</vt:lpstr>
      <vt:lpstr>v_82_SPO4</vt:lpstr>
      <vt:lpstr>v_82_SU</vt:lpstr>
      <vt:lpstr>v_82_SVFA</vt:lpstr>
      <vt:lpstr>v_82_XACP</vt:lpstr>
      <vt:lpstr>v_82_XALGAE</vt:lpstr>
      <vt:lpstr>v_82_XAMETO</vt:lpstr>
      <vt:lpstr>v_82_XAMX</vt:lpstr>
      <vt:lpstr>v_82_XAOB</vt:lpstr>
      <vt:lpstr>v_82_XB</vt:lpstr>
      <vt:lpstr>v_82_XB_e</vt:lpstr>
      <vt:lpstr>v_82_XBSH</vt:lpstr>
      <vt:lpstr>v_82_XCaCO3</vt:lpstr>
      <vt:lpstr>v_82_XCASTO</vt:lpstr>
      <vt:lpstr>v_82_XE</vt:lpstr>
      <vt:lpstr>v_82_XE_ana</vt:lpstr>
      <vt:lpstr>v_82_XHAO_H</vt:lpstr>
      <vt:lpstr>v_82_XHAO_H_P</vt:lpstr>
      <vt:lpstr>v_82_XHAO_H_P_old</vt:lpstr>
      <vt:lpstr>v_82_XHAO_L</vt:lpstr>
      <vt:lpstr>v_82_XHAO_L_P</vt:lpstr>
      <vt:lpstr>v_82_XHAO_L_P_old</vt:lpstr>
      <vt:lpstr>v_82_XHAO_old</vt:lpstr>
      <vt:lpstr>v_82_XHFO_H</vt:lpstr>
      <vt:lpstr>v_82_XHFO_H_P</vt:lpstr>
      <vt:lpstr>v_82_XHFO_H_P_old</vt:lpstr>
      <vt:lpstr>v_82_XHFO_L</vt:lpstr>
      <vt:lpstr>v_82_XHFO_L_P</vt:lpstr>
      <vt:lpstr>v_82_XHFO_L_P_old</vt:lpstr>
      <vt:lpstr>v_82_XHFO_old</vt:lpstr>
      <vt:lpstr>v_82_XHMETO</vt:lpstr>
      <vt:lpstr>v_82_XINORG</vt:lpstr>
      <vt:lpstr>v_82_XMEOLO</vt:lpstr>
      <vt:lpstr>v_82_XN_B</vt:lpstr>
      <vt:lpstr>v_82_XN_Be</vt:lpstr>
      <vt:lpstr>v_82_XN_U</vt:lpstr>
      <vt:lpstr>v_82_XNOB</vt:lpstr>
      <vt:lpstr>v_82_XOHO</vt:lpstr>
      <vt:lpstr>v_82_XP_B</vt:lpstr>
      <vt:lpstr>v_82_XP_Be</vt:lpstr>
      <vt:lpstr>v_82_XP_U</vt:lpstr>
      <vt:lpstr>v_82_XPFOA</vt:lpstr>
      <vt:lpstr>v_82_XPFOS</vt:lpstr>
      <vt:lpstr>v_82_XPHA_GAO</vt:lpstr>
      <vt:lpstr>v_82_XPHA_PAO</vt:lpstr>
      <vt:lpstr>v_82_XPP</vt:lpstr>
      <vt:lpstr>v_82_XSTR</vt:lpstr>
      <vt:lpstr>v_82_XU</vt:lpstr>
      <vt:lpstr>v_82_XVivi</vt:lpstr>
      <vt:lpstr>v_83_CB</vt:lpstr>
      <vt:lpstr>v_83_CU</vt:lpstr>
      <vt:lpstr>v_83_GCH4</vt:lpstr>
      <vt:lpstr>v_83_GCH4_atm</vt:lpstr>
      <vt:lpstr>v_83_GCO2</vt:lpstr>
      <vt:lpstr>v_83_GCO2_atm</vt:lpstr>
      <vt:lpstr>v_83_GH2</vt:lpstr>
      <vt:lpstr>v_83_GH2_atm</vt:lpstr>
      <vt:lpstr>v_83_GN2</vt:lpstr>
      <vt:lpstr>v_83_GN2_atm</vt:lpstr>
      <vt:lpstr>v_83_GN2O</vt:lpstr>
      <vt:lpstr>v_83_GN2O_atm</vt:lpstr>
      <vt:lpstr>v_83_GNH3</vt:lpstr>
      <vt:lpstr>v_83_GNH3_atm</vt:lpstr>
      <vt:lpstr>v_83_GNO</vt:lpstr>
      <vt:lpstr>v_83_GNO_atm</vt:lpstr>
      <vt:lpstr>v_83_GO2</vt:lpstr>
      <vt:lpstr>v_83_GO2_atm</vt:lpstr>
      <vt:lpstr>v_83_SALPHA</vt:lpstr>
      <vt:lpstr>v_83_SAN</vt:lpstr>
      <vt:lpstr>v_83_SB</vt:lpstr>
      <vt:lpstr>v_83_SCa</vt:lpstr>
      <vt:lpstr>v_83_SCAT</vt:lpstr>
      <vt:lpstr>v_83_SCH4</vt:lpstr>
      <vt:lpstr>v_83_SCO2</vt:lpstr>
      <vt:lpstr>v_83_SFe2</vt:lpstr>
      <vt:lpstr>v_83_SH</vt:lpstr>
      <vt:lpstr>v_83_SH2</vt:lpstr>
      <vt:lpstr>v_83_SK</vt:lpstr>
      <vt:lpstr>v_83_SMEOL</vt:lpstr>
      <vt:lpstr>v_83_SMg</vt:lpstr>
      <vt:lpstr>v_83_SN_B</vt:lpstr>
      <vt:lpstr>v_83_SN2</vt:lpstr>
      <vt:lpstr>v_83_SN2O</vt:lpstr>
      <vt:lpstr>v_83_SNH2OH</vt:lpstr>
      <vt:lpstr>v_83_SNHx</vt:lpstr>
      <vt:lpstr>v_83_SNO_AOB</vt:lpstr>
      <vt:lpstr>v_83_SNO_OHO</vt:lpstr>
      <vt:lpstr>v_83_SNO2</vt:lpstr>
      <vt:lpstr>v_83_SNO3</vt:lpstr>
      <vt:lpstr>v_83_SO2</vt:lpstr>
      <vt:lpstr>v_83_SORPswitch</vt:lpstr>
      <vt:lpstr>v_83_SP_B</vt:lpstr>
      <vt:lpstr>v_83_SPFOA</vt:lpstr>
      <vt:lpstr>v_83_SPFOS</vt:lpstr>
      <vt:lpstr>v_83_SPO4</vt:lpstr>
      <vt:lpstr>v_83_SU</vt:lpstr>
      <vt:lpstr>v_83_SVFA</vt:lpstr>
      <vt:lpstr>v_83_XACP</vt:lpstr>
      <vt:lpstr>v_83_XALGAE</vt:lpstr>
      <vt:lpstr>v_83_XAMETO</vt:lpstr>
      <vt:lpstr>v_83_XAMX</vt:lpstr>
      <vt:lpstr>v_83_XAOB</vt:lpstr>
      <vt:lpstr>v_83_XB</vt:lpstr>
      <vt:lpstr>v_83_XB_e</vt:lpstr>
      <vt:lpstr>v_83_XBSH</vt:lpstr>
      <vt:lpstr>v_83_XCaCO3</vt:lpstr>
      <vt:lpstr>v_83_XCASTO</vt:lpstr>
      <vt:lpstr>v_83_XE</vt:lpstr>
      <vt:lpstr>v_83_XE_ana</vt:lpstr>
      <vt:lpstr>v_83_XHAO_H</vt:lpstr>
      <vt:lpstr>v_83_XHAO_H_P</vt:lpstr>
      <vt:lpstr>v_83_XHAO_H_P_old</vt:lpstr>
      <vt:lpstr>v_83_XHAO_L</vt:lpstr>
      <vt:lpstr>v_83_XHAO_L_P</vt:lpstr>
      <vt:lpstr>v_83_XHAO_L_P_old</vt:lpstr>
      <vt:lpstr>v_83_XHAO_old</vt:lpstr>
      <vt:lpstr>v_83_XHFO_H</vt:lpstr>
      <vt:lpstr>v_83_XHFO_H_P</vt:lpstr>
      <vt:lpstr>v_83_XHFO_H_P_old</vt:lpstr>
      <vt:lpstr>v_83_XHFO_L</vt:lpstr>
      <vt:lpstr>v_83_XHFO_L_P</vt:lpstr>
      <vt:lpstr>v_83_XHFO_L_P_old</vt:lpstr>
      <vt:lpstr>v_83_XHFO_old</vt:lpstr>
      <vt:lpstr>v_83_XHMETO</vt:lpstr>
      <vt:lpstr>v_83_XINORG</vt:lpstr>
      <vt:lpstr>v_83_XMEOLO</vt:lpstr>
      <vt:lpstr>v_83_XN_B</vt:lpstr>
      <vt:lpstr>v_83_XN_Be</vt:lpstr>
      <vt:lpstr>v_83_XN_U</vt:lpstr>
      <vt:lpstr>v_83_XNOB</vt:lpstr>
      <vt:lpstr>v_83_XOHO</vt:lpstr>
      <vt:lpstr>v_83_XP_B</vt:lpstr>
      <vt:lpstr>v_83_XP_Be</vt:lpstr>
      <vt:lpstr>v_83_XP_U</vt:lpstr>
      <vt:lpstr>v_83_XPFOA</vt:lpstr>
      <vt:lpstr>v_83_XPFOS</vt:lpstr>
      <vt:lpstr>v_83_XPHA_GAO</vt:lpstr>
      <vt:lpstr>v_83_XPHA_PAO</vt:lpstr>
      <vt:lpstr>v_83_XPP</vt:lpstr>
      <vt:lpstr>v_83_XSTR</vt:lpstr>
      <vt:lpstr>v_83_XU</vt:lpstr>
      <vt:lpstr>v_83_XVivi</vt:lpstr>
      <vt:lpstr>v_84_CB</vt:lpstr>
      <vt:lpstr>v_84_CU</vt:lpstr>
      <vt:lpstr>v_84_GCH4</vt:lpstr>
      <vt:lpstr>v_84_GCH4_atm</vt:lpstr>
      <vt:lpstr>v_84_GCO2</vt:lpstr>
      <vt:lpstr>v_84_GCO2_atm</vt:lpstr>
      <vt:lpstr>v_84_GH2</vt:lpstr>
      <vt:lpstr>v_84_GH2_atm</vt:lpstr>
      <vt:lpstr>v_84_GN2</vt:lpstr>
      <vt:lpstr>v_84_GN2_atm</vt:lpstr>
      <vt:lpstr>v_84_GN2O</vt:lpstr>
      <vt:lpstr>v_84_GN2O_atm</vt:lpstr>
      <vt:lpstr>v_84_GNH3</vt:lpstr>
      <vt:lpstr>v_84_GNH3_atm</vt:lpstr>
      <vt:lpstr>v_84_GNO</vt:lpstr>
      <vt:lpstr>v_84_GNO_atm</vt:lpstr>
      <vt:lpstr>v_84_GO2</vt:lpstr>
      <vt:lpstr>v_84_GO2_atm</vt:lpstr>
      <vt:lpstr>v_84_SALPHA</vt:lpstr>
      <vt:lpstr>v_84_SAN</vt:lpstr>
      <vt:lpstr>v_84_SB</vt:lpstr>
      <vt:lpstr>v_84_SCa</vt:lpstr>
      <vt:lpstr>v_84_SCAT</vt:lpstr>
      <vt:lpstr>v_84_SCH4</vt:lpstr>
      <vt:lpstr>v_84_SCO2</vt:lpstr>
      <vt:lpstr>v_84_SFe2</vt:lpstr>
      <vt:lpstr>v_84_SH</vt:lpstr>
      <vt:lpstr>v_84_SH2</vt:lpstr>
      <vt:lpstr>v_84_SK</vt:lpstr>
      <vt:lpstr>v_84_SMEOL</vt:lpstr>
      <vt:lpstr>v_84_SMg</vt:lpstr>
      <vt:lpstr>v_84_SN_B</vt:lpstr>
      <vt:lpstr>v_84_SN2</vt:lpstr>
      <vt:lpstr>v_84_SN2O</vt:lpstr>
      <vt:lpstr>v_84_SNH2OH</vt:lpstr>
      <vt:lpstr>v_84_SNHx</vt:lpstr>
      <vt:lpstr>v_84_SNO_AOB</vt:lpstr>
      <vt:lpstr>v_84_SNO_OHO</vt:lpstr>
      <vt:lpstr>v_84_SNO2</vt:lpstr>
      <vt:lpstr>v_84_SNO3</vt:lpstr>
      <vt:lpstr>v_84_SO2</vt:lpstr>
      <vt:lpstr>v_84_SORPswitch</vt:lpstr>
      <vt:lpstr>v_84_SP_B</vt:lpstr>
      <vt:lpstr>v_84_SPFOA</vt:lpstr>
      <vt:lpstr>v_84_SPFOS</vt:lpstr>
      <vt:lpstr>v_84_SPO4</vt:lpstr>
      <vt:lpstr>v_84_SU</vt:lpstr>
      <vt:lpstr>v_84_SVFA</vt:lpstr>
      <vt:lpstr>v_84_XACP</vt:lpstr>
      <vt:lpstr>v_84_XALGAE</vt:lpstr>
      <vt:lpstr>v_84_XAMETO</vt:lpstr>
      <vt:lpstr>v_84_XAMX</vt:lpstr>
      <vt:lpstr>v_84_XAOB</vt:lpstr>
      <vt:lpstr>v_84_XB</vt:lpstr>
      <vt:lpstr>v_84_XB_e</vt:lpstr>
      <vt:lpstr>v_84_XBSH</vt:lpstr>
      <vt:lpstr>v_84_XCaCO3</vt:lpstr>
      <vt:lpstr>v_84_XCASTO</vt:lpstr>
      <vt:lpstr>v_84_XE</vt:lpstr>
      <vt:lpstr>v_84_XE_ana</vt:lpstr>
      <vt:lpstr>v_84_XHAO_H</vt:lpstr>
      <vt:lpstr>v_84_XHAO_H_P</vt:lpstr>
      <vt:lpstr>v_84_XHAO_H_P_old</vt:lpstr>
      <vt:lpstr>v_84_XHAO_L</vt:lpstr>
      <vt:lpstr>v_84_XHAO_L_P</vt:lpstr>
      <vt:lpstr>v_84_XHAO_L_P_old</vt:lpstr>
      <vt:lpstr>v_84_XHAO_old</vt:lpstr>
      <vt:lpstr>v_84_XHFO_H</vt:lpstr>
      <vt:lpstr>v_84_XHFO_H_P</vt:lpstr>
      <vt:lpstr>v_84_XHFO_H_P_old</vt:lpstr>
      <vt:lpstr>v_84_XHFO_L</vt:lpstr>
      <vt:lpstr>v_84_XHFO_L_P</vt:lpstr>
      <vt:lpstr>v_84_XHFO_L_P_old</vt:lpstr>
      <vt:lpstr>v_84_XHFO_old</vt:lpstr>
      <vt:lpstr>v_84_XHMETO</vt:lpstr>
      <vt:lpstr>v_84_XINORG</vt:lpstr>
      <vt:lpstr>v_84_XMEOLO</vt:lpstr>
      <vt:lpstr>v_84_XN_B</vt:lpstr>
      <vt:lpstr>v_84_XN_Be</vt:lpstr>
      <vt:lpstr>v_84_XN_U</vt:lpstr>
      <vt:lpstr>v_84_XNOB</vt:lpstr>
      <vt:lpstr>v_84_XOHO</vt:lpstr>
      <vt:lpstr>v_84_XP_B</vt:lpstr>
      <vt:lpstr>v_84_XP_Be</vt:lpstr>
      <vt:lpstr>v_84_XP_U</vt:lpstr>
      <vt:lpstr>v_84_XPFOA</vt:lpstr>
      <vt:lpstr>v_84_XPFOS</vt:lpstr>
      <vt:lpstr>v_84_XPHA_GAO</vt:lpstr>
      <vt:lpstr>v_84_XPHA_PAO</vt:lpstr>
      <vt:lpstr>v_84_XPP</vt:lpstr>
      <vt:lpstr>v_84_XSTR</vt:lpstr>
      <vt:lpstr>v_84_XU</vt:lpstr>
      <vt:lpstr>v_84_XVivi</vt:lpstr>
      <vt:lpstr>v_85_CB</vt:lpstr>
      <vt:lpstr>v_85_CU</vt:lpstr>
      <vt:lpstr>v_85_GCH4</vt:lpstr>
      <vt:lpstr>v_85_GCH4_atm</vt:lpstr>
      <vt:lpstr>v_85_GCO2</vt:lpstr>
      <vt:lpstr>v_85_GCO2_atm</vt:lpstr>
      <vt:lpstr>v_85_GH2</vt:lpstr>
      <vt:lpstr>v_85_GH2_atm</vt:lpstr>
      <vt:lpstr>v_85_GN2</vt:lpstr>
      <vt:lpstr>v_85_GN2_atm</vt:lpstr>
      <vt:lpstr>v_85_GN2O</vt:lpstr>
      <vt:lpstr>v_85_GN2O_atm</vt:lpstr>
      <vt:lpstr>v_85_GNH3</vt:lpstr>
      <vt:lpstr>v_85_GNH3_atm</vt:lpstr>
      <vt:lpstr>v_85_GNO</vt:lpstr>
      <vt:lpstr>v_85_GNO_atm</vt:lpstr>
      <vt:lpstr>v_85_GO2</vt:lpstr>
      <vt:lpstr>v_85_GO2_atm</vt:lpstr>
      <vt:lpstr>v_85_SALPHA</vt:lpstr>
      <vt:lpstr>v_85_SAN</vt:lpstr>
      <vt:lpstr>v_85_SB</vt:lpstr>
      <vt:lpstr>v_85_SCa</vt:lpstr>
      <vt:lpstr>v_85_SCAT</vt:lpstr>
      <vt:lpstr>v_85_SCH4</vt:lpstr>
      <vt:lpstr>v_85_SCO2</vt:lpstr>
      <vt:lpstr>v_85_SFe2</vt:lpstr>
      <vt:lpstr>v_85_SH</vt:lpstr>
      <vt:lpstr>v_85_SH2</vt:lpstr>
      <vt:lpstr>v_85_SK</vt:lpstr>
      <vt:lpstr>v_85_SMEOL</vt:lpstr>
      <vt:lpstr>v_85_SMg</vt:lpstr>
      <vt:lpstr>v_85_SN_B</vt:lpstr>
      <vt:lpstr>v_85_SN2</vt:lpstr>
      <vt:lpstr>v_85_SN2O</vt:lpstr>
      <vt:lpstr>v_85_SNH2OH</vt:lpstr>
      <vt:lpstr>v_85_SNHx</vt:lpstr>
      <vt:lpstr>v_85_SNO_AOB</vt:lpstr>
      <vt:lpstr>v_85_SNO_OHO</vt:lpstr>
      <vt:lpstr>v_85_SNO2</vt:lpstr>
      <vt:lpstr>v_85_SNO3</vt:lpstr>
      <vt:lpstr>v_85_SO2</vt:lpstr>
      <vt:lpstr>v_85_SORPswitch</vt:lpstr>
      <vt:lpstr>v_85_SP_B</vt:lpstr>
      <vt:lpstr>v_85_SPFOA</vt:lpstr>
      <vt:lpstr>v_85_SPFOS</vt:lpstr>
      <vt:lpstr>v_85_SPO4</vt:lpstr>
      <vt:lpstr>v_85_SU</vt:lpstr>
      <vt:lpstr>v_85_SVFA</vt:lpstr>
      <vt:lpstr>v_85_XACP</vt:lpstr>
      <vt:lpstr>v_85_XALGAE</vt:lpstr>
      <vt:lpstr>v_85_XAMETO</vt:lpstr>
      <vt:lpstr>v_85_XAMX</vt:lpstr>
      <vt:lpstr>v_85_XAOB</vt:lpstr>
      <vt:lpstr>v_85_XB</vt:lpstr>
      <vt:lpstr>v_85_XB_e</vt:lpstr>
      <vt:lpstr>v_85_XBSH</vt:lpstr>
      <vt:lpstr>v_85_XCaCO3</vt:lpstr>
      <vt:lpstr>v_85_XCASTO</vt:lpstr>
      <vt:lpstr>v_85_XE</vt:lpstr>
      <vt:lpstr>v_85_XE_ana</vt:lpstr>
      <vt:lpstr>v_85_XHAO_H</vt:lpstr>
      <vt:lpstr>v_85_XHAO_H_P</vt:lpstr>
      <vt:lpstr>v_85_XHAO_H_P_old</vt:lpstr>
      <vt:lpstr>v_85_XHAO_L</vt:lpstr>
      <vt:lpstr>v_85_XHAO_L_P</vt:lpstr>
      <vt:lpstr>v_85_XHAO_L_P_old</vt:lpstr>
      <vt:lpstr>v_85_XHAO_old</vt:lpstr>
      <vt:lpstr>v_85_XHFO_H</vt:lpstr>
      <vt:lpstr>v_85_XHFO_H_P</vt:lpstr>
      <vt:lpstr>v_85_XHFO_H_P_old</vt:lpstr>
      <vt:lpstr>v_85_XHFO_L</vt:lpstr>
      <vt:lpstr>v_85_XHFO_L_P</vt:lpstr>
      <vt:lpstr>v_85_XHFO_L_P_old</vt:lpstr>
      <vt:lpstr>v_85_XHFO_old</vt:lpstr>
      <vt:lpstr>v_85_XHMETO</vt:lpstr>
      <vt:lpstr>v_85_XINORG</vt:lpstr>
      <vt:lpstr>v_85_XMEOLO</vt:lpstr>
      <vt:lpstr>v_85_XN_B</vt:lpstr>
      <vt:lpstr>v_85_XN_Be</vt:lpstr>
      <vt:lpstr>v_85_XN_U</vt:lpstr>
      <vt:lpstr>v_85_XNOB</vt:lpstr>
      <vt:lpstr>v_85_XOHO</vt:lpstr>
      <vt:lpstr>v_85_XP_B</vt:lpstr>
      <vt:lpstr>v_85_XP_Be</vt:lpstr>
      <vt:lpstr>v_85_XP_U</vt:lpstr>
      <vt:lpstr>v_85_XPFOA</vt:lpstr>
      <vt:lpstr>v_85_XPFOS</vt:lpstr>
      <vt:lpstr>v_85_XPHA_GAO</vt:lpstr>
      <vt:lpstr>v_85_XPHA_PAO</vt:lpstr>
      <vt:lpstr>v_85_XPP</vt:lpstr>
      <vt:lpstr>v_85_XSTR</vt:lpstr>
      <vt:lpstr>v_85_XU</vt:lpstr>
      <vt:lpstr>v_85_XVivi</vt:lpstr>
      <vt:lpstr>v_86_CB</vt:lpstr>
      <vt:lpstr>v_86_CU</vt:lpstr>
      <vt:lpstr>v_86_GCH4</vt:lpstr>
      <vt:lpstr>v_86_GCH4_atm</vt:lpstr>
      <vt:lpstr>v_86_GCO2</vt:lpstr>
      <vt:lpstr>v_86_GCO2_atm</vt:lpstr>
      <vt:lpstr>v_86_GH2</vt:lpstr>
      <vt:lpstr>v_86_GH2_atm</vt:lpstr>
      <vt:lpstr>v_86_GN2</vt:lpstr>
      <vt:lpstr>v_86_GN2_atm</vt:lpstr>
      <vt:lpstr>v_86_GN2O</vt:lpstr>
      <vt:lpstr>v_86_GN2O_atm</vt:lpstr>
      <vt:lpstr>v_86_GNH3</vt:lpstr>
      <vt:lpstr>v_86_GNH3_atm</vt:lpstr>
      <vt:lpstr>v_86_GNO</vt:lpstr>
      <vt:lpstr>v_86_GNO_atm</vt:lpstr>
      <vt:lpstr>v_86_GO2</vt:lpstr>
      <vt:lpstr>v_86_GO2_atm</vt:lpstr>
      <vt:lpstr>v_86_SALPHA</vt:lpstr>
      <vt:lpstr>v_86_SAN</vt:lpstr>
      <vt:lpstr>v_86_SB</vt:lpstr>
      <vt:lpstr>v_86_SCa</vt:lpstr>
      <vt:lpstr>v_86_SCAT</vt:lpstr>
      <vt:lpstr>v_86_SCH4</vt:lpstr>
      <vt:lpstr>v_86_SCO2</vt:lpstr>
      <vt:lpstr>v_86_SFe2</vt:lpstr>
      <vt:lpstr>v_86_SH</vt:lpstr>
      <vt:lpstr>v_86_SH2</vt:lpstr>
      <vt:lpstr>v_86_SK</vt:lpstr>
      <vt:lpstr>v_86_SMEOL</vt:lpstr>
      <vt:lpstr>v_86_SMg</vt:lpstr>
      <vt:lpstr>v_86_SN_B</vt:lpstr>
      <vt:lpstr>v_86_SN2</vt:lpstr>
      <vt:lpstr>v_86_SN2O</vt:lpstr>
      <vt:lpstr>v_86_SNH2OH</vt:lpstr>
      <vt:lpstr>v_86_SNHx</vt:lpstr>
      <vt:lpstr>v_86_SNO_AOB</vt:lpstr>
      <vt:lpstr>v_86_SNO_OHO</vt:lpstr>
      <vt:lpstr>v_86_SNO2</vt:lpstr>
      <vt:lpstr>v_86_SNO3</vt:lpstr>
      <vt:lpstr>v_86_SO2</vt:lpstr>
      <vt:lpstr>v_86_SORPswitch</vt:lpstr>
      <vt:lpstr>v_86_SP_B</vt:lpstr>
      <vt:lpstr>v_86_SPFOA</vt:lpstr>
      <vt:lpstr>v_86_SPFOS</vt:lpstr>
      <vt:lpstr>v_86_SPO4</vt:lpstr>
      <vt:lpstr>v_86_SU</vt:lpstr>
      <vt:lpstr>v_86_SVFA</vt:lpstr>
      <vt:lpstr>v_86_XACP</vt:lpstr>
      <vt:lpstr>v_86_XALGAE</vt:lpstr>
      <vt:lpstr>v_86_XAMETO</vt:lpstr>
      <vt:lpstr>v_86_XAMX</vt:lpstr>
      <vt:lpstr>v_86_XAOB</vt:lpstr>
      <vt:lpstr>v_86_XB</vt:lpstr>
      <vt:lpstr>v_86_XB_e</vt:lpstr>
      <vt:lpstr>v_86_XBSH</vt:lpstr>
      <vt:lpstr>v_86_XCaCO3</vt:lpstr>
      <vt:lpstr>v_86_XCASTO</vt:lpstr>
      <vt:lpstr>v_86_XE</vt:lpstr>
      <vt:lpstr>v_86_XE_ana</vt:lpstr>
      <vt:lpstr>v_86_XHAO_H</vt:lpstr>
      <vt:lpstr>v_86_XHAO_H_P</vt:lpstr>
      <vt:lpstr>v_86_XHAO_H_P_old</vt:lpstr>
      <vt:lpstr>v_86_XHAO_L</vt:lpstr>
      <vt:lpstr>v_86_XHAO_L_P</vt:lpstr>
      <vt:lpstr>v_86_XHAO_L_P_old</vt:lpstr>
      <vt:lpstr>v_86_XHAO_old</vt:lpstr>
      <vt:lpstr>v_86_XHFO_H</vt:lpstr>
      <vt:lpstr>v_86_XHFO_H_P</vt:lpstr>
      <vt:lpstr>v_86_XHFO_H_P_old</vt:lpstr>
      <vt:lpstr>v_86_XHFO_L</vt:lpstr>
      <vt:lpstr>v_86_XHFO_L_P</vt:lpstr>
      <vt:lpstr>v_86_XHFO_L_P_old</vt:lpstr>
      <vt:lpstr>v_86_XHFO_old</vt:lpstr>
      <vt:lpstr>v_86_XHMETO</vt:lpstr>
      <vt:lpstr>v_86_XINORG</vt:lpstr>
      <vt:lpstr>v_86_XMEOLO</vt:lpstr>
      <vt:lpstr>v_86_XN_B</vt:lpstr>
      <vt:lpstr>v_86_XN_Be</vt:lpstr>
      <vt:lpstr>v_86_XN_U</vt:lpstr>
      <vt:lpstr>v_86_XNOB</vt:lpstr>
      <vt:lpstr>v_86_XOHO</vt:lpstr>
      <vt:lpstr>v_86_XP_B</vt:lpstr>
      <vt:lpstr>v_86_XP_Be</vt:lpstr>
      <vt:lpstr>v_86_XP_U</vt:lpstr>
      <vt:lpstr>v_86_XPFOA</vt:lpstr>
      <vt:lpstr>v_86_XPFOS</vt:lpstr>
      <vt:lpstr>v_86_XPHA_GAO</vt:lpstr>
      <vt:lpstr>v_86_XPHA_PAO</vt:lpstr>
      <vt:lpstr>v_86_XPP</vt:lpstr>
      <vt:lpstr>v_86_XSTR</vt:lpstr>
      <vt:lpstr>v_86_XU</vt:lpstr>
      <vt:lpstr>v_86_XVivi</vt:lpstr>
      <vt:lpstr>v_87_CB</vt:lpstr>
      <vt:lpstr>v_87_CU</vt:lpstr>
      <vt:lpstr>v_87_GCH4</vt:lpstr>
      <vt:lpstr>v_87_GCH4_atm</vt:lpstr>
      <vt:lpstr>v_87_GCO2</vt:lpstr>
      <vt:lpstr>v_87_GCO2_atm</vt:lpstr>
      <vt:lpstr>v_87_GH2</vt:lpstr>
      <vt:lpstr>v_87_GH2_atm</vt:lpstr>
      <vt:lpstr>v_87_GN2</vt:lpstr>
      <vt:lpstr>v_87_GN2_atm</vt:lpstr>
      <vt:lpstr>v_87_GN2O</vt:lpstr>
      <vt:lpstr>v_87_GN2O_atm</vt:lpstr>
      <vt:lpstr>v_87_GNH3</vt:lpstr>
      <vt:lpstr>v_87_GNH3_atm</vt:lpstr>
      <vt:lpstr>v_87_GNO</vt:lpstr>
      <vt:lpstr>v_87_GNO_atm</vt:lpstr>
      <vt:lpstr>v_87_GO2</vt:lpstr>
      <vt:lpstr>v_87_GO2_atm</vt:lpstr>
      <vt:lpstr>v_87_SALPHA</vt:lpstr>
      <vt:lpstr>v_87_SAN</vt:lpstr>
      <vt:lpstr>v_87_SB</vt:lpstr>
      <vt:lpstr>v_87_SCa</vt:lpstr>
      <vt:lpstr>v_87_SCAT</vt:lpstr>
      <vt:lpstr>v_87_SCH4</vt:lpstr>
      <vt:lpstr>v_87_SCO2</vt:lpstr>
      <vt:lpstr>v_87_SFe2</vt:lpstr>
      <vt:lpstr>v_87_SH</vt:lpstr>
      <vt:lpstr>v_87_SH2</vt:lpstr>
      <vt:lpstr>v_87_SK</vt:lpstr>
      <vt:lpstr>v_87_SMEOL</vt:lpstr>
      <vt:lpstr>v_87_SMg</vt:lpstr>
      <vt:lpstr>v_87_SN_B</vt:lpstr>
      <vt:lpstr>v_87_SN2</vt:lpstr>
      <vt:lpstr>v_87_SN2O</vt:lpstr>
      <vt:lpstr>v_87_SNH2OH</vt:lpstr>
      <vt:lpstr>v_87_SNHx</vt:lpstr>
      <vt:lpstr>v_87_SNO_AOB</vt:lpstr>
      <vt:lpstr>v_87_SNO_OHO</vt:lpstr>
      <vt:lpstr>v_87_SNO2</vt:lpstr>
      <vt:lpstr>v_87_SNO3</vt:lpstr>
      <vt:lpstr>v_87_SO2</vt:lpstr>
      <vt:lpstr>v_87_SORPswitch</vt:lpstr>
      <vt:lpstr>v_87_SP_B</vt:lpstr>
      <vt:lpstr>v_87_SPFOA</vt:lpstr>
      <vt:lpstr>v_87_SPFOS</vt:lpstr>
      <vt:lpstr>v_87_SPO4</vt:lpstr>
      <vt:lpstr>v_87_SU</vt:lpstr>
      <vt:lpstr>v_87_SVFA</vt:lpstr>
      <vt:lpstr>v_87_XACP</vt:lpstr>
      <vt:lpstr>v_87_XALGAE</vt:lpstr>
      <vt:lpstr>v_87_XAMETO</vt:lpstr>
      <vt:lpstr>v_87_XAMX</vt:lpstr>
      <vt:lpstr>v_87_XAOB</vt:lpstr>
      <vt:lpstr>v_87_XB</vt:lpstr>
      <vt:lpstr>v_87_XB_e</vt:lpstr>
      <vt:lpstr>v_87_XBSH</vt:lpstr>
      <vt:lpstr>v_87_XCaCO3</vt:lpstr>
      <vt:lpstr>v_87_XCASTO</vt:lpstr>
      <vt:lpstr>v_87_XE</vt:lpstr>
      <vt:lpstr>v_87_XE_ana</vt:lpstr>
      <vt:lpstr>v_87_XHAO_H</vt:lpstr>
      <vt:lpstr>v_87_XHAO_H_P</vt:lpstr>
      <vt:lpstr>v_87_XHAO_H_P_old</vt:lpstr>
      <vt:lpstr>v_87_XHAO_L</vt:lpstr>
      <vt:lpstr>v_87_XHAO_L_P</vt:lpstr>
      <vt:lpstr>v_87_XHAO_L_P_old</vt:lpstr>
      <vt:lpstr>v_87_XHAO_old</vt:lpstr>
      <vt:lpstr>v_87_XHFO_H</vt:lpstr>
      <vt:lpstr>v_87_XHFO_H_P</vt:lpstr>
      <vt:lpstr>v_87_XHFO_H_P_old</vt:lpstr>
      <vt:lpstr>v_87_XHFO_L</vt:lpstr>
      <vt:lpstr>v_87_XHFO_L_P</vt:lpstr>
      <vt:lpstr>v_87_XHFO_L_P_old</vt:lpstr>
      <vt:lpstr>v_87_XHFO_old</vt:lpstr>
      <vt:lpstr>v_87_XHMETO</vt:lpstr>
      <vt:lpstr>v_87_XINORG</vt:lpstr>
      <vt:lpstr>v_87_XMEOLO</vt:lpstr>
      <vt:lpstr>v_87_XN_B</vt:lpstr>
      <vt:lpstr>v_87_XN_Be</vt:lpstr>
      <vt:lpstr>v_87_XN_U</vt:lpstr>
      <vt:lpstr>v_87_XNOB</vt:lpstr>
      <vt:lpstr>v_87_XOHO</vt:lpstr>
      <vt:lpstr>v_87_XP_B</vt:lpstr>
      <vt:lpstr>v_87_XP_Be</vt:lpstr>
      <vt:lpstr>v_87_XP_U</vt:lpstr>
      <vt:lpstr>v_87_XPFOA</vt:lpstr>
      <vt:lpstr>v_87_XPFOS</vt:lpstr>
      <vt:lpstr>v_87_XPHA_GAO</vt:lpstr>
      <vt:lpstr>v_87_XPHA_PAO</vt:lpstr>
      <vt:lpstr>v_87_XPP</vt:lpstr>
      <vt:lpstr>v_87_XSTR</vt:lpstr>
      <vt:lpstr>v_87_XU</vt:lpstr>
      <vt:lpstr>v_87_XVivi</vt:lpstr>
      <vt:lpstr>v_88_CB</vt:lpstr>
      <vt:lpstr>v_88_CU</vt:lpstr>
      <vt:lpstr>v_88_GCH4</vt:lpstr>
      <vt:lpstr>v_88_GCH4_atm</vt:lpstr>
      <vt:lpstr>v_88_GCO2</vt:lpstr>
      <vt:lpstr>v_88_GCO2_atm</vt:lpstr>
      <vt:lpstr>v_88_GH2</vt:lpstr>
      <vt:lpstr>v_88_GH2_atm</vt:lpstr>
      <vt:lpstr>v_88_GN2</vt:lpstr>
      <vt:lpstr>v_88_GN2_atm</vt:lpstr>
      <vt:lpstr>v_88_GN2O</vt:lpstr>
      <vt:lpstr>v_88_GN2O_atm</vt:lpstr>
      <vt:lpstr>v_88_GNH3</vt:lpstr>
      <vt:lpstr>v_88_GNH3_atm</vt:lpstr>
      <vt:lpstr>v_88_GNO</vt:lpstr>
      <vt:lpstr>v_88_GNO_atm</vt:lpstr>
      <vt:lpstr>v_88_GO2</vt:lpstr>
      <vt:lpstr>v_88_GO2_atm</vt:lpstr>
      <vt:lpstr>v_88_SALPHA</vt:lpstr>
      <vt:lpstr>v_88_SAN</vt:lpstr>
      <vt:lpstr>v_88_SB</vt:lpstr>
      <vt:lpstr>v_88_SCa</vt:lpstr>
      <vt:lpstr>v_88_SCAT</vt:lpstr>
      <vt:lpstr>v_88_SCH4</vt:lpstr>
      <vt:lpstr>v_88_SCO2</vt:lpstr>
      <vt:lpstr>v_88_SFe2</vt:lpstr>
      <vt:lpstr>v_88_SH</vt:lpstr>
      <vt:lpstr>v_88_SH2</vt:lpstr>
      <vt:lpstr>v_88_SK</vt:lpstr>
      <vt:lpstr>v_88_SMEOL</vt:lpstr>
      <vt:lpstr>v_88_SMg</vt:lpstr>
      <vt:lpstr>v_88_SN_B</vt:lpstr>
      <vt:lpstr>v_88_SN2</vt:lpstr>
      <vt:lpstr>v_88_SN2O</vt:lpstr>
      <vt:lpstr>v_88_SNH2OH</vt:lpstr>
      <vt:lpstr>v_88_SNHx</vt:lpstr>
      <vt:lpstr>v_88_SNO_AOB</vt:lpstr>
      <vt:lpstr>v_88_SNO_OHO</vt:lpstr>
      <vt:lpstr>v_88_SNO2</vt:lpstr>
      <vt:lpstr>v_88_SNO3</vt:lpstr>
      <vt:lpstr>v_88_SO2</vt:lpstr>
      <vt:lpstr>v_88_SORPswitch</vt:lpstr>
      <vt:lpstr>v_88_SP_B</vt:lpstr>
      <vt:lpstr>v_88_SPFOA</vt:lpstr>
      <vt:lpstr>v_88_SPFOS</vt:lpstr>
      <vt:lpstr>v_88_SPO4</vt:lpstr>
      <vt:lpstr>v_88_SU</vt:lpstr>
      <vt:lpstr>v_88_SVFA</vt:lpstr>
      <vt:lpstr>v_88_XACP</vt:lpstr>
      <vt:lpstr>v_88_XALGAE</vt:lpstr>
      <vt:lpstr>v_88_XAMETO</vt:lpstr>
      <vt:lpstr>v_88_XAMX</vt:lpstr>
      <vt:lpstr>v_88_XAOB</vt:lpstr>
      <vt:lpstr>v_88_XB</vt:lpstr>
      <vt:lpstr>v_88_XB_e</vt:lpstr>
      <vt:lpstr>v_88_XBSH</vt:lpstr>
      <vt:lpstr>v_88_XCaCO3</vt:lpstr>
      <vt:lpstr>v_88_XCASTO</vt:lpstr>
      <vt:lpstr>v_88_XE</vt:lpstr>
      <vt:lpstr>v_88_XE_ana</vt:lpstr>
      <vt:lpstr>v_88_XHAO_H</vt:lpstr>
      <vt:lpstr>v_88_XHAO_H_P</vt:lpstr>
      <vt:lpstr>v_88_XHAO_H_P_old</vt:lpstr>
      <vt:lpstr>v_88_XHAO_L</vt:lpstr>
      <vt:lpstr>v_88_XHAO_L_P</vt:lpstr>
      <vt:lpstr>v_88_XHAO_L_P_old</vt:lpstr>
      <vt:lpstr>v_88_XHAO_old</vt:lpstr>
      <vt:lpstr>v_88_XHFO_H</vt:lpstr>
      <vt:lpstr>v_88_XHFO_H_P</vt:lpstr>
      <vt:lpstr>v_88_XHFO_H_P_old</vt:lpstr>
      <vt:lpstr>v_88_XHFO_L</vt:lpstr>
      <vt:lpstr>v_88_XHFO_L_P</vt:lpstr>
      <vt:lpstr>v_88_XHFO_L_P_old</vt:lpstr>
      <vt:lpstr>v_88_XHFO_old</vt:lpstr>
      <vt:lpstr>v_88_XHMETO</vt:lpstr>
      <vt:lpstr>v_88_XINORG</vt:lpstr>
      <vt:lpstr>v_88_XMEOLO</vt:lpstr>
      <vt:lpstr>v_88_XN_B</vt:lpstr>
      <vt:lpstr>v_88_XN_Be</vt:lpstr>
      <vt:lpstr>v_88_XN_U</vt:lpstr>
      <vt:lpstr>v_88_XNOB</vt:lpstr>
      <vt:lpstr>v_88_XOHO</vt:lpstr>
      <vt:lpstr>v_88_XP_B</vt:lpstr>
      <vt:lpstr>v_88_XP_Be</vt:lpstr>
      <vt:lpstr>v_88_XP_U</vt:lpstr>
      <vt:lpstr>v_88_XPFOA</vt:lpstr>
      <vt:lpstr>v_88_XPFOS</vt:lpstr>
      <vt:lpstr>v_88_XPHA_GAO</vt:lpstr>
      <vt:lpstr>v_88_XPHA_PAO</vt:lpstr>
      <vt:lpstr>v_88_XPP</vt:lpstr>
      <vt:lpstr>v_88_XSTR</vt:lpstr>
      <vt:lpstr>v_88_XU</vt:lpstr>
      <vt:lpstr>v_88_XVivi</vt:lpstr>
      <vt:lpstr>v_89_CB</vt:lpstr>
      <vt:lpstr>v_89_CU</vt:lpstr>
      <vt:lpstr>v_89_GCH4</vt:lpstr>
      <vt:lpstr>v_89_GCH4_atm</vt:lpstr>
      <vt:lpstr>v_89_GCO2</vt:lpstr>
      <vt:lpstr>v_89_GCO2_atm</vt:lpstr>
      <vt:lpstr>v_89_GH2</vt:lpstr>
      <vt:lpstr>v_89_GH2_atm</vt:lpstr>
      <vt:lpstr>v_89_GN2</vt:lpstr>
      <vt:lpstr>v_89_GN2_atm</vt:lpstr>
      <vt:lpstr>v_89_GN2O</vt:lpstr>
      <vt:lpstr>v_89_GN2O_atm</vt:lpstr>
      <vt:lpstr>v_89_GNH3</vt:lpstr>
      <vt:lpstr>v_89_GNH3_atm</vt:lpstr>
      <vt:lpstr>v_89_GNO</vt:lpstr>
      <vt:lpstr>v_89_GNO_atm</vt:lpstr>
      <vt:lpstr>v_89_GO2</vt:lpstr>
      <vt:lpstr>v_89_GO2_atm</vt:lpstr>
      <vt:lpstr>v_89_SALPHA</vt:lpstr>
      <vt:lpstr>v_89_SAN</vt:lpstr>
      <vt:lpstr>v_89_SB</vt:lpstr>
      <vt:lpstr>v_89_SCa</vt:lpstr>
      <vt:lpstr>v_89_SCAT</vt:lpstr>
      <vt:lpstr>v_89_SCH4</vt:lpstr>
      <vt:lpstr>v_89_SCO2</vt:lpstr>
      <vt:lpstr>v_89_SFe2</vt:lpstr>
      <vt:lpstr>v_89_SH</vt:lpstr>
      <vt:lpstr>v_89_SH2</vt:lpstr>
      <vt:lpstr>v_89_SK</vt:lpstr>
      <vt:lpstr>v_89_SMEOL</vt:lpstr>
      <vt:lpstr>v_89_SMg</vt:lpstr>
      <vt:lpstr>v_89_SN_B</vt:lpstr>
      <vt:lpstr>v_89_SN2</vt:lpstr>
      <vt:lpstr>v_89_SN2O</vt:lpstr>
      <vt:lpstr>v_89_SNH2OH</vt:lpstr>
      <vt:lpstr>v_89_SNHx</vt:lpstr>
      <vt:lpstr>v_89_SNO_AOB</vt:lpstr>
      <vt:lpstr>v_89_SNO_OHO</vt:lpstr>
      <vt:lpstr>v_89_SNO2</vt:lpstr>
      <vt:lpstr>v_89_SNO3</vt:lpstr>
      <vt:lpstr>v_89_SO2</vt:lpstr>
      <vt:lpstr>v_89_SORPswitch</vt:lpstr>
      <vt:lpstr>v_89_SP_B</vt:lpstr>
      <vt:lpstr>v_89_SPFOA</vt:lpstr>
      <vt:lpstr>v_89_SPFOS</vt:lpstr>
      <vt:lpstr>v_89_SPO4</vt:lpstr>
      <vt:lpstr>v_89_SU</vt:lpstr>
      <vt:lpstr>v_89_SVFA</vt:lpstr>
      <vt:lpstr>v_89_XACP</vt:lpstr>
      <vt:lpstr>v_89_XALGAE</vt:lpstr>
      <vt:lpstr>v_89_XAMETO</vt:lpstr>
      <vt:lpstr>v_89_XAMX</vt:lpstr>
      <vt:lpstr>v_89_XAOB</vt:lpstr>
      <vt:lpstr>v_89_XB</vt:lpstr>
      <vt:lpstr>v_89_XB_e</vt:lpstr>
      <vt:lpstr>v_89_XBSH</vt:lpstr>
      <vt:lpstr>v_89_XCaCO3</vt:lpstr>
      <vt:lpstr>v_89_XCASTO</vt:lpstr>
      <vt:lpstr>v_89_XE</vt:lpstr>
      <vt:lpstr>v_89_XE_ana</vt:lpstr>
      <vt:lpstr>v_89_XHAO_H</vt:lpstr>
      <vt:lpstr>v_89_XHAO_H_P</vt:lpstr>
      <vt:lpstr>v_89_XHAO_H_P_old</vt:lpstr>
      <vt:lpstr>v_89_XHAO_L</vt:lpstr>
      <vt:lpstr>v_89_XHAO_L_P</vt:lpstr>
      <vt:lpstr>v_89_XHAO_L_P_old</vt:lpstr>
      <vt:lpstr>v_89_XHAO_old</vt:lpstr>
      <vt:lpstr>v_89_XHFO_H</vt:lpstr>
      <vt:lpstr>v_89_XHFO_H_P</vt:lpstr>
      <vt:lpstr>v_89_XHFO_H_P_old</vt:lpstr>
      <vt:lpstr>v_89_XHFO_L</vt:lpstr>
      <vt:lpstr>v_89_XHFO_L_P</vt:lpstr>
      <vt:lpstr>v_89_XHFO_L_P_old</vt:lpstr>
      <vt:lpstr>v_89_XHFO_old</vt:lpstr>
      <vt:lpstr>v_89_XHMETO</vt:lpstr>
      <vt:lpstr>v_89_XINORG</vt:lpstr>
      <vt:lpstr>v_89_XMEOLO</vt:lpstr>
      <vt:lpstr>v_89_XN_B</vt:lpstr>
      <vt:lpstr>v_89_XN_Be</vt:lpstr>
      <vt:lpstr>v_89_XN_U</vt:lpstr>
      <vt:lpstr>v_89_XNOB</vt:lpstr>
      <vt:lpstr>v_89_XOHO</vt:lpstr>
      <vt:lpstr>v_89_XP_B</vt:lpstr>
      <vt:lpstr>v_89_XP_Be</vt:lpstr>
      <vt:lpstr>v_89_XP_U</vt:lpstr>
      <vt:lpstr>v_89_XPFOA</vt:lpstr>
      <vt:lpstr>v_89_XPFOS</vt:lpstr>
      <vt:lpstr>v_89_XPHA_GAO</vt:lpstr>
      <vt:lpstr>v_89_XPHA_PAO</vt:lpstr>
      <vt:lpstr>v_89_XPP</vt:lpstr>
      <vt:lpstr>v_89_XSTR</vt:lpstr>
      <vt:lpstr>v_89_XU</vt:lpstr>
      <vt:lpstr>v_89_XVivi</vt:lpstr>
      <vt:lpstr>v_9_CB</vt:lpstr>
      <vt:lpstr>v_9_CU</vt:lpstr>
      <vt:lpstr>v_9_GCH4</vt:lpstr>
      <vt:lpstr>v_9_GCH4_atm</vt:lpstr>
      <vt:lpstr>v_9_GCO2</vt:lpstr>
      <vt:lpstr>v_9_GCO2_atm</vt:lpstr>
      <vt:lpstr>v_9_GH2</vt:lpstr>
      <vt:lpstr>v_9_GH2_atm</vt:lpstr>
      <vt:lpstr>v_9_GN2</vt:lpstr>
      <vt:lpstr>v_9_GN2_atm</vt:lpstr>
      <vt:lpstr>v_9_GN2O</vt:lpstr>
      <vt:lpstr>v_9_GN2O_atm</vt:lpstr>
      <vt:lpstr>v_9_GNH3</vt:lpstr>
      <vt:lpstr>v_9_GNH3_atm</vt:lpstr>
      <vt:lpstr>v_9_GNO</vt:lpstr>
      <vt:lpstr>v_9_GNO_atm</vt:lpstr>
      <vt:lpstr>v_9_GO2</vt:lpstr>
      <vt:lpstr>v_9_GO2_atm</vt:lpstr>
      <vt:lpstr>v_9_SALPHA</vt:lpstr>
      <vt:lpstr>v_9_SAN</vt:lpstr>
      <vt:lpstr>v_9_SB</vt:lpstr>
      <vt:lpstr>v_9_SCa</vt:lpstr>
      <vt:lpstr>v_9_SCAT</vt:lpstr>
      <vt:lpstr>v_9_SCH4</vt:lpstr>
      <vt:lpstr>v_9_SCO2</vt:lpstr>
      <vt:lpstr>v_9_SFe2</vt:lpstr>
      <vt:lpstr>v_9_SH</vt:lpstr>
      <vt:lpstr>v_9_SH2</vt:lpstr>
      <vt:lpstr>v_9_SK</vt:lpstr>
      <vt:lpstr>v_9_SMEOL</vt:lpstr>
      <vt:lpstr>v_9_SMg</vt:lpstr>
      <vt:lpstr>v_9_SN_B</vt:lpstr>
      <vt:lpstr>v_9_SN2</vt:lpstr>
      <vt:lpstr>v_9_SN2O</vt:lpstr>
      <vt:lpstr>v_9_SNH2OH</vt:lpstr>
      <vt:lpstr>v_9_SNHx</vt:lpstr>
      <vt:lpstr>v_9_SNO_AOB</vt:lpstr>
      <vt:lpstr>v_9_SNO_OHO</vt:lpstr>
      <vt:lpstr>v_9_SNO2</vt:lpstr>
      <vt:lpstr>v_9_SNO3</vt:lpstr>
      <vt:lpstr>v_9_SO2</vt:lpstr>
      <vt:lpstr>v_9_SORPswitch</vt:lpstr>
      <vt:lpstr>v_9_SP_B</vt:lpstr>
      <vt:lpstr>v_9_SPFOA</vt:lpstr>
      <vt:lpstr>v_9_SPFOS</vt:lpstr>
      <vt:lpstr>v_9_SPO4</vt:lpstr>
      <vt:lpstr>v_9_SU</vt:lpstr>
      <vt:lpstr>v_9_SVFA</vt:lpstr>
      <vt:lpstr>v_9_XACP</vt:lpstr>
      <vt:lpstr>v_9_XALGAE</vt:lpstr>
      <vt:lpstr>v_9_XAMETO</vt:lpstr>
      <vt:lpstr>v_9_XAMX</vt:lpstr>
      <vt:lpstr>v_9_XAOB</vt:lpstr>
      <vt:lpstr>v_9_XB</vt:lpstr>
      <vt:lpstr>v_9_XB_e</vt:lpstr>
      <vt:lpstr>v_9_XBSH</vt:lpstr>
      <vt:lpstr>v_9_XCaCO3</vt:lpstr>
      <vt:lpstr>v_9_XCASTO</vt:lpstr>
      <vt:lpstr>v_9_XE</vt:lpstr>
      <vt:lpstr>v_9_XE_ana</vt:lpstr>
      <vt:lpstr>v_9_XHAO_H</vt:lpstr>
      <vt:lpstr>v_9_XHAO_H_P</vt:lpstr>
      <vt:lpstr>v_9_XHAO_H_P_old</vt:lpstr>
      <vt:lpstr>v_9_XHAO_L</vt:lpstr>
      <vt:lpstr>v_9_XHAO_L_P</vt:lpstr>
      <vt:lpstr>v_9_XHAO_L_P_old</vt:lpstr>
      <vt:lpstr>v_9_XHAO_old</vt:lpstr>
      <vt:lpstr>v_9_XHFO_H</vt:lpstr>
      <vt:lpstr>v_9_XHFO_H_P</vt:lpstr>
      <vt:lpstr>v_9_XHFO_H_P_old</vt:lpstr>
      <vt:lpstr>v_9_XHFO_L</vt:lpstr>
      <vt:lpstr>v_9_XHFO_L_P</vt:lpstr>
      <vt:lpstr>v_9_XHFO_L_P_old</vt:lpstr>
      <vt:lpstr>v_9_XHFO_old</vt:lpstr>
      <vt:lpstr>v_9_XHMETO</vt:lpstr>
      <vt:lpstr>v_9_XINORG</vt:lpstr>
      <vt:lpstr>v_9_XMEOLO</vt:lpstr>
      <vt:lpstr>v_9_XN_B</vt:lpstr>
      <vt:lpstr>v_9_XN_Be</vt:lpstr>
      <vt:lpstr>v_9_XN_U</vt:lpstr>
      <vt:lpstr>v_9_XNOB</vt:lpstr>
      <vt:lpstr>v_9_XOHO</vt:lpstr>
      <vt:lpstr>v_9_XP_B</vt:lpstr>
      <vt:lpstr>v_9_XP_Be</vt:lpstr>
      <vt:lpstr>v_9_XP_U</vt:lpstr>
      <vt:lpstr>v_9_XPFOA</vt:lpstr>
      <vt:lpstr>v_9_XPFOS</vt:lpstr>
      <vt:lpstr>v_9_XPHA_GAO</vt:lpstr>
      <vt:lpstr>v_9_XPHA_PAO</vt:lpstr>
      <vt:lpstr>v_9_XPP</vt:lpstr>
      <vt:lpstr>v_9_XSTR</vt:lpstr>
      <vt:lpstr>v_9_XU</vt:lpstr>
      <vt:lpstr>v_9_XVivi</vt:lpstr>
      <vt:lpstr>v_90_CB</vt:lpstr>
      <vt:lpstr>v_90_CU</vt:lpstr>
      <vt:lpstr>v_90_GCH4</vt:lpstr>
      <vt:lpstr>v_90_GCH4_atm</vt:lpstr>
      <vt:lpstr>v_90_GCO2</vt:lpstr>
      <vt:lpstr>v_90_GCO2_atm</vt:lpstr>
      <vt:lpstr>v_90_GH2</vt:lpstr>
      <vt:lpstr>v_90_GH2_atm</vt:lpstr>
      <vt:lpstr>v_90_GN2</vt:lpstr>
      <vt:lpstr>v_90_GN2_atm</vt:lpstr>
      <vt:lpstr>v_90_GN2O</vt:lpstr>
      <vt:lpstr>v_90_GN2O_atm</vt:lpstr>
      <vt:lpstr>v_90_GNH3</vt:lpstr>
      <vt:lpstr>v_90_GNH3_atm</vt:lpstr>
      <vt:lpstr>v_90_GNO</vt:lpstr>
      <vt:lpstr>v_90_GNO_atm</vt:lpstr>
      <vt:lpstr>v_90_GO2</vt:lpstr>
      <vt:lpstr>v_90_GO2_atm</vt:lpstr>
      <vt:lpstr>v_90_SALPHA</vt:lpstr>
      <vt:lpstr>v_90_SAN</vt:lpstr>
      <vt:lpstr>v_90_SB</vt:lpstr>
      <vt:lpstr>v_90_SCa</vt:lpstr>
      <vt:lpstr>v_90_SCAT</vt:lpstr>
      <vt:lpstr>v_90_SCH4</vt:lpstr>
      <vt:lpstr>v_90_SCO2</vt:lpstr>
      <vt:lpstr>v_90_SFe2</vt:lpstr>
      <vt:lpstr>v_90_SH</vt:lpstr>
      <vt:lpstr>v_90_SH2</vt:lpstr>
      <vt:lpstr>v_90_SK</vt:lpstr>
      <vt:lpstr>v_90_SMEOL</vt:lpstr>
      <vt:lpstr>v_90_SMg</vt:lpstr>
      <vt:lpstr>v_90_SN_B</vt:lpstr>
      <vt:lpstr>v_90_SN2</vt:lpstr>
      <vt:lpstr>v_90_SN2O</vt:lpstr>
      <vt:lpstr>v_90_SNH2OH</vt:lpstr>
      <vt:lpstr>v_90_SNHx</vt:lpstr>
      <vt:lpstr>v_90_SNO_AOB</vt:lpstr>
      <vt:lpstr>v_90_SNO_OHO</vt:lpstr>
      <vt:lpstr>v_90_SNO2</vt:lpstr>
      <vt:lpstr>v_90_SNO3</vt:lpstr>
      <vt:lpstr>v_90_SO2</vt:lpstr>
      <vt:lpstr>v_90_SORPswitch</vt:lpstr>
      <vt:lpstr>v_90_SP_B</vt:lpstr>
      <vt:lpstr>v_90_SPFOA</vt:lpstr>
      <vt:lpstr>v_90_SPFOS</vt:lpstr>
      <vt:lpstr>v_90_SPO4</vt:lpstr>
      <vt:lpstr>v_90_SU</vt:lpstr>
      <vt:lpstr>v_90_SVFA</vt:lpstr>
      <vt:lpstr>v_90_XACP</vt:lpstr>
      <vt:lpstr>v_90_XALGAE</vt:lpstr>
      <vt:lpstr>v_90_XAMETO</vt:lpstr>
      <vt:lpstr>v_90_XAMX</vt:lpstr>
      <vt:lpstr>v_90_XAOB</vt:lpstr>
      <vt:lpstr>v_90_XB</vt:lpstr>
      <vt:lpstr>v_90_XB_e</vt:lpstr>
      <vt:lpstr>v_90_XBSH</vt:lpstr>
      <vt:lpstr>v_90_XCaCO3</vt:lpstr>
      <vt:lpstr>v_90_XCASTO</vt:lpstr>
      <vt:lpstr>v_90_XE</vt:lpstr>
      <vt:lpstr>v_90_XE_ana</vt:lpstr>
      <vt:lpstr>v_90_XHAO_H</vt:lpstr>
      <vt:lpstr>v_90_XHAO_H_P</vt:lpstr>
      <vt:lpstr>v_90_XHAO_H_P_old</vt:lpstr>
      <vt:lpstr>v_90_XHAO_L</vt:lpstr>
      <vt:lpstr>v_90_XHAO_L_P</vt:lpstr>
      <vt:lpstr>v_90_XHAO_L_P_old</vt:lpstr>
      <vt:lpstr>v_90_XHAO_old</vt:lpstr>
      <vt:lpstr>v_90_XHFO_H</vt:lpstr>
      <vt:lpstr>v_90_XHFO_H_P</vt:lpstr>
      <vt:lpstr>v_90_XHFO_H_P_old</vt:lpstr>
      <vt:lpstr>v_90_XHFO_L</vt:lpstr>
      <vt:lpstr>v_90_XHFO_L_P</vt:lpstr>
      <vt:lpstr>v_90_XHFO_L_P_old</vt:lpstr>
      <vt:lpstr>v_90_XHFO_old</vt:lpstr>
      <vt:lpstr>v_90_XHMETO</vt:lpstr>
      <vt:lpstr>v_90_XINORG</vt:lpstr>
      <vt:lpstr>v_90_XMEOLO</vt:lpstr>
      <vt:lpstr>v_90_XN_B</vt:lpstr>
      <vt:lpstr>v_90_XN_Be</vt:lpstr>
      <vt:lpstr>v_90_XN_U</vt:lpstr>
      <vt:lpstr>v_90_XNOB</vt:lpstr>
      <vt:lpstr>v_90_XOHO</vt:lpstr>
      <vt:lpstr>v_90_XP_B</vt:lpstr>
      <vt:lpstr>v_90_XP_Be</vt:lpstr>
      <vt:lpstr>v_90_XP_U</vt:lpstr>
      <vt:lpstr>v_90_XPFOA</vt:lpstr>
      <vt:lpstr>v_90_XPFOS</vt:lpstr>
      <vt:lpstr>v_90_XPHA_GAO</vt:lpstr>
      <vt:lpstr>v_90_XPHA_PAO</vt:lpstr>
      <vt:lpstr>v_90_XPP</vt:lpstr>
      <vt:lpstr>v_90_XSTR</vt:lpstr>
      <vt:lpstr>v_90_XU</vt:lpstr>
      <vt:lpstr>v_90_XVivi</vt:lpstr>
      <vt:lpstr>v_91_CB</vt:lpstr>
      <vt:lpstr>v_91_CU</vt:lpstr>
      <vt:lpstr>v_91_GCH4</vt:lpstr>
      <vt:lpstr>v_91_GCH4_atm</vt:lpstr>
      <vt:lpstr>v_91_GCO2</vt:lpstr>
      <vt:lpstr>v_91_GCO2_atm</vt:lpstr>
      <vt:lpstr>v_91_GH2</vt:lpstr>
      <vt:lpstr>v_91_GH2_atm</vt:lpstr>
      <vt:lpstr>v_91_GN2</vt:lpstr>
      <vt:lpstr>v_91_GN2_atm</vt:lpstr>
      <vt:lpstr>v_91_GN2O</vt:lpstr>
      <vt:lpstr>v_91_GN2O_atm</vt:lpstr>
      <vt:lpstr>v_91_GNH3</vt:lpstr>
      <vt:lpstr>v_91_GNH3_atm</vt:lpstr>
      <vt:lpstr>v_91_GNO</vt:lpstr>
      <vt:lpstr>v_91_GNO_atm</vt:lpstr>
      <vt:lpstr>v_91_GO2</vt:lpstr>
      <vt:lpstr>v_91_GO2_atm</vt:lpstr>
      <vt:lpstr>v_91_SALPHA</vt:lpstr>
      <vt:lpstr>v_91_SAN</vt:lpstr>
      <vt:lpstr>v_91_SB</vt:lpstr>
      <vt:lpstr>v_91_SCa</vt:lpstr>
      <vt:lpstr>v_91_SCAT</vt:lpstr>
      <vt:lpstr>v_91_SCH4</vt:lpstr>
      <vt:lpstr>v_91_SCO2</vt:lpstr>
      <vt:lpstr>v_91_SFe2</vt:lpstr>
      <vt:lpstr>v_91_SH</vt:lpstr>
      <vt:lpstr>v_91_SH2</vt:lpstr>
      <vt:lpstr>v_91_SK</vt:lpstr>
      <vt:lpstr>v_91_SMEOL</vt:lpstr>
      <vt:lpstr>v_91_SMg</vt:lpstr>
      <vt:lpstr>v_91_SN_B</vt:lpstr>
      <vt:lpstr>v_91_SN2</vt:lpstr>
      <vt:lpstr>v_91_SN2O</vt:lpstr>
      <vt:lpstr>v_91_SNH2OH</vt:lpstr>
      <vt:lpstr>v_91_SNHx</vt:lpstr>
      <vt:lpstr>v_91_SNO_AOB</vt:lpstr>
      <vt:lpstr>v_91_SNO_OHO</vt:lpstr>
      <vt:lpstr>v_91_SNO2</vt:lpstr>
      <vt:lpstr>v_91_SNO3</vt:lpstr>
      <vt:lpstr>v_91_SO2</vt:lpstr>
      <vt:lpstr>v_91_SORPswitch</vt:lpstr>
      <vt:lpstr>v_91_SP_B</vt:lpstr>
      <vt:lpstr>v_91_SPFOA</vt:lpstr>
      <vt:lpstr>v_91_SPFOS</vt:lpstr>
      <vt:lpstr>v_91_SPO4</vt:lpstr>
      <vt:lpstr>v_91_SU</vt:lpstr>
      <vt:lpstr>v_91_SVFA</vt:lpstr>
      <vt:lpstr>v_91_XACP</vt:lpstr>
      <vt:lpstr>v_91_XALGAE</vt:lpstr>
      <vt:lpstr>v_91_XAMETO</vt:lpstr>
      <vt:lpstr>v_91_XAMX</vt:lpstr>
      <vt:lpstr>v_91_XAOB</vt:lpstr>
      <vt:lpstr>v_91_XB</vt:lpstr>
      <vt:lpstr>v_91_XB_e</vt:lpstr>
      <vt:lpstr>v_91_XBSH</vt:lpstr>
      <vt:lpstr>v_91_XCaCO3</vt:lpstr>
      <vt:lpstr>v_91_XCASTO</vt:lpstr>
      <vt:lpstr>v_91_XE</vt:lpstr>
      <vt:lpstr>v_91_XE_ana</vt:lpstr>
      <vt:lpstr>v_91_XHAO_H</vt:lpstr>
      <vt:lpstr>v_91_XHAO_H_P</vt:lpstr>
      <vt:lpstr>v_91_XHAO_H_P_old</vt:lpstr>
      <vt:lpstr>v_91_XHAO_L</vt:lpstr>
      <vt:lpstr>v_91_XHAO_L_P</vt:lpstr>
      <vt:lpstr>v_91_XHAO_L_P_old</vt:lpstr>
      <vt:lpstr>v_91_XHAO_old</vt:lpstr>
      <vt:lpstr>v_91_XHFO_H</vt:lpstr>
      <vt:lpstr>v_91_XHFO_H_P</vt:lpstr>
      <vt:lpstr>v_91_XHFO_H_P_old</vt:lpstr>
      <vt:lpstr>v_91_XHFO_L</vt:lpstr>
      <vt:lpstr>v_91_XHFO_L_P</vt:lpstr>
      <vt:lpstr>v_91_XHFO_L_P_old</vt:lpstr>
      <vt:lpstr>v_91_XHFO_old</vt:lpstr>
      <vt:lpstr>v_91_XHMETO</vt:lpstr>
      <vt:lpstr>v_91_XINORG</vt:lpstr>
      <vt:lpstr>v_91_XMEOLO</vt:lpstr>
      <vt:lpstr>v_91_XN_B</vt:lpstr>
      <vt:lpstr>v_91_XN_Be</vt:lpstr>
      <vt:lpstr>v_91_XN_U</vt:lpstr>
      <vt:lpstr>v_91_XNOB</vt:lpstr>
      <vt:lpstr>v_91_XOHO</vt:lpstr>
      <vt:lpstr>v_91_XP_B</vt:lpstr>
      <vt:lpstr>v_91_XP_Be</vt:lpstr>
      <vt:lpstr>v_91_XP_U</vt:lpstr>
      <vt:lpstr>v_91_XPFOA</vt:lpstr>
      <vt:lpstr>v_91_XPFOS</vt:lpstr>
      <vt:lpstr>v_91_XPHA_GAO</vt:lpstr>
      <vt:lpstr>v_91_XPHA_PAO</vt:lpstr>
      <vt:lpstr>v_91_XPP</vt:lpstr>
      <vt:lpstr>v_91_XSTR</vt:lpstr>
      <vt:lpstr>v_91_XU</vt:lpstr>
      <vt:lpstr>v_91_XVivi</vt:lpstr>
      <vt:lpstr>v_92_CB</vt:lpstr>
      <vt:lpstr>v_92_CU</vt:lpstr>
      <vt:lpstr>v_92_GCH4</vt:lpstr>
      <vt:lpstr>v_92_GCH4_atm</vt:lpstr>
      <vt:lpstr>v_92_GCO2</vt:lpstr>
      <vt:lpstr>v_92_GCO2_atm</vt:lpstr>
      <vt:lpstr>v_92_GH2</vt:lpstr>
      <vt:lpstr>v_92_GH2_atm</vt:lpstr>
      <vt:lpstr>v_92_GN2</vt:lpstr>
      <vt:lpstr>v_92_GN2_atm</vt:lpstr>
      <vt:lpstr>v_92_GN2O</vt:lpstr>
      <vt:lpstr>v_92_GN2O_atm</vt:lpstr>
      <vt:lpstr>v_92_GNH3</vt:lpstr>
      <vt:lpstr>v_92_GNH3_atm</vt:lpstr>
      <vt:lpstr>v_92_GNO</vt:lpstr>
      <vt:lpstr>v_92_GNO_atm</vt:lpstr>
      <vt:lpstr>v_92_GO2</vt:lpstr>
      <vt:lpstr>v_92_GO2_atm</vt:lpstr>
      <vt:lpstr>v_92_SALPHA</vt:lpstr>
      <vt:lpstr>v_92_SAN</vt:lpstr>
      <vt:lpstr>v_92_SB</vt:lpstr>
      <vt:lpstr>v_92_SCa</vt:lpstr>
      <vt:lpstr>v_92_SCAT</vt:lpstr>
      <vt:lpstr>v_92_SCH4</vt:lpstr>
      <vt:lpstr>v_92_SCO2</vt:lpstr>
      <vt:lpstr>v_92_SFe2</vt:lpstr>
      <vt:lpstr>v_92_SH</vt:lpstr>
      <vt:lpstr>v_92_SH2</vt:lpstr>
      <vt:lpstr>v_92_SK</vt:lpstr>
      <vt:lpstr>v_92_SMEOL</vt:lpstr>
      <vt:lpstr>v_92_SMg</vt:lpstr>
      <vt:lpstr>v_92_SN_B</vt:lpstr>
      <vt:lpstr>v_92_SN2</vt:lpstr>
      <vt:lpstr>v_92_SN2O</vt:lpstr>
      <vt:lpstr>v_92_SNH2OH</vt:lpstr>
      <vt:lpstr>v_92_SNHx</vt:lpstr>
      <vt:lpstr>v_92_SNO_AOB</vt:lpstr>
      <vt:lpstr>v_92_SNO_OHO</vt:lpstr>
      <vt:lpstr>v_92_SNO2</vt:lpstr>
      <vt:lpstr>v_92_SNO3</vt:lpstr>
      <vt:lpstr>v_92_SO2</vt:lpstr>
      <vt:lpstr>v_92_SORPswitch</vt:lpstr>
      <vt:lpstr>v_92_SP_B</vt:lpstr>
      <vt:lpstr>v_92_SPFOA</vt:lpstr>
      <vt:lpstr>v_92_SPFOS</vt:lpstr>
      <vt:lpstr>v_92_SPO4</vt:lpstr>
      <vt:lpstr>v_92_SU</vt:lpstr>
      <vt:lpstr>v_92_SVFA</vt:lpstr>
      <vt:lpstr>v_92_XACP</vt:lpstr>
      <vt:lpstr>v_92_XALGAE</vt:lpstr>
      <vt:lpstr>v_92_XAMETO</vt:lpstr>
      <vt:lpstr>v_92_XAMX</vt:lpstr>
      <vt:lpstr>v_92_XAOB</vt:lpstr>
      <vt:lpstr>v_92_XB</vt:lpstr>
      <vt:lpstr>v_92_XB_e</vt:lpstr>
      <vt:lpstr>v_92_XBSH</vt:lpstr>
      <vt:lpstr>v_92_XCaCO3</vt:lpstr>
      <vt:lpstr>v_92_XCASTO</vt:lpstr>
      <vt:lpstr>v_92_XE</vt:lpstr>
      <vt:lpstr>v_92_XE_ana</vt:lpstr>
      <vt:lpstr>v_92_XHAO_H</vt:lpstr>
      <vt:lpstr>v_92_XHAO_H_P</vt:lpstr>
      <vt:lpstr>v_92_XHAO_H_P_old</vt:lpstr>
      <vt:lpstr>v_92_XHAO_L</vt:lpstr>
      <vt:lpstr>v_92_XHAO_L_P</vt:lpstr>
      <vt:lpstr>v_92_XHAO_L_P_old</vt:lpstr>
      <vt:lpstr>v_92_XHAO_old</vt:lpstr>
      <vt:lpstr>v_92_XHFO_H</vt:lpstr>
      <vt:lpstr>v_92_XHFO_H_P</vt:lpstr>
      <vt:lpstr>v_92_XHFO_H_P_old</vt:lpstr>
      <vt:lpstr>v_92_XHFO_L</vt:lpstr>
      <vt:lpstr>v_92_XHFO_L_P</vt:lpstr>
      <vt:lpstr>v_92_XHFO_L_P_old</vt:lpstr>
      <vt:lpstr>v_92_XHFO_old</vt:lpstr>
      <vt:lpstr>v_92_XHMETO</vt:lpstr>
      <vt:lpstr>v_92_XINORG</vt:lpstr>
      <vt:lpstr>v_92_XMEOLO</vt:lpstr>
      <vt:lpstr>v_92_XN_B</vt:lpstr>
      <vt:lpstr>v_92_XN_Be</vt:lpstr>
      <vt:lpstr>v_92_XN_U</vt:lpstr>
      <vt:lpstr>v_92_XNOB</vt:lpstr>
      <vt:lpstr>v_92_XOHO</vt:lpstr>
      <vt:lpstr>v_92_XP_B</vt:lpstr>
      <vt:lpstr>v_92_XP_Be</vt:lpstr>
      <vt:lpstr>v_92_XP_U</vt:lpstr>
      <vt:lpstr>v_92_XPFOA</vt:lpstr>
      <vt:lpstr>v_92_XPFOS</vt:lpstr>
      <vt:lpstr>v_92_XPHA_GAO</vt:lpstr>
      <vt:lpstr>v_92_XPHA_PAO</vt:lpstr>
      <vt:lpstr>v_92_XPP</vt:lpstr>
      <vt:lpstr>v_92_XSTR</vt:lpstr>
      <vt:lpstr>v_92_XU</vt:lpstr>
      <vt:lpstr>v_92_XVivi</vt:lpstr>
      <vt:lpstr>v_93_CB</vt:lpstr>
      <vt:lpstr>v_93_CU</vt:lpstr>
      <vt:lpstr>v_93_GCH4</vt:lpstr>
      <vt:lpstr>v_93_GCH4_atm</vt:lpstr>
      <vt:lpstr>v_93_GCO2</vt:lpstr>
      <vt:lpstr>v_93_GCO2_atm</vt:lpstr>
      <vt:lpstr>v_93_GH2</vt:lpstr>
      <vt:lpstr>v_93_GH2_atm</vt:lpstr>
      <vt:lpstr>v_93_GN2</vt:lpstr>
      <vt:lpstr>v_93_GN2_atm</vt:lpstr>
      <vt:lpstr>v_93_GN2O</vt:lpstr>
      <vt:lpstr>v_93_GN2O_atm</vt:lpstr>
      <vt:lpstr>v_93_GNH3</vt:lpstr>
      <vt:lpstr>v_93_GNH3_atm</vt:lpstr>
      <vt:lpstr>v_93_GNO</vt:lpstr>
      <vt:lpstr>v_93_GNO_atm</vt:lpstr>
      <vt:lpstr>v_93_GO2</vt:lpstr>
      <vt:lpstr>v_93_GO2_atm</vt:lpstr>
      <vt:lpstr>v_93_SALPHA</vt:lpstr>
      <vt:lpstr>v_93_SAN</vt:lpstr>
      <vt:lpstr>v_93_SB</vt:lpstr>
      <vt:lpstr>v_93_SCa</vt:lpstr>
      <vt:lpstr>v_93_SCAT</vt:lpstr>
      <vt:lpstr>v_93_SCH4</vt:lpstr>
      <vt:lpstr>v_93_SCO2</vt:lpstr>
      <vt:lpstr>v_93_SFe2</vt:lpstr>
      <vt:lpstr>v_93_SH</vt:lpstr>
      <vt:lpstr>v_93_SH2</vt:lpstr>
      <vt:lpstr>v_93_SK</vt:lpstr>
      <vt:lpstr>v_93_SMEOL</vt:lpstr>
      <vt:lpstr>v_93_SMg</vt:lpstr>
      <vt:lpstr>v_93_SN_B</vt:lpstr>
      <vt:lpstr>v_93_SN2</vt:lpstr>
      <vt:lpstr>v_93_SN2O</vt:lpstr>
      <vt:lpstr>v_93_SNH2OH</vt:lpstr>
      <vt:lpstr>v_93_SNHx</vt:lpstr>
      <vt:lpstr>v_93_SNO_AOB</vt:lpstr>
      <vt:lpstr>v_93_SNO_OHO</vt:lpstr>
      <vt:lpstr>v_93_SNO2</vt:lpstr>
      <vt:lpstr>v_93_SNO3</vt:lpstr>
      <vt:lpstr>v_93_SO2</vt:lpstr>
      <vt:lpstr>v_93_SORPswitch</vt:lpstr>
      <vt:lpstr>v_93_SP_B</vt:lpstr>
      <vt:lpstr>v_93_SPFOA</vt:lpstr>
      <vt:lpstr>v_93_SPFOS</vt:lpstr>
      <vt:lpstr>v_93_SPO4</vt:lpstr>
      <vt:lpstr>v_93_SU</vt:lpstr>
      <vt:lpstr>v_93_SVFA</vt:lpstr>
      <vt:lpstr>v_93_XACP</vt:lpstr>
      <vt:lpstr>v_93_XALGAE</vt:lpstr>
      <vt:lpstr>v_93_XAMETO</vt:lpstr>
      <vt:lpstr>v_93_XAMX</vt:lpstr>
      <vt:lpstr>v_93_XAOB</vt:lpstr>
      <vt:lpstr>v_93_XB</vt:lpstr>
      <vt:lpstr>v_93_XB_e</vt:lpstr>
      <vt:lpstr>v_93_XBSH</vt:lpstr>
      <vt:lpstr>v_93_XCaCO3</vt:lpstr>
      <vt:lpstr>v_93_XCASTO</vt:lpstr>
      <vt:lpstr>v_93_XE</vt:lpstr>
      <vt:lpstr>v_93_XE_ana</vt:lpstr>
      <vt:lpstr>v_93_XHAO_H</vt:lpstr>
      <vt:lpstr>v_93_XHAO_H_P</vt:lpstr>
      <vt:lpstr>v_93_XHAO_H_P_old</vt:lpstr>
      <vt:lpstr>v_93_XHAO_L</vt:lpstr>
      <vt:lpstr>v_93_XHAO_L_P</vt:lpstr>
      <vt:lpstr>v_93_XHAO_L_P_old</vt:lpstr>
      <vt:lpstr>v_93_XHAO_old</vt:lpstr>
      <vt:lpstr>v_93_XHFO_H</vt:lpstr>
      <vt:lpstr>v_93_XHFO_H_P</vt:lpstr>
      <vt:lpstr>v_93_XHFO_H_P_old</vt:lpstr>
      <vt:lpstr>v_93_XHFO_L</vt:lpstr>
      <vt:lpstr>v_93_XHFO_L_P</vt:lpstr>
      <vt:lpstr>v_93_XHFO_L_P_old</vt:lpstr>
      <vt:lpstr>v_93_XHFO_old</vt:lpstr>
      <vt:lpstr>v_93_XHMETO</vt:lpstr>
      <vt:lpstr>v_93_XINORG</vt:lpstr>
      <vt:lpstr>v_93_XMEOLO</vt:lpstr>
      <vt:lpstr>v_93_XN_B</vt:lpstr>
      <vt:lpstr>v_93_XN_Be</vt:lpstr>
      <vt:lpstr>v_93_XN_U</vt:lpstr>
      <vt:lpstr>v_93_XNOB</vt:lpstr>
      <vt:lpstr>v_93_XOHO</vt:lpstr>
      <vt:lpstr>v_93_XP_B</vt:lpstr>
      <vt:lpstr>v_93_XP_Be</vt:lpstr>
      <vt:lpstr>v_93_XP_U</vt:lpstr>
      <vt:lpstr>v_93_XPFOA</vt:lpstr>
      <vt:lpstr>v_93_XPFOS</vt:lpstr>
      <vt:lpstr>v_93_XPHA_GAO</vt:lpstr>
      <vt:lpstr>v_93_XPHA_PAO</vt:lpstr>
      <vt:lpstr>v_93_XPP</vt:lpstr>
      <vt:lpstr>v_93_XSTR</vt:lpstr>
      <vt:lpstr>v_93_XU</vt:lpstr>
      <vt:lpstr>v_93_XVivi</vt:lpstr>
      <vt:lpstr>v_94_CB</vt:lpstr>
      <vt:lpstr>v_94_CU</vt:lpstr>
      <vt:lpstr>v_94_GCH4</vt:lpstr>
      <vt:lpstr>v_94_GCH4_atm</vt:lpstr>
      <vt:lpstr>v_94_GCO2</vt:lpstr>
      <vt:lpstr>v_94_GCO2_atm</vt:lpstr>
      <vt:lpstr>v_94_GH2</vt:lpstr>
      <vt:lpstr>v_94_GH2_atm</vt:lpstr>
      <vt:lpstr>v_94_GN2</vt:lpstr>
      <vt:lpstr>v_94_GN2_atm</vt:lpstr>
      <vt:lpstr>v_94_GN2O</vt:lpstr>
      <vt:lpstr>v_94_GN2O_atm</vt:lpstr>
      <vt:lpstr>v_94_GNH3</vt:lpstr>
      <vt:lpstr>v_94_GNH3_atm</vt:lpstr>
      <vt:lpstr>v_94_GNO</vt:lpstr>
      <vt:lpstr>v_94_GNO_atm</vt:lpstr>
      <vt:lpstr>v_94_GO2</vt:lpstr>
      <vt:lpstr>v_94_GO2_atm</vt:lpstr>
      <vt:lpstr>v_94_SALPHA</vt:lpstr>
      <vt:lpstr>v_94_SAN</vt:lpstr>
      <vt:lpstr>v_94_SB</vt:lpstr>
      <vt:lpstr>v_94_SCa</vt:lpstr>
      <vt:lpstr>v_94_SCAT</vt:lpstr>
      <vt:lpstr>v_94_SCH4</vt:lpstr>
      <vt:lpstr>v_94_SCO2</vt:lpstr>
      <vt:lpstr>v_94_SFe2</vt:lpstr>
      <vt:lpstr>v_94_SH</vt:lpstr>
      <vt:lpstr>v_94_SH2</vt:lpstr>
      <vt:lpstr>v_94_SK</vt:lpstr>
      <vt:lpstr>v_94_SMEOL</vt:lpstr>
      <vt:lpstr>v_94_SMg</vt:lpstr>
      <vt:lpstr>v_94_SN_B</vt:lpstr>
      <vt:lpstr>v_94_SN2</vt:lpstr>
      <vt:lpstr>v_94_SN2O</vt:lpstr>
      <vt:lpstr>v_94_SNH2OH</vt:lpstr>
      <vt:lpstr>v_94_SNHx</vt:lpstr>
      <vt:lpstr>v_94_SNO_AOB</vt:lpstr>
      <vt:lpstr>v_94_SNO_OHO</vt:lpstr>
      <vt:lpstr>v_94_SNO2</vt:lpstr>
      <vt:lpstr>v_94_SNO3</vt:lpstr>
      <vt:lpstr>v_94_SO2</vt:lpstr>
      <vt:lpstr>v_94_SORPswitch</vt:lpstr>
      <vt:lpstr>v_94_SP_B</vt:lpstr>
      <vt:lpstr>v_94_SPFOA</vt:lpstr>
      <vt:lpstr>v_94_SPFOS</vt:lpstr>
      <vt:lpstr>v_94_SPO4</vt:lpstr>
      <vt:lpstr>v_94_SU</vt:lpstr>
      <vt:lpstr>v_94_SVFA</vt:lpstr>
      <vt:lpstr>v_94_XACP</vt:lpstr>
      <vt:lpstr>v_94_XALGAE</vt:lpstr>
      <vt:lpstr>v_94_XAMETO</vt:lpstr>
      <vt:lpstr>v_94_XAMX</vt:lpstr>
      <vt:lpstr>v_94_XAOB</vt:lpstr>
      <vt:lpstr>v_94_XB</vt:lpstr>
      <vt:lpstr>v_94_XB_e</vt:lpstr>
      <vt:lpstr>v_94_XBSH</vt:lpstr>
      <vt:lpstr>v_94_XCaCO3</vt:lpstr>
      <vt:lpstr>v_94_XCASTO</vt:lpstr>
      <vt:lpstr>v_94_XE</vt:lpstr>
      <vt:lpstr>v_94_XE_ana</vt:lpstr>
      <vt:lpstr>v_94_XHAO_H</vt:lpstr>
      <vt:lpstr>v_94_XHAO_H_P</vt:lpstr>
      <vt:lpstr>v_94_XHAO_H_P_old</vt:lpstr>
      <vt:lpstr>v_94_XHAO_L</vt:lpstr>
      <vt:lpstr>v_94_XHAO_L_P</vt:lpstr>
      <vt:lpstr>v_94_XHAO_L_P_old</vt:lpstr>
      <vt:lpstr>v_94_XHAO_old</vt:lpstr>
      <vt:lpstr>v_94_XHFO_H</vt:lpstr>
      <vt:lpstr>v_94_XHFO_H_P</vt:lpstr>
      <vt:lpstr>v_94_XHFO_H_P_old</vt:lpstr>
      <vt:lpstr>v_94_XHFO_L</vt:lpstr>
      <vt:lpstr>v_94_XHFO_L_P</vt:lpstr>
      <vt:lpstr>v_94_XHFO_L_P_old</vt:lpstr>
      <vt:lpstr>v_94_XHFO_old</vt:lpstr>
      <vt:lpstr>v_94_XHMETO</vt:lpstr>
      <vt:lpstr>v_94_XINORG</vt:lpstr>
      <vt:lpstr>v_94_XMEOLO</vt:lpstr>
      <vt:lpstr>v_94_XN_B</vt:lpstr>
      <vt:lpstr>v_94_XN_Be</vt:lpstr>
      <vt:lpstr>v_94_XN_U</vt:lpstr>
      <vt:lpstr>v_94_XNOB</vt:lpstr>
      <vt:lpstr>v_94_XOHO</vt:lpstr>
      <vt:lpstr>v_94_XP_B</vt:lpstr>
      <vt:lpstr>v_94_XP_Be</vt:lpstr>
      <vt:lpstr>v_94_XP_U</vt:lpstr>
      <vt:lpstr>v_94_XPFOA</vt:lpstr>
      <vt:lpstr>v_94_XPFOS</vt:lpstr>
      <vt:lpstr>v_94_XPHA_GAO</vt:lpstr>
      <vt:lpstr>v_94_XPHA_PAO</vt:lpstr>
      <vt:lpstr>v_94_XPP</vt:lpstr>
      <vt:lpstr>v_94_XSTR</vt:lpstr>
      <vt:lpstr>v_94_XU</vt:lpstr>
      <vt:lpstr>v_94_XVivi</vt:lpstr>
      <vt:lpstr>v_95_CB</vt:lpstr>
      <vt:lpstr>v_95_CU</vt:lpstr>
      <vt:lpstr>v_95_GCH4</vt:lpstr>
      <vt:lpstr>v_95_GCH4_atm</vt:lpstr>
      <vt:lpstr>v_95_GCO2</vt:lpstr>
      <vt:lpstr>v_95_GCO2_atm</vt:lpstr>
      <vt:lpstr>v_95_GH2</vt:lpstr>
      <vt:lpstr>v_95_GH2_atm</vt:lpstr>
      <vt:lpstr>v_95_GN2</vt:lpstr>
      <vt:lpstr>v_95_GN2_atm</vt:lpstr>
      <vt:lpstr>v_95_GN2O</vt:lpstr>
      <vt:lpstr>v_95_GN2O_atm</vt:lpstr>
      <vt:lpstr>v_95_GNH3</vt:lpstr>
      <vt:lpstr>v_95_GNH3_atm</vt:lpstr>
      <vt:lpstr>v_95_GNO</vt:lpstr>
      <vt:lpstr>v_95_GNO_atm</vt:lpstr>
      <vt:lpstr>v_95_GO2</vt:lpstr>
      <vt:lpstr>v_95_GO2_atm</vt:lpstr>
      <vt:lpstr>v_95_SALPHA</vt:lpstr>
      <vt:lpstr>v_95_SAN</vt:lpstr>
      <vt:lpstr>v_95_SB</vt:lpstr>
      <vt:lpstr>v_95_SCa</vt:lpstr>
      <vt:lpstr>v_95_SCAT</vt:lpstr>
      <vt:lpstr>v_95_SCH4</vt:lpstr>
      <vt:lpstr>v_95_SCO2</vt:lpstr>
      <vt:lpstr>v_95_SFe2</vt:lpstr>
      <vt:lpstr>v_95_SH</vt:lpstr>
      <vt:lpstr>v_95_SH2</vt:lpstr>
      <vt:lpstr>v_95_SK</vt:lpstr>
      <vt:lpstr>v_95_SMEOL</vt:lpstr>
      <vt:lpstr>v_95_SMg</vt:lpstr>
      <vt:lpstr>v_95_SN_B</vt:lpstr>
      <vt:lpstr>v_95_SN2</vt:lpstr>
      <vt:lpstr>v_95_SN2O</vt:lpstr>
      <vt:lpstr>v_95_SNH2OH</vt:lpstr>
      <vt:lpstr>v_95_SNHx</vt:lpstr>
      <vt:lpstr>v_95_SNO_AOB</vt:lpstr>
      <vt:lpstr>v_95_SNO_OHO</vt:lpstr>
      <vt:lpstr>v_95_SNO2</vt:lpstr>
      <vt:lpstr>v_95_SNO3</vt:lpstr>
      <vt:lpstr>v_95_SO2</vt:lpstr>
      <vt:lpstr>v_95_SORPswitch</vt:lpstr>
      <vt:lpstr>v_95_SP_B</vt:lpstr>
      <vt:lpstr>v_95_SPFOA</vt:lpstr>
      <vt:lpstr>v_95_SPFOS</vt:lpstr>
      <vt:lpstr>v_95_SPO4</vt:lpstr>
      <vt:lpstr>v_95_SU</vt:lpstr>
      <vt:lpstr>v_95_SVFA</vt:lpstr>
      <vt:lpstr>v_95_XACP</vt:lpstr>
      <vt:lpstr>v_95_XALGAE</vt:lpstr>
      <vt:lpstr>v_95_XAMETO</vt:lpstr>
      <vt:lpstr>v_95_XAMX</vt:lpstr>
      <vt:lpstr>v_95_XAOB</vt:lpstr>
      <vt:lpstr>v_95_XB</vt:lpstr>
      <vt:lpstr>v_95_XB_e</vt:lpstr>
      <vt:lpstr>v_95_XBSH</vt:lpstr>
      <vt:lpstr>v_95_XCaCO3</vt:lpstr>
      <vt:lpstr>v_95_XCASTO</vt:lpstr>
      <vt:lpstr>v_95_XE</vt:lpstr>
      <vt:lpstr>v_95_XE_ana</vt:lpstr>
      <vt:lpstr>v_95_XHAO_H</vt:lpstr>
      <vt:lpstr>v_95_XHAO_H_P</vt:lpstr>
      <vt:lpstr>v_95_XHAO_H_P_old</vt:lpstr>
      <vt:lpstr>v_95_XHAO_L</vt:lpstr>
      <vt:lpstr>v_95_XHAO_L_P</vt:lpstr>
      <vt:lpstr>v_95_XHAO_L_P_old</vt:lpstr>
      <vt:lpstr>v_95_XHAO_old</vt:lpstr>
      <vt:lpstr>v_95_XHFO_H</vt:lpstr>
      <vt:lpstr>v_95_XHFO_H_P</vt:lpstr>
      <vt:lpstr>v_95_XHFO_H_P_old</vt:lpstr>
      <vt:lpstr>v_95_XHFO_L</vt:lpstr>
      <vt:lpstr>v_95_XHFO_L_P</vt:lpstr>
      <vt:lpstr>v_95_XHFO_L_P_old</vt:lpstr>
      <vt:lpstr>v_95_XHFO_old</vt:lpstr>
      <vt:lpstr>v_95_XHMETO</vt:lpstr>
      <vt:lpstr>v_95_XINORG</vt:lpstr>
      <vt:lpstr>v_95_XMEOLO</vt:lpstr>
      <vt:lpstr>v_95_XN_B</vt:lpstr>
      <vt:lpstr>v_95_XN_Be</vt:lpstr>
      <vt:lpstr>v_95_XN_U</vt:lpstr>
      <vt:lpstr>v_95_XNOB</vt:lpstr>
      <vt:lpstr>v_95_XOHO</vt:lpstr>
      <vt:lpstr>v_95_XP_B</vt:lpstr>
      <vt:lpstr>v_95_XP_Be</vt:lpstr>
      <vt:lpstr>v_95_XP_U</vt:lpstr>
      <vt:lpstr>v_95_XPFOA</vt:lpstr>
      <vt:lpstr>v_95_XPFOS</vt:lpstr>
      <vt:lpstr>v_95_XPHA_GAO</vt:lpstr>
      <vt:lpstr>v_95_XPHA_PAO</vt:lpstr>
      <vt:lpstr>v_95_XPP</vt:lpstr>
      <vt:lpstr>v_95_XSTR</vt:lpstr>
      <vt:lpstr>v_95_XU</vt:lpstr>
      <vt:lpstr>v_95_XVivi</vt:lpstr>
      <vt:lpstr>v_96_CB</vt:lpstr>
      <vt:lpstr>v_96_CU</vt:lpstr>
      <vt:lpstr>v_96_GCH4</vt:lpstr>
      <vt:lpstr>v_96_GCH4_atm</vt:lpstr>
      <vt:lpstr>v_96_GCO2</vt:lpstr>
      <vt:lpstr>v_96_GCO2_atm</vt:lpstr>
      <vt:lpstr>v_96_GH2</vt:lpstr>
      <vt:lpstr>v_96_GH2_atm</vt:lpstr>
      <vt:lpstr>v_96_GN2</vt:lpstr>
      <vt:lpstr>v_96_GN2_atm</vt:lpstr>
      <vt:lpstr>v_96_GN2O</vt:lpstr>
      <vt:lpstr>v_96_GN2O_atm</vt:lpstr>
      <vt:lpstr>v_96_GNH3</vt:lpstr>
      <vt:lpstr>v_96_GNH3_atm</vt:lpstr>
      <vt:lpstr>v_96_GNO</vt:lpstr>
      <vt:lpstr>v_96_GNO_atm</vt:lpstr>
      <vt:lpstr>v_96_GO2</vt:lpstr>
      <vt:lpstr>v_96_GO2_atm</vt:lpstr>
      <vt:lpstr>v_96_SALPHA</vt:lpstr>
      <vt:lpstr>v_96_SAN</vt:lpstr>
      <vt:lpstr>v_96_SB</vt:lpstr>
      <vt:lpstr>v_96_SCa</vt:lpstr>
      <vt:lpstr>v_96_SCAT</vt:lpstr>
      <vt:lpstr>v_96_SCH4</vt:lpstr>
      <vt:lpstr>v_96_SCO2</vt:lpstr>
      <vt:lpstr>v_96_SFe2</vt:lpstr>
      <vt:lpstr>v_96_SH</vt:lpstr>
      <vt:lpstr>v_96_SH2</vt:lpstr>
      <vt:lpstr>v_96_SK</vt:lpstr>
      <vt:lpstr>v_96_SMEOL</vt:lpstr>
      <vt:lpstr>v_96_SMg</vt:lpstr>
      <vt:lpstr>v_96_SN_B</vt:lpstr>
      <vt:lpstr>v_96_SN2</vt:lpstr>
      <vt:lpstr>v_96_SN2O</vt:lpstr>
      <vt:lpstr>v_96_SNH2OH</vt:lpstr>
      <vt:lpstr>v_96_SNHx</vt:lpstr>
      <vt:lpstr>v_96_SNO_AOB</vt:lpstr>
      <vt:lpstr>v_96_SNO_OHO</vt:lpstr>
      <vt:lpstr>v_96_SNO2</vt:lpstr>
      <vt:lpstr>v_96_SNO3</vt:lpstr>
      <vt:lpstr>v_96_SO2</vt:lpstr>
      <vt:lpstr>v_96_SORPswitch</vt:lpstr>
      <vt:lpstr>v_96_SP_B</vt:lpstr>
      <vt:lpstr>v_96_SPFOA</vt:lpstr>
      <vt:lpstr>v_96_SPFOS</vt:lpstr>
      <vt:lpstr>v_96_SPO4</vt:lpstr>
      <vt:lpstr>v_96_SU</vt:lpstr>
      <vt:lpstr>v_96_SVFA</vt:lpstr>
      <vt:lpstr>v_96_XACP</vt:lpstr>
      <vt:lpstr>v_96_XALGAE</vt:lpstr>
      <vt:lpstr>v_96_XAMETO</vt:lpstr>
      <vt:lpstr>v_96_XAMX</vt:lpstr>
      <vt:lpstr>v_96_XAOB</vt:lpstr>
      <vt:lpstr>v_96_XB</vt:lpstr>
      <vt:lpstr>v_96_XB_e</vt:lpstr>
      <vt:lpstr>v_96_XBSH</vt:lpstr>
      <vt:lpstr>v_96_XCaCO3</vt:lpstr>
      <vt:lpstr>v_96_XCASTO</vt:lpstr>
      <vt:lpstr>v_96_XE</vt:lpstr>
      <vt:lpstr>v_96_XE_ana</vt:lpstr>
      <vt:lpstr>v_96_XHAO_H</vt:lpstr>
      <vt:lpstr>v_96_XHAO_H_P</vt:lpstr>
      <vt:lpstr>v_96_XHAO_H_P_old</vt:lpstr>
      <vt:lpstr>v_96_XHAO_L</vt:lpstr>
      <vt:lpstr>v_96_XHAO_L_P</vt:lpstr>
      <vt:lpstr>v_96_XHAO_L_P_old</vt:lpstr>
      <vt:lpstr>v_96_XHAO_old</vt:lpstr>
      <vt:lpstr>v_96_XHFO_H</vt:lpstr>
      <vt:lpstr>v_96_XHFO_H_P</vt:lpstr>
      <vt:lpstr>v_96_XHFO_H_P_old</vt:lpstr>
      <vt:lpstr>v_96_XHFO_L</vt:lpstr>
      <vt:lpstr>v_96_XHFO_L_P</vt:lpstr>
      <vt:lpstr>v_96_XHFO_L_P_old</vt:lpstr>
      <vt:lpstr>v_96_XHFO_old</vt:lpstr>
      <vt:lpstr>v_96_XHMETO</vt:lpstr>
      <vt:lpstr>v_96_XINORG</vt:lpstr>
      <vt:lpstr>v_96_XMEOLO</vt:lpstr>
      <vt:lpstr>v_96_XN_B</vt:lpstr>
      <vt:lpstr>v_96_XN_Be</vt:lpstr>
      <vt:lpstr>v_96_XN_U</vt:lpstr>
      <vt:lpstr>v_96_XNOB</vt:lpstr>
      <vt:lpstr>v_96_XOHO</vt:lpstr>
      <vt:lpstr>v_96_XP_B</vt:lpstr>
      <vt:lpstr>v_96_XP_Be</vt:lpstr>
      <vt:lpstr>v_96_XP_U</vt:lpstr>
      <vt:lpstr>v_96_XPFOA</vt:lpstr>
      <vt:lpstr>v_96_XPFOS</vt:lpstr>
      <vt:lpstr>v_96_XPHA_GAO</vt:lpstr>
      <vt:lpstr>v_96_XPHA_PAO</vt:lpstr>
      <vt:lpstr>v_96_XPP</vt:lpstr>
      <vt:lpstr>v_96_XSTR</vt:lpstr>
      <vt:lpstr>v_96_XU</vt:lpstr>
      <vt:lpstr>v_96_XVivi</vt:lpstr>
      <vt:lpstr>v_97_CB</vt:lpstr>
      <vt:lpstr>v_97_CU</vt:lpstr>
      <vt:lpstr>v_97_GCH4</vt:lpstr>
      <vt:lpstr>v_97_GCH4_atm</vt:lpstr>
      <vt:lpstr>v_97_GCO2</vt:lpstr>
      <vt:lpstr>v_97_GCO2_atm</vt:lpstr>
      <vt:lpstr>v_97_GH2</vt:lpstr>
      <vt:lpstr>v_97_GH2_atm</vt:lpstr>
      <vt:lpstr>v_97_GN2</vt:lpstr>
      <vt:lpstr>v_97_GN2_atm</vt:lpstr>
      <vt:lpstr>v_97_GN2O</vt:lpstr>
      <vt:lpstr>v_97_GN2O_atm</vt:lpstr>
      <vt:lpstr>v_97_GNH3</vt:lpstr>
      <vt:lpstr>v_97_GNH3_atm</vt:lpstr>
      <vt:lpstr>v_97_GNO</vt:lpstr>
      <vt:lpstr>v_97_GNO_atm</vt:lpstr>
      <vt:lpstr>v_97_GO2</vt:lpstr>
      <vt:lpstr>v_97_GO2_atm</vt:lpstr>
      <vt:lpstr>v_97_SALPHA</vt:lpstr>
      <vt:lpstr>v_97_SAN</vt:lpstr>
      <vt:lpstr>v_97_SB</vt:lpstr>
      <vt:lpstr>v_97_SCa</vt:lpstr>
      <vt:lpstr>v_97_SCAT</vt:lpstr>
      <vt:lpstr>v_97_SCH4</vt:lpstr>
      <vt:lpstr>v_97_SCO2</vt:lpstr>
      <vt:lpstr>v_97_SFe2</vt:lpstr>
      <vt:lpstr>v_97_SH</vt:lpstr>
      <vt:lpstr>v_97_SH2</vt:lpstr>
      <vt:lpstr>v_97_SK</vt:lpstr>
      <vt:lpstr>v_97_SMEOL</vt:lpstr>
      <vt:lpstr>v_97_SMg</vt:lpstr>
      <vt:lpstr>v_97_SN_B</vt:lpstr>
      <vt:lpstr>v_97_SN2</vt:lpstr>
      <vt:lpstr>v_97_SN2O</vt:lpstr>
      <vt:lpstr>v_97_SNH2OH</vt:lpstr>
      <vt:lpstr>v_97_SNHx</vt:lpstr>
      <vt:lpstr>v_97_SNO_AOB</vt:lpstr>
      <vt:lpstr>v_97_SNO_OHO</vt:lpstr>
      <vt:lpstr>v_97_SNO2</vt:lpstr>
      <vt:lpstr>v_97_SNO3</vt:lpstr>
      <vt:lpstr>v_97_SO2</vt:lpstr>
      <vt:lpstr>v_97_SORPswitch</vt:lpstr>
      <vt:lpstr>v_97_SP_B</vt:lpstr>
      <vt:lpstr>v_97_SPFOA</vt:lpstr>
      <vt:lpstr>v_97_SPFOS</vt:lpstr>
      <vt:lpstr>v_97_SPO4</vt:lpstr>
      <vt:lpstr>v_97_SU</vt:lpstr>
      <vt:lpstr>v_97_SVFA</vt:lpstr>
      <vt:lpstr>v_97_XACP</vt:lpstr>
      <vt:lpstr>v_97_XALGAE</vt:lpstr>
      <vt:lpstr>v_97_XAMETO</vt:lpstr>
      <vt:lpstr>v_97_XAMX</vt:lpstr>
      <vt:lpstr>v_97_XAOB</vt:lpstr>
      <vt:lpstr>v_97_XB</vt:lpstr>
      <vt:lpstr>v_97_XB_e</vt:lpstr>
      <vt:lpstr>v_97_XBSH</vt:lpstr>
      <vt:lpstr>v_97_XCaCO3</vt:lpstr>
      <vt:lpstr>v_97_XCASTO</vt:lpstr>
      <vt:lpstr>v_97_XE</vt:lpstr>
      <vt:lpstr>v_97_XE_ana</vt:lpstr>
      <vt:lpstr>v_97_XHAO_H</vt:lpstr>
      <vt:lpstr>v_97_XHAO_H_P</vt:lpstr>
      <vt:lpstr>v_97_XHAO_H_P_old</vt:lpstr>
      <vt:lpstr>v_97_XHAO_L</vt:lpstr>
      <vt:lpstr>v_97_XHAO_L_P</vt:lpstr>
      <vt:lpstr>v_97_XHAO_L_P_old</vt:lpstr>
      <vt:lpstr>v_97_XHAO_old</vt:lpstr>
      <vt:lpstr>v_97_XHFO_H</vt:lpstr>
      <vt:lpstr>v_97_XHFO_H_P</vt:lpstr>
      <vt:lpstr>v_97_XHFO_H_P_old</vt:lpstr>
      <vt:lpstr>v_97_XHFO_L</vt:lpstr>
      <vt:lpstr>v_97_XHFO_L_P</vt:lpstr>
      <vt:lpstr>v_97_XHFO_L_P_old</vt:lpstr>
      <vt:lpstr>v_97_XHFO_old</vt:lpstr>
      <vt:lpstr>v_97_XHMETO</vt:lpstr>
      <vt:lpstr>v_97_XINORG</vt:lpstr>
      <vt:lpstr>v_97_XMEOLO</vt:lpstr>
      <vt:lpstr>v_97_XN_B</vt:lpstr>
      <vt:lpstr>v_97_XN_Be</vt:lpstr>
      <vt:lpstr>v_97_XN_U</vt:lpstr>
      <vt:lpstr>v_97_XNOB</vt:lpstr>
      <vt:lpstr>v_97_XOHO</vt:lpstr>
      <vt:lpstr>v_97_XP_B</vt:lpstr>
      <vt:lpstr>v_97_XP_Be</vt:lpstr>
      <vt:lpstr>v_97_XP_U</vt:lpstr>
      <vt:lpstr>v_97_XPFOA</vt:lpstr>
      <vt:lpstr>v_97_XPFOS</vt:lpstr>
      <vt:lpstr>v_97_XPHA_GAO</vt:lpstr>
      <vt:lpstr>v_97_XPHA_PAO</vt:lpstr>
      <vt:lpstr>v_97_XPP</vt:lpstr>
      <vt:lpstr>v_97_XSTR</vt:lpstr>
      <vt:lpstr>v_97_XU</vt:lpstr>
      <vt:lpstr>v_97_XVivi</vt:lpstr>
      <vt:lpstr>v_98_CB</vt:lpstr>
      <vt:lpstr>v_98_CU</vt:lpstr>
      <vt:lpstr>v_98_GCH4</vt:lpstr>
      <vt:lpstr>v_98_GCH4_atm</vt:lpstr>
      <vt:lpstr>v_98_GCO2</vt:lpstr>
      <vt:lpstr>v_98_GCO2_atm</vt:lpstr>
      <vt:lpstr>v_98_GH2</vt:lpstr>
      <vt:lpstr>v_98_GH2_atm</vt:lpstr>
      <vt:lpstr>v_98_GN2</vt:lpstr>
      <vt:lpstr>v_98_GN2_atm</vt:lpstr>
      <vt:lpstr>v_98_GN2O</vt:lpstr>
      <vt:lpstr>v_98_GN2O_atm</vt:lpstr>
      <vt:lpstr>v_98_GNH3</vt:lpstr>
      <vt:lpstr>v_98_GNH3_atm</vt:lpstr>
      <vt:lpstr>v_98_GNO</vt:lpstr>
      <vt:lpstr>v_98_GNO_atm</vt:lpstr>
      <vt:lpstr>v_98_GO2</vt:lpstr>
      <vt:lpstr>v_98_GO2_atm</vt:lpstr>
      <vt:lpstr>v_98_SALPHA</vt:lpstr>
      <vt:lpstr>v_98_SAN</vt:lpstr>
      <vt:lpstr>v_98_SB</vt:lpstr>
      <vt:lpstr>v_98_SCa</vt:lpstr>
      <vt:lpstr>v_98_SCAT</vt:lpstr>
      <vt:lpstr>v_98_SCH4</vt:lpstr>
      <vt:lpstr>v_98_SCO2</vt:lpstr>
      <vt:lpstr>v_98_SFe2</vt:lpstr>
      <vt:lpstr>v_98_SH</vt:lpstr>
      <vt:lpstr>v_98_SH2</vt:lpstr>
      <vt:lpstr>v_98_SK</vt:lpstr>
      <vt:lpstr>v_98_SMEOL</vt:lpstr>
      <vt:lpstr>v_98_SMg</vt:lpstr>
      <vt:lpstr>v_98_SN_B</vt:lpstr>
      <vt:lpstr>v_98_SN2</vt:lpstr>
      <vt:lpstr>v_98_SN2O</vt:lpstr>
      <vt:lpstr>v_98_SNH2OH</vt:lpstr>
      <vt:lpstr>v_98_SNHx</vt:lpstr>
      <vt:lpstr>v_98_SNO_AOB</vt:lpstr>
      <vt:lpstr>v_98_SNO_OHO</vt:lpstr>
      <vt:lpstr>v_98_SNO2</vt:lpstr>
      <vt:lpstr>v_98_SNO3</vt:lpstr>
      <vt:lpstr>v_98_SO2</vt:lpstr>
      <vt:lpstr>v_98_SORPswitch</vt:lpstr>
      <vt:lpstr>v_98_SP_B</vt:lpstr>
      <vt:lpstr>v_98_SPFOA</vt:lpstr>
      <vt:lpstr>v_98_SPFOS</vt:lpstr>
      <vt:lpstr>v_98_SPO4</vt:lpstr>
      <vt:lpstr>v_98_SU</vt:lpstr>
      <vt:lpstr>v_98_SVFA</vt:lpstr>
      <vt:lpstr>v_98_XACP</vt:lpstr>
      <vt:lpstr>v_98_XALGAE</vt:lpstr>
      <vt:lpstr>v_98_XAMETO</vt:lpstr>
      <vt:lpstr>v_98_XAMX</vt:lpstr>
      <vt:lpstr>v_98_XAOB</vt:lpstr>
      <vt:lpstr>v_98_XB</vt:lpstr>
      <vt:lpstr>v_98_XB_e</vt:lpstr>
      <vt:lpstr>v_98_XBSH</vt:lpstr>
      <vt:lpstr>v_98_XCaCO3</vt:lpstr>
      <vt:lpstr>v_98_XCASTO</vt:lpstr>
      <vt:lpstr>v_98_XE</vt:lpstr>
      <vt:lpstr>v_98_XE_ana</vt:lpstr>
      <vt:lpstr>v_98_XHAO_H</vt:lpstr>
      <vt:lpstr>v_98_XHAO_H_P</vt:lpstr>
      <vt:lpstr>v_98_XHAO_H_P_old</vt:lpstr>
      <vt:lpstr>v_98_XHAO_L</vt:lpstr>
      <vt:lpstr>v_98_XHAO_L_P</vt:lpstr>
      <vt:lpstr>v_98_XHAO_L_P_old</vt:lpstr>
      <vt:lpstr>v_98_XHAO_old</vt:lpstr>
      <vt:lpstr>v_98_XHFO_H</vt:lpstr>
      <vt:lpstr>v_98_XHFO_H_P</vt:lpstr>
      <vt:lpstr>v_98_XHFO_H_P_old</vt:lpstr>
      <vt:lpstr>v_98_XHFO_L</vt:lpstr>
      <vt:lpstr>v_98_XHFO_L_P</vt:lpstr>
      <vt:lpstr>v_98_XHFO_L_P_old</vt:lpstr>
      <vt:lpstr>v_98_XHFO_old</vt:lpstr>
      <vt:lpstr>v_98_XHMETO</vt:lpstr>
      <vt:lpstr>v_98_XINORG</vt:lpstr>
      <vt:lpstr>v_98_XMEOLO</vt:lpstr>
      <vt:lpstr>v_98_XN_B</vt:lpstr>
      <vt:lpstr>v_98_XN_Be</vt:lpstr>
      <vt:lpstr>v_98_XN_U</vt:lpstr>
      <vt:lpstr>v_98_XNOB</vt:lpstr>
      <vt:lpstr>v_98_XOHO</vt:lpstr>
      <vt:lpstr>v_98_XP_B</vt:lpstr>
      <vt:lpstr>v_98_XP_Be</vt:lpstr>
      <vt:lpstr>v_98_XP_U</vt:lpstr>
      <vt:lpstr>v_98_XPFOA</vt:lpstr>
      <vt:lpstr>v_98_XPFOS</vt:lpstr>
      <vt:lpstr>v_98_XPHA_GAO</vt:lpstr>
      <vt:lpstr>v_98_XPHA_PAO</vt:lpstr>
      <vt:lpstr>v_98_XPP</vt:lpstr>
      <vt:lpstr>v_98_XSTR</vt:lpstr>
      <vt:lpstr>v_98_XU</vt:lpstr>
      <vt:lpstr>v_98_XVivi</vt:lpstr>
      <vt:lpstr>v_99_CB</vt:lpstr>
      <vt:lpstr>v_99_CU</vt:lpstr>
      <vt:lpstr>v_99_GCH4</vt:lpstr>
      <vt:lpstr>v_99_GCH4_atm</vt:lpstr>
      <vt:lpstr>v_99_GCO2</vt:lpstr>
      <vt:lpstr>v_99_GCO2_atm</vt:lpstr>
      <vt:lpstr>v_99_GH2</vt:lpstr>
      <vt:lpstr>v_99_GH2_atm</vt:lpstr>
      <vt:lpstr>v_99_GN2</vt:lpstr>
      <vt:lpstr>v_99_GN2_atm</vt:lpstr>
      <vt:lpstr>v_99_GN2O</vt:lpstr>
      <vt:lpstr>v_99_GN2O_atm</vt:lpstr>
      <vt:lpstr>v_99_GNH3</vt:lpstr>
      <vt:lpstr>v_99_GNH3_atm</vt:lpstr>
      <vt:lpstr>v_99_GNO</vt:lpstr>
      <vt:lpstr>v_99_GNO_atm</vt:lpstr>
      <vt:lpstr>v_99_GO2</vt:lpstr>
      <vt:lpstr>v_99_GO2_atm</vt:lpstr>
      <vt:lpstr>v_99_SALPHA</vt:lpstr>
      <vt:lpstr>v_99_SAN</vt:lpstr>
      <vt:lpstr>v_99_SB</vt:lpstr>
      <vt:lpstr>v_99_SCa</vt:lpstr>
      <vt:lpstr>v_99_SCAT</vt:lpstr>
      <vt:lpstr>v_99_SCH4</vt:lpstr>
      <vt:lpstr>v_99_SCO2</vt:lpstr>
      <vt:lpstr>v_99_SFe2</vt:lpstr>
      <vt:lpstr>v_99_SH</vt:lpstr>
      <vt:lpstr>v_99_SH2</vt:lpstr>
      <vt:lpstr>v_99_SK</vt:lpstr>
      <vt:lpstr>v_99_SMEOL</vt:lpstr>
      <vt:lpstr>v_99_SMg</vt:lpstr>
      <vt:lpstr>v_99_SN_B</vt:lpstr>
      <vt:lpstr>v_99_SN2</vt:lpstr>
      <vt:lpstr>v_99_SN2O</vt:lpstr>
      <vt:lpstr>v_99_SNH2OH</vt:lpstr>
      <vt:lpstr>v_99_SNHx</vt:lpstr>
      <vt:lpstr>v_99_SNO_AOB</vt:lpstr>
      <vt:lpstr>v_99_SNO_OHO</vt:lpstr>
      <vt:lpstr>v_99_SNO2</vt:lpstr>
      <vt:lpstr>v_99_SNO3</vt:lpstr>
      <vt:lpstr>v_99_SO2</vt:lpstr>
      <vt:lpstr>v_99_SORPswitch</vt:lpstr>
      <vt:lpstr>v_99_SP_B</vt:lpstr>
      <vt:lpstr>v_99_SPFOA</vt:lpstr>
      <vt:lpstr>v_99_SPFOS</vt:lpstr>
      <vt:lpstr>v_99_SPO4</vt:lpstr>
      <vt:lpstr>v_99_SU</vt:lpstr>
      <vt:lpstr>v_99_SVFA</vt:lpstr>
      <vt:lpstr>v_99_XACP</vt:lpstr>
      <vt:lpstr>v_99_XALGAE</vt:lpstr>
      <vt:lpstr>v_99_XAMETO</vt:lpstr>
      <vt:lpstr>v_99_XAMX</vt:lpstr>
      <vt:lpstr>v_99_XAOB</vt:lpstr>
      <vt:lpstr>v_99_XB</vt:lpstr>
      <vt:lpstr>v_99_XB_e</vt:lpstr>
      <vt:lpstr>v_99_XBSH</vt:lpstr>
      <vt:lpstr>v_99_XCaCO3</vt:lpstr>
      <vt:lpstr>v_99_XCASTO</vt:lpstr>
      <vt:lpstr>v_99_XE</vt:lpstr>
      <vt:lpstr>v_99_XE_ana</vt:lpstr>
      <vt:lpstr>v_99_XHAO_H</vt:lpstr>
      <vt:lpstr>v_99_XHAO_H_P</vt:lpstr>
      <vt:lpstr>v_99_XHAO_H_P_old</vt:lpstr>
      <vt:lpstr>v_99_XHAO_L</vt:lpstr>
      <vt:lpstr>v_99_XHAO_L_P</vt:lpstr>
      <vt:lpstr>v_99_XHAO_L_P_old</vt:lpstr>
      <vt:lpstr>v_99_XHAO_old</vt:lpstr>
      <vt:lpstr>v_99_XHFO_H</vt:lpstr>
      <vt:lpstr>v_99_XHFO_H_P</vt:lpstr>
      <vt:lpstr>v_99_XHFO_H_P_old</vt:lpstr>
      <vt:lpstr>v_99_XHFO_L</vt:lpstr>
      <vt:lpstr>v_99_XHFO_L_P</vt:lpstr>
      <vt:lpstr>v_99_XHFO_L_P_old</vt:lpstr>
      <vt:lpstr>v_99_XHFO_old</vt:lpstr>
      <vt:lpstr>v_99_XHMETO</vt:lpstr>
      <vt:lpstr>v_99_XINORG</vt:lpstr>
      <vt:lpstr>v_99_XMEOLO</vt:lpstr>
      <vt:lpstr>v_99_XN_B</vt:lpstr>
      <vt:lpstr>v_99_XN_Be</vt:lpstr>
      <vt:lpstr>v_99_XN_U</vt:lpstr>
      <vt:lpstr>v_99_XNOB</vt:lpstr>
      <vt:lpstr>v_99_XOHO</vt:lpstr>
      <vt:lpstr>v_99_XP_B</vt:lpstr>
      <vt:lpstr>v_99_XP_Be</vt:lpstr>
      <vt:lpstr>v_99_XP_U</vt:lpstr>
      <vt:lpstr>v_99_XPFOA</vt:lpstr>
      <vt:lpstr>v_99_XPFOS</vt:lpstr>
      <vt:lpstr>v_99_XPHA_GAO</vt:lpstr>
      <vt:lpstr>v_99_XPHA_PAO</vt:lpstr>
      <vt:lpstr>v_99_XPP</vt:lpstr>
      <vt:lpstr>v_99_XSTR</vt:lpstr>
      <vt:lpstr>v_99_XU</vt:lpstr>
      <vt:lpstr>v_99_XVivi</vt:lpstr>
      <vt:lpstr>V_mol_N</vt:lpstr>
      <vt:lpstr>X_ACP</vt:lpstr>
      <vt:lpstr>X_ALGAE</vt:lpstr>
      <vt:lpstr>X_AMETO</vt:lpstr>
      <vt:lpstr>X_AMX</vt:lpstr>
      <vt:lpstr>X_AOB</vt:lpstr>
      <vt:lpstr>X_B</vt:lpstr>
      <vt:lpstr>X_B_e</vt:lpstr>
      <vt:lpstr>X_BIO</vt:lpstr>
      <vt:lpstr>X_BOD_5</vt:lpstr>
      <vt:lpstr>X_BOD_ult</vt:lpstr>
      <vt:lpstr>X_BSH</vt:lpstr>
      <vt:lpstr>X_CaCO3</vt:lpstr>
      <vt:lpstr>X_CASTO</vt:lpstr>
      <vt:lpstr>X_COD</vt:lpstr>
      <vt:lpstr>X_CsbCOD</vt:lpstr>
      <vt:lpstr>X_DM</vt:lpstr>
      <vt:lpstr>X_E</vt:lpstr>
      <vt:lpstr>X_E_ana</vt:lpstr>
      <vt:lpstr>X_GAO</vt:lpstr>
      <vt:lpstr>X_HAO</vt:lpstr>
      <vt:lpstr>X_HAO_H</vt:lpstr>
      <vt:lpstr>X_HAO_H_P</vt:lpstr>
      <vt:lpstr>X_HAO_H_P_old</vt:lpstr>
      <vt:lpstr>X_HAO_ISS</vt:lpstr>
      <vt:lpstr>X_HAO_L</vt:lpstr>
      <vt:lpstr>X_HAO_L_P</vt:lpstr>
      <vt:lpstr>X_HAO_L_P_old</vt:lpstr>
      <vt:lpstr>X_HAO_old</vt:lpstr>
      <vt:lpstr>X_HAO_P</vt:lpstr>
      <vt:lpstr>X_HAO_TSS</vt:lpstr>
      <vt:lpstr>X_HET</vt:lpstr>
      <vt:lpstr>X_HET_HYD_lim</vt:lpstr>
      <vt:lpstr>X_HFO</vt:lpstr>
      <vt:lpstr>X_HFO_H</vt:lpstr>
      <vt:lpstr>X_HFO_H_P</vt:lpstr>
      <vt:lpstr>X_HFO_H_P_old</vt:lpstr>
      <vt:lpstr>X_HFO_ISS</vt:lpstr>
      <vt:lpstr>X_HFO_L</vt:lpstr>
      <vt:lpstr>X_HFO_L_P</vt:lpstr>
      <vt:lpstr>X_HFO_L_P_old</vt:lpstr>
      <vt:lpstr>X_HFO_old</vt:lpstr>
      <vt:lpstr>X_HFO_P</vt:lpstr>
      <vt:lpstr>X_HFO_TSS</vt:lpstr>
      <vt:lpstr>X_HMETO</vt:lpstr>
      <vt:lpstr>X_INORG</vt:lpstr>
      <vt:lpstr>X_ISS</vt:lpstr>
      <vt:lpstr>X_KN</vt:lpstr>
      <vt:lpstr>X_Me_H2O_TSS</vt:lpstr>
      <vt:lpstr>X_Me_H2O_VSS</vt:lpstr>
      <vt:lpstr>X_Me_ISS</vt:lpstr>
      <vt:lpstr>X_Me_TSS</vt:lpstr>
      <vt:lpstr>X_MEOLO</vt:lpstr>
      <vt:lpstr>X_N_B</vt:lpstr>
      <vt:lpstr>X_N_Be</vt:lpstr>
      <vt:lpstr>X_N_U</vt:lpstr>
      <vt:lpstr>X_NOB</vt:lpstr>
      <vt:lpstr>X_OHO</vt:lpstr>
      <vt:lpstr>X_P</vt:lpstr>
      <vt:lpstr>X_P_B</vt:lpstr>
      <vt:lpstr>X_P_Be</vt:lpstr>
      <vt:lpstr>X_P_U</vt:lpstr>
      <vt:lpstr>X_PAO</vt:lpstr>
      <vt:lpstr>X_PFOA</vt:lpstr>
      <vt:lpstr>X_PFOS</vt:lpstr>
      <vt:lpstr>X_PHA_CASTO</vt:lpstr>
      <vt:lpstr>X_PHA_GAO</vt:lpstr>
      <vt:lpstr>X_PHA_PAO</vt:lpstr>
      <vt:lpstr>X_PP</vt:lpstr>
      <vt:lpstr>X_PP_PAO_min</vt:lpstr>
      <vt:lpstr>X_precip</vt:lpstr>
      <vt:lpstr>X_STC</vt:lpstr>
      <vt:lpstr>X_STR</vt:lpstr>
      <vt:lpstr>X_TSS</vt:lpstr>
      <vt:lpstr>X_U</vt:lpstr>
      <vt:lpstr>X_Vivi</vt:lpstr>
      <vt:lpstr>X_VS</vt:lpstr>
      <vt:lpstr>X_VS_ult</vt:lpstr>
      <vt:lpstr>X_VSS</vt:lpstr>
      <vt:lpstr>X_VSS_BIO</vt:lpstr>
      <vt:lpstr>Y_AMETO</vt:lpstr>
      <vt:lpstr>Y_AMX_NO2</vt:lpstr>
      <vt:lpstr>Y_AMX_NO3</vt:lpstr>
      <vt:lpstr>Y_AOB</vt:lpstr>
      <vt:lpstr>Y_BOD_ult</vt:lpstr>
      <vt:lpstr>Y_CASTO_H2_ana_high</vt:lpstr>
      <vt:lpstr>Y_CASTO_H2_ana_low</vt:lpstr>
      <vt:lpstr>Y_CASTO_SB_ana</vt:lpstr>
      <vt:lpstr>Y_CASTO_STC_anox</vt:lpstr>
      <vt:lpstr>Y_CASTO_STC_ox</vt:lpstr>
      <vt:lpstr>y_fdi</vt:lpstr>
      <vt:lpstr>y_fmono</vt:lpstr>
      <vt:lpstr>y_ftri</vt:lpstr>
      <vt:lpstr>Y_GAO_PHA_anox</vt:lpstr>
      <vt:lpstr>Y_GAO_PHA_ox</vt:lpstr>
      <vt:lpstr>Y_HMETO</vt:lpstr>
      <vt:lpstr>Y_MEOLO</vt:lpstr>
      <vt:lpstr>Y_NOB</vt:lpstr>
      <vt:lpstr>Y_OHO_H2_ana_high</vt:lpstr>
      <vt:lpstr>Y_OHO_H2_ana_low</vt:lpstr>
      <vt:lpstr>Y_OHO_SB_ana</vt:lpstr>
      <vt:lpstr>Y_OHO_SB_anox</vt:lpstr>
      <vt:lpstr>Y_OHO_SB_ox</vt:lpstr>
      <vt:lpstr>Y_OHO_SMEOL_ox</vt:lpstr>
      <vt:lpstr>Y_OHO_VFA_anox</vt:lpstr>
      <vt:lpstr>Y_OHO_VFA_ox</vt:lpstr>
      <vt:lpstr>y_ORP_GAO_Half_T</vt:lpstr>
      <vt:lpstr>Y_PAO_PHA_anox</vt:lpstr>
      <vt:lpstr>Y_PAO_PHA_ox</vt:lpstr>
      <vt:lpstr>Y_PP_CASTO_anox</vt:lpstr>
      <vt:lpstr>Y_PP_CASTO_ox</vt:lpstr>
      <vt:lpstr>α_pred</vt:lpstr>
      <vt:lpstr>Δ_atm</vt:lpstr>
      <vt:lpstr>ε__</vt:lpstr>
      <vt:lpstr>η_b_ana</vt:lpstr>
      <vt:lpstr>η_b_anox</vt:lpstr>
      <vt:lpstr>η_bCASTO_ana</vt:lpstr>
      <vt:lpstr>η_bCASTO_anox</vt:lpstr>
      <vt:lpstr>η_bPHA_ana</vt:lpstr>
      <vt:lpstr>η_bPP_aer</vt:lpstr>
      <vt:lpstr>η_bPP_anox</vt:lpstr>
      <vt:lpstr>η_bSTC_anox</vt:lpstr>
      <vt:lpstr>η_CASTO_anox</vt:lpstr>
      <vt:lpstr>η_H2O</vt:lpstr>
      <vt:lpstr>η_HYD_ana</vt:lpstr>
      <vt:lpstr>η_HYD_anox</vt:lpstr>
      <vt:lpstr>η_NH2OH_dispr_ana</vt:lpstr>
      <vt:lpstr>η_OHO_N2O</vt:lpstr>
      <vt:lpstr>η_OHO_NO</vt:lpstr>
      <vt:lpstr>η_OHO_NO2</vt:lpstr>
      <vt:lpstr>η_OHO_NO3</vt:lpstr>
      <vt:lpstr>θ_µ_ALGAE</vt:lpstr>
      <vt:lpstr>θ_µ_AMETO</vt:lpstr>
      <vt:lpstr>θ_µ_AMX</vt:lpstr>
      <vt:lpstr>θ_µ_AOB</vt:lpstr>
      <vt:lpstr>θ_µ_CASTO</vt:lpstr>
      <vt:lpstr>θ_µ_HMETO</vt:lpstr>
      <vt:lpstr>θ_µ_MEOLO</vt:lpstr>
      <vt:lpstr>θ_µ_NOB</vt:lpstr>
      <vt:lpstr>θ_µ_OHO</vt:lpstr>
      <vt:lpstr>θ_µ_PAO_lim</vt:lpstr>
      <vt:lpstr>θ_b_ALGAE</vt:lpstr>
      <vt:lpstr>θ_b_AMETO</vt:lpstr>
      <vt:lpstr>θ_b_AMX</vt:lpstr>
      <vt:lpstr>θ_b_AOB</vt:lpstr>
      <vt:lpstr>θ_b_CASTO</vt:lpstr>
      <vt:lpstr>θ_b_HMETO</vt:lpstr>
      <vt:lpstr>θ_b_MEOLO</vt:lpstr>
      <vt:lpstr>θ_b_NOB</vt:lpstr>
      <vt:lpstr>θ_b_OHO</vt:lpstr>
      <vt:lpstr>θ_b_PP_ana</vt:lpstr>
      <vt:lpstr>θ_b_STC</vt:lpstr>
      <vt:lpstr>θ_FERM_OHO</vt:lpstr>
      <vt:lpstr>θ_FERM_PAO</vt:lpstr>
      <vt:lpstr>θ_q_AMMON</vt:lpstr>
      <vt:lpstr>θ_q_ASSIM</vt:lpstr>
      <vt:lpstr>θ_q_Fe2_OX</vt:lpstr>
      <vt:lpstr>θ_q_FLOC</vt:lpstr>
      <vt:lpstr>θ_q_FLOC_HAO</vt:lpstr>
      <vt:lpstr>θ_q_FLOC_HFO</vt:lpstr>
      <vt:lpstr>θ_q_GAO_PHA</vt:lpstr>
      <vt:lpstr>θ_q_HFO_RED</vt:lpstr>
      <vt:lpstr>θ_q_HYD</vt:lpstr>
      <vt:lpstr>θ_q_PAO_PHA</vt:lpstr>
      <vt:lpstr>θ_q_PAO_PP</vt:lpstr>
      <vt:lpstr>θ_q_SPB</vt:lpstr>
      <vt:lpstr>θ_q_XE</vt:lpstr>
      <vt:lpstr>θ_q_XU</vt:lpstr>
      <vt:lpstr>κ__</vt:lpstr>
      <vt:lpstr>λ_H</vt:lpstr>
      <vt:lpstr>ρ__</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Dynamita</dc:creator>
  <cp:lastModifiedBy>Helene Hauduc</cp:lastModifiedBy>
  <cp:lastPrinted>2014-02-20T12:15:16Z</cp:lastPrinted>
  <dcterms:created xsi:type="dcterms:W3CDTF">2006-09-16T00:00:00Z</dcterms:created>
  <dcterms:modified xsi:type="dcterms:W3CDTF">2024-12-02T16:38:53Z</dcterms:modified>
</cp:coreProperties>
</file>